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eyCD\Desktop\PII_AMRDEC\Custom Net Worth Spreadsheet\Financial Independence\"/>
    </mc:Choice>
  </mc:AlternateContent>
  <bookViews>
    <workbookView xWindow="0" yWindow="840" windowWidth="28800" windowHeight="12225" tabRatio="543" activeTab="1"/>
  </bookViews>
  <sheets>
    <sheet name="Data" sheetId="1" r:id="rId1"/>
    <sheet name="Charts" sheetId="2" r:id="rId2"/>
    <sheet name="Sheet3" sheetId="3" r:id="rId3"/>
    <sheet name="Salary Tax Breakdown" sheetId="4" r:id="rId4"/>
    <sheet name="Mortgage and Loan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21" i="2" l="1"/>
  <c r="BH21" i="2"/>
  <c r="BH19" i="2"/>
  <c r="BH18" i="2"/>
  <c r="BH17" i="2"/>
  <c r="DA22" i="1" l="1"/>
  <c r="DA21" i="1"/>
  <c r="DA20" i="1"/>
  <c r="BI9" i="2"/>
  <c r="BG2" i="2"/>
  <c r="BG3" i="2" s="1"/>
  <c r="AF31" i="1"/>
  <c r="AF32" i="1" s="1"/>
  <c r="AF33" i="1" s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U36" i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11" i="1"/>
  <c r="T33" i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32" i="1"/>
  <c r="AF34" i="1" l="1"/>
  <c r="U223" i="1"/>
  <c r="T219" i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AH34" i="1"/>
  <c r="T8" i="1"/>
  <c r="B32" i="1"/>
  <c r="B33" i="1"/>
  <c r="B34" i="1"/>
  <c r="B35" i="1"/>
  <c r="B36" i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7" i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8" i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9" i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40" i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41" i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42" i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43" i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44" i="1"/>
  <c r="B45" i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46" i="1"/>
  <c r="B47" i="1"/>
  <c r="B56" i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58" i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59" i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27" i="1"/>
  <c r="B28" i="1"/>
  <c r="B29" i="1"/>
  <c r="B30" i="1"/>
  <c r="B31" i="1"/>
  <c r="B26" i="1"/>
  <c r="AF35" i="1" l="1"/>
  <c r="U224" i="1"/>
  <c r="O3" i="4"/>
  <c r="O11" i="4" s="1"/>
  <c r="O12" i="4" s="1"/>
  <c r="C23" i="4"/>
  <c r="C22" i="4"/>
  <c r="B23" i="4"/>
  <c r="B22" i="4"/>
  <c r="C19" i="4"/>
  <c r="C18" i="4"/>
  <c r="B31" i="4"/>
  <c r="B30" i="4"/>
  <c r="B29" i="4"/>
  <c r="B19" i="4"/>
  <c r="B18" i="4"/>
  <c r="B25" i="4"/>
  <c r="AF36" i="1" l="1"/>
  <c r="U225" i="1"/>
  <c r="O13" i="4"/>
  <c r="AF37" i="1" l="1"/>
  <c r="U226" i="1"/>
  <c r="O16" i="4"/>
  <c r="P16" i="4" s="1"/>
  <c r="O25" i="4"/>
  <c r="A29" i="1"/>
  <c r="A41" i="1" s="1"/>
  <c r="A53" i="1" s="1"/>
  <c r="A65" i="1" s="1"/>
  <c r="A77" i="1" s="1"/>
  <c r="A30" i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" i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2" i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3" i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4" i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5" i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6" i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7" i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8" i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9" i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40" i="1"/>
  <c r="A52" i="1" s="1"/>
  <c r="A64" i="1" s="1"/>
  <c r="A76" i="1" s="1"/>
  <c r="A28" i="1"/>
  <c r="AK313" i="1"/>
  <c r="AK314" i="1"/>
  <c r="AJ313" i="1"/>
  <c r="AJ314" i="1"/>
  <c r="AI313" i="1"/>
  <c r="AI314" i="1"/>
  <c r="AH313" i="1"/>
  <c r="AH314" i="1"/>
  <c r="AO54" i="1"/>
  <c r="AO55" i="1"/>
  <c r="AO56" i="1"/>
  <c r="AO57" i="1"/>
  <c r="AO58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53" i="1"/>
  <c r="Y59" i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AI186" i="1"/>
  <c r="AJ186" i="1"/>
  <c r="AK186" i="1"/>
  <c r="AI187" i="1"/>
  <c r="AJ187" i="1"/>
  <c r="AK187" i="1"/>
  <c r="AI188" i="1"/>
  <c r="AJ188" i="1"/>
  <c r="AK188" i="1"/>
  <c r="AI189" i="1"/>
  <c r="AJ189" i="1"/>
  <c r="AK189" i="1"/>
  <c r="AI190" i="1"/>
  <c r="AJ190" i="1"/>
  <c r="AK190" i="1"/>
  <c r="AI191" i="1"/>
  <c r="AJ191" i="1"/>
  <c r="AK191" i="1"/>
  <c r="AI192" i="1"/>
  <c r="AJ192" i="1"/>
  <c r="AK192" i="1"/>
  <c r="AI193" i="1"/>
  <c r="AJ193" i="1"/>
  <c r="AK193" i="1"/>
  <c r="AI194" i="1"/>
  <c r="AJ194" i="1"/>
  <c r="AK194" i="1"/>
  <c r="AI195" i="1"/>
  <c r="AJ195" i="1"/>
  <c r="AK195" i="1"/>
  <c r="AI196" i="1"/>
  <c r="AJ196" i="1"/>
  <c r="AK196" i="1"/>
  <c r="AI197" i="1"/>
  <c r="AJ197" i="1"/>
  <c r="AK197" i="1"/>
  <c r="AI198" i="1"/>
  <c r="AJ198" i="1"/>
  <c r="AK198" i="1"/>
  <c r="AI199" i="1"/>
  <c r="AJ199" i="1"/>
  <c r="AK199" i="1"/>
  <c r="AI200" i="1"/>
  <c r="AJ200" i="1"/>
  <c r="AK200" i="1"/>
  <c r="AI201" i="1"/>
  <c r="AJ201" i="1"/>
  <c r="AK201" i="1"/>
  <c r="AI202" i="1"/>
  <c r="AJ202" i="1"/>
  <c r="AK202" i="1"/>
  <c r="AI203" i="1"/>
  <c r="AJ203" i="1"/>
  <c r="AK203" i="1"/>
  <c r="AI204" i="1"/>
  <c r="AJ204" i="1"/>
  <c r="AK204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AI209" i="1"/>
  <c r="AJ209" i="1"/>
  <c r="AK209" i="1"/>
  <c r="AI210" i="1"/>
  <c r="AJ210" i="1"/>
  <c r="AK210" i="1"/>
  <c r="AI211" i="1"/>
  <c r="AJ211" i="1"/>
  <c r="AK211" i="1"/>
  <c r="AI212" i="1"/>
  <c r="AJ212" i="1"/>
  <c r="AK212" i="1"/>
  <c r="AI213" i="1"/>
  <c r="AJ213" i="1"/>
  <c r="AK213" i="1"/>
  <c r="AI214" i="1"/>
  <c r="AJ214" i="1"/>
  <c r="AK214" i="1"/>
  <c r="AI215" i="1"/>
  <c r="AJ215" i="1"/>
  <c r="AK215" i="1"/>
  <c r="AI216" i="1"/>
  <c r="AJ216" i="1"/>
  <c r="AK216" i="1"/>
  <c r="AI217" i="1"/>
  <c r="AJ217" i="1"/>
  <c r="AK217" i="1"/>
  <c r="AI218" i="1"/>
  <c r="AJ218" i="1"/>
  <c r="AK218" i="1"/>
  <c r="AI219" i="1"/>
  <c r="AJ219" i="1"/>
  <c r="AK219" i="1"/>
  <c r="AI220" i="1"/>
  <c r="AJ220" i="1"/>
  <c r="AK220" i="1"/>
  <c r="AI221" i="1"/>
  <c r="AJ221" i="1"/>
  <c r="AK221" i="1"/>
  <c r="AI222" i="1"/>
  <c r="AJ222" i="1"/>
  <c r="AK222" i="1"/>
  <c r="AI223" i="1"/>
  <c r="AJ223" i="1"/>
  <c r="AK223" i="1"/>
  <c r="AI224" i="1"/>
  <c r="AJ224" i="1"/>
  <c r="AK224" i="1"/>
  <c r="AI225" i="1"/>
  <c r="AJ225" i="1"/>
  <c r="AK225" i="1"/>
  <c r="AI226" i="1"/>
  <c r="AJ226" i="1"/>
  <c r="AK226" i="1"/>
  <c r="AI227" i="1"/>
  <c r="AJ227" i="1"/>
  <c r="AK227" i="1"/>
  <c r="AI228" i="1"/>
  <c r="AJ228" i="1"/>
  <c r="AK228" i="1"/>
  <c r="AI229" i="1"/>
  <c r="AJ229" i="1"/>
  <c r="AK229" i="1"/>
  <c r="AI230" i="1"/>
  <c r="AJ230" i="1"/>
  <c r="AK230" i="1"/>
  <c r="AI231" i="1"/>
  <c r="AJ231" i="1"/>
  <c r="AK231" i="1"/>
  <c r="AI232" i="1"/>
  <c r="AJ232" i="1"/>
  <c r="AK232" i="1"/>
  <c r="AI233" i="1"/>
  <c r="AJ233" i="1"/>
  <c r="AK233" i="1"/>
  <c r="AI234" i="1"/>
  <c r="AJ234" i="1"/>
  <c r="AK234" i="1"/>
  <c r="AI235" i="1"/>
  <c r="AJ235" i="1"/>
  <c r="AK235" i="1"/>
  <c r="AI236" i="1"/>
  <c r="AJ236" i="1"/>
  <c r="AK236" i="1"/>
  <c r="AI237" i="1"/>
  <c r="AJ237" i="1"/>
  <c r="AK237" i="1"/>
  <c r="AI238" i="1"/>
  <c r="AJ238" i="1"/>
  <c r="AK238" i="1"/>
  <c r="AI239" i="1"/>
  <c r="AJ239" i="1"/>
  <c r="AK239" i="1"/>
  <c r="AI240" i="1"/>
  <c r="AJ240" i="1"/>
  <c r="AK240" i="1"/>
  <c r="AI241" i="1"/>
  <c r="AJ241" i="1"/>
  <c r="AK241" i="1"/>
  <c r="AI242" i="1"/>
  <c r="AJ242" i="1"/>
  <c r="AK242" i="1"/>
  <c r="AI243" i="1"/>
  <c r="AJ243" i="1"/>
  <c r="AK243" i="1"/>
  <c r="AI244" i="1"/>
  <c r="AJ244" i="1"/>
  <c r="AK244" i="1"/>
  <c r="AI245" i="1"/>
  <c r="AJ245" i="1"/>
  <c r="AK245" i="1"/>
  <c r="AI246" i="1"/>
  <c r="AJ246" i="1"/>
  <c r="AK246" i="1"/>
  <c r="AI247" i="1"/>
  <c r="AJ247" i="1"/>
  <c r="AK247" i="1"/>
  <c r="AI248" i="1"/>
  <c r="AJ248" i="1"/>
  <c r="AK248" i="1"/>
  <c r="AI249" i="1"/>
  <c r="AJ249" i="1"/>
  <c r="AK249" i="1"/>
  <c r="AI250" i="1"/>
  <c r="AJ250" i="1"/>
  <c r="AK250" i="1"/>
  <c r="AI251" i="1"/>
  <c r="AJ251" i="1"/>
  <c r="AK251" i="1"/>
  <c r="AI252" i="1"/>
  <c r="AJ252" i="1"/>
  <c r="AK252" i="1"/>
  <c r="AI253" i="1"/>
  <c r="AJ253" i="1"/>
  <c r="AK253" i="1"/>
  <c r="AI254" i="1"/>
  <c r="AJ254" i="1"/>
  <c r="AK254" i="1"/>
  <c r="AI255" i="1"/>
  <c r="AJ255" i="1"/>
  <c r="AK255" i="1"/>
  <c r="AI256" i="1"/>
  <c r="AJ256" i="1"/>
  <c r="AK256" i="1"/>
  <c r="AI257" i="1"/>
  <c r="AJ257" i="1"/>
  <c r="AK257" i="1"/>
  <c r="AI258" i="1"/>
  <c r="AJ258" i="1"/>
  <c r="AK258" i="1"/>
  <c r="AI259" i="1"/>
  <c r="AJ259" i="1"/>
  <c r="AK259" i="1"/>
  <c r="AI260" i="1"/>
  <c r="AJ260" i="1"/>
  <c r="AK260" i="1"/>
  <c r="AI261" i="1"/>
  <c r="AJ261" i="1"/>
  <c r="AK261" i="1"/>
  <c r="AI262" i="1"/>
  <c r="AJ262" i="1"/>
  <c r="AK262" i="1"/>
  <c r="AI263" i="1"/>
  <c r="AJ263" i="1"/>
  <c r="AK263" i="1"/>
  <c r="AI264" i="1"/>
  <c r="AJ264" i="1"/>
  <c r="AK264" i="1"/>
  <c r="AI265" i="1"/>
  <c r="AJ265" i="1"/>
  <c r="AK265" i="1"/>
  <c r="AI266" i="1"/>
  <c r="AJ266" i="1"/>
  <c r="AK266" i="1"/>
  <c r="AI267" i="1"/>
  <c r="AJ267" i="1"/>
  <c r="AK267" i="1"/>
  <c r="AI268" i="1"/>
  <c r="AJ268" i="1"/>
  <c r="AK268" i="1"/>
  <c r="AI269" i="1"/>
  <c r="AJ269" i="1"/>
  <c r="AK269" i="1"/>
  <c r="AI270" i="1"/>
  <c r="AJ270" i="1"/>
  <c r="AK270" i="1"/>
  <c r="AI271" i="1"/>
  <c r="AJ271" i="1"/>
  <c r="AK271" i="1"/>
  <c r="AI272" i="1"/>
  <c r="AJ272" i="1"/>
  <c r="AK272" i="1"/>
  <c r="AI273" i="1"/>
  <c r="AJ273" i="1"/>
  <c r="AK273" i="1"/>
  <c r="AI274" i="1"/>
  <c r="AJ274" i="1"/>
  <c r="AK274" i="1"/>
  <c r="AI275" i="1"/>
  <c r="AJ275" i="1"/>
  <c r="AK275" i="1"/>
  <c r="AI276" i="1"/>
  <c r="AJ276" i="1"/>
  <c r="AK276" i="1"/>
  <c r="AI277" i="1"/>
  <c r="AJ277" i="1"/>
  <c r="AK277" i="1"/>
  <c r="AI278" i="1"/>
  <c r="AJ278" i="1"/>
  <c r="AK278" i="1"/>
  <c r="AI279" i="1"/>
  <c r="AJ279" i="1"/>
  <c r="AK279" i="1"/>
  <c r="AI280" i="1"/>
  <c r="AJ280" i="1"/>
  <c r="AK280" i="1"/>
  <c r="AI281" i="1"/>
  <c r="AJ281" i="1"/>
  <c r="AK281" i="1"/>
  <c r="AI282" i="1"/>
  <c r="AJ282" i="1"/>
  <c r="AK282" i="1"/>
  <c r="AI283" i="1"/>
  <c r="AJ283" i="1"/>
  <c r="AK283" i="1"/>
  <c r="AI284" i="1"/>
  <c r="AJ284" i="1"/>
  <c r="AK284" i="1"/>
  <c r="AI285" i="1"/>
  <c r="AJ285" i="1"/>
  <c r="AK285" i="1"/>
  <c r="AI286" i="1"/>
  <c r="AJ286" i="1"/>
  <c r="AK286" i="1"/>
  <c r="AI287" i="1"/>
  <c r="AJ287" i="1"/>
  <c r="AK287" i="1"/>
  <c r="AI288" i="1"/>
  <c r="AJ288" i="1"/>
  <c r="AK288" i="1"/>
  <c r="AI289" i="1"/>
  <c r="AJ289" i="1"/>
  <c r="AK289" i="1"/>
  <c r="AI290" i="1"/>
  <c r="AJ290" i="1"/>
  <c r="AK290" i="1"/>
  <c r="AI291" i="1"/>
  <c r="AJ291" i="1"/>
  <c r="AK291" i="1"/>
  <c r="AI292" i="1"/>
  <c r="AJ292" i="1"/>
  <c r="AK292" i="1"/>
  <c r="AI293" i="1"/>
  <c r="AJ293" i="1"/>
  <c r="AK293" i="1"/>
  <c r="AI294" i="1"/>
  <c r="AJ294" i="1"/>
  <c r="AK294" i="1"/>
  <c r="AI295" i="1"/>
  <c r="AJ295" i="1"/>
  <c r="AK295" i="1"/>
  <c r="AI296" i="1"/>
  <c r="AJ296" i="1"/>
  <c r="AK296" i="1"/>
  <c r="AI297" i="1"/>
  <c r="AJ297" i="1"/>
  <c r="AK297" i="1"/>
  <c r="AI298" i="1"/>
  <c r="AJ298" i="1"/>
  <c r="AK298" i="1"/>
  <c r="AI299" i="1"/>
  <c r="AJ299" i="1"/>
  <c r="AK299" i="1"/>
  <c r="AI300" i="1"/>
  <c r="AJ300" i="1"/>
  <c r="AK300" i="1"/>
  <c r="AI301" i="1"/>
  <c r="AJ301" i="1"/>
  <c r="AK301" i="1"/>
  <c r="AI302" i="1"/>
  <c r="AJ302" i="1"/>
  <c r="AK302" i="1"/>
  <c r="AI303" i="1"/>
  <c r="AJ303" i="1"/>
  <c r="AK303" i="1"/>
  <c r="AI304" i="1"/>
  <c r="AJ304" i="1"/>
  <c r="AK304" i="1"/>
  <c r="AI305" i="1"/>
  <c r="AJ305" i="1"/>
  <c r="AK305" i="1"/>
  <c r="AI306" i="1"/>
  <c r="AJ306" i="1"/>
  <c r="AK306" i="1"/>
  <c r="AI307" i="1"/>
  <c r="AJ307" i="1"/>
  <c r="AK307" i="1"/>
  <c r="AI308" i="1"/>
  <c r="AJ308" i="1"/>
  <c r="AK308" i="1"/>
  <c r="AI309" i="1"/>
  <c r="AJ309" i="1"/>
  <c r="AK309" i="1"/>
  <c r="AI310" i="1"/>
  <c r="AJ310" i="1"/>
  <c r="AK310" i="1"/>
  <c r="AI311" i="1"/>
  <c r="AJ311" i="1"/>
  <c r="AK311" i="1"/>
  <c r="AI312" i="1"/>
  <c r="AJ312" i="1"/>
  <c r="AK312" i="1"/>
  <c r="BD10" i="5"/>
  <c r="AS10" i="5"/>
  <c r="AH10" i="5"/>
  <c r="W10" i="5"/>
  <c r="M6" i="5"/>
  <c r="Y32" i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J39" i="5"/>
  <c r="J51" i="5" s="1"/>
  <c r="J63" i="5" s="1"/>
  <c r="J75" i="5" s="1"/>
  <c r="J87" i="5" s="1"/>
  <c r="J99" i="5" s="1"/>
  <c r="J111" i="5" s="1"/>
  <c r="J123" i="5" s="1"/>
  <c r="J135" i="5" s="1"/>
  <c r="J147" i="5" s="1"/>
  <c r="J159" i="5" s="1"/>
  <c r="J171" i="5" s="1"/>
  <c r="J183" i="5" s="1"/>
  <c r="J195" i="5" s="1"/>
  <c r="J207" i="5" s="1"/>
  <c r="J219" i="5" s="1"/>
  <c r="J231" i="5" s="1"/>
  <c r="J243" i="5" s="1"/>
  <c r="J255" i="5" s="1"/>
  <c r="J267" i="5" s="1"/>
  <c r="J279" i="5" s="1"/>
  <c r="J291" i="5" s="1"/>
  <c r="J303" i="5" s="1"/>
  <c r="J315" i="5" s="1"/>
  <c r="J327" i="5" s="1"/>
  <c r="J339" i="5" s="1"/>
  <c r="J351" i="5" s="1"/>
  <c r="J363" i="5" s="1"/>
  <c r="J375" i="5" s="1"/>
  <c r="J38" i="5"/>
  <c r="J50" i="5" s="1"/>
  <c r="J62" i="5" s="1"/>
  <c r="J74" i="5" s="1"/>
  <c r="J86" i="5" s="1"/>
  <c r="J98" i="5" s="1"/>
  <c r="J110" i="5" s="1"/>
  <c r="J122" i="5" s="1"/>
  <c r="J134" i="5" s="1"/>
  <c r="J146" i="5" s="1"/>
  <c r="J158" i="5" s="1"/>
  <c r="J170" i="5" s="1"/>
  <c r="J182" i="5" s="1"/>
  <c r="J194" i="5" s="1"/>
  <c r="J206" i="5" s="1"/>
  <c r="J218" i="5" s="1"/>
  <c r="J230" i="5" s="1"/>
  <c r="J242" i="5" s="1"/>
  <c r="J254" i="5" s="1"/>
  <c r="J266" i="5" s="1"/>
  <c r="J278" i="5" s="1"/>
  <c r="J290" i="5" s="1"/>
  <c r="J302" i="5" s="1"/>
  <c r="J314" i="5" s="1"/>
  <c r="J326" i="5" s="1"/>
  <c r="J338" i="5" s="1"/>
  <c r="J350" i="5" s="1"/>
  <c r="J362" i="5" s="1"/>
  <c r="J374" i="5" s="1"/>
  <c r="J37" i="5"/>
  <c r="J49" i="5" s="1"/>
  <c r="J61" i="5" s="1"/>
  <c r="J73" i="5" s="1"/>
  <c r="J85" i="5" s="1"/>
  <c r="J97" i="5" s="1"/>
  <c r="J109" i="5" s="1"/>
  <c r="J121" i="5" s="1"/>
  <c r="J133" i="5" s="1"/>
  <c r="J145" i="5" s="1"/>
  <c r="J157" i="5" s="1"/>
  <c r="J169" i="5" s="1"/>
  <c r="J181" i="5" s="1"/>
  <c r="J193" i="5" s="1"/>
  <c r="J205" i="5" s="1"/>
  <c r="J217" i="5" s="1"/>
  <c r="J229" i="5" s="1"/>
  <c r="J241" i="5" s="1"/>
  <c r="J253" i="5" s="1"/>
  <c r="J265" i="5" s="1"/>
  <c r="J277" i="5" s="1"/>
  <c r="J289" i="5" s="1"/>
  <c r="J301" i="5" s="1"/>
  <c r="J313" i="5" s="1"/>
  <c r="J325" i="5" s="1"/>
  <c r="J337" i="5" s="1"/>
  <c r="J349" i="5" s="1"/>
  <c r="J361" i="5" s="1"/>
  <c r="J373" i="5" s="1"/>
  <c r="J36" i="5"/>
  <c r="J48" i="5" s="1"/>
  <c r="J60" i="5" s="1"/>
  <c r="J72" i="5" s="1"/>
  <c r="J84" i="5" s="1"/>
  <c r="J96" i="5" s="1"/>
  <c r="J108" i="5" s="1"/>
  <c r="J120" i="5" s="1"/>
  <c r="J132" i="5" s="1"/>
  <c r="J144" i="5" s="1"/>
  <c r="J156" i="5" s="1"/>
  <c r="J168" i="5" s="1"/>
  <c r="J180" i="5" s="1"/>
  <c r="J192" i="5" s="1"/>
  <c r="J204" i="5" s="1"/>
  <c r="J216" i="5" s="1"/>
  <c r="J228" i="5" s="1"/>
  <c r="J240" i="5" s="1"/>
  <c r="J252" i="5" s="1"/>
  <c r="J264" i="5" s="1"/>
  <c r="J276" i="5" s="1"/>
  <c r="J288" i="5" s="1"/>
  <c r="J300" i="5" s="1"/>
  <c r="J312" i="5" s="1"/>
  <c r="J324" i="5" s="1"/>
  <c r="J336" i="5" s="1"/>
  <c r="J348" i="5" s="1"/>
  <c r="J360" i="5" s="1"/>
  <c r="J372" i="5" s="1"/>
  <c r="J35" i="5"/>
  <c r="J47" i="5" s="1"/>
  <c r="J59" i="5" s="1"/>
  <c r="J71" i="5" s="1"/>
  <c r="J83" i="5" s="1"/>
  <c r="J95" i="5" s="1"/>
  <c r="J107" i="5" s="1"/>
  <c r="J119" i="5" s="1"/>
  <c r="J131" i="5" s="1"/>
  <c r="J143" i="5" s="1"/>
  <c r="J155" i="5" s="1"/>
  <c r="J167" i="5" s="1"/>
  <c r="J179" i="5" s="1"/>
  <c r="J191" i="5" s="1"/>
  <c r="J203" i="5" s="1"/>
  <c r="J215" i="5" s="1"/>
  <c r="J227" i="5" s="1"/>
  <c r="J239" i="5" s="1"/>
  <c r="J251" i="5" s="1"/>
  <c r="J263" i="5" s="1"/>
  <c r="J275" i="5" s="1"/>
  <c r="J287" i="5" s="1"/>
  <c r="J299" i="5" s="1"/>
  <c r="J311" i="5" s="1"/>
  <c r="J323" i="5" s="1"/>
  <c r="J335" i="5" s="1"/>
  <c r="J347" i="5" s="1"/>
  <c r="J359" i="5" s="1"/>
  <c r="J371" i="5" s="1"/>
  <c r="J34" i="5"/>
  <c r="J46" i="5" s="1"/>
  <c r="J58" i="5" s="1"/>
  <c r="J70" i="5" s="1"/>
  <c r="J82" i="5" s="1"/>
  <c r="J94" i="5" s="1"/>
  <c r="J106" i="5" s="1"/>
  <c r="J118" i="5" s="1"/>
  <c r="J130" i="5" s="1"/>
  <c r="J142" i="5" s="1"/>
  <c r="J154" i="5" s="1"/>
  <c r="J166" i="5" s="1"/>
  <c r="J178" i="5" s="1"/>
  <c r="J190" i="5" s="1"/>
  <c r="J202" i="5" s="1"/>
  <c r="J214" i="5" s="1"/>
  <c r="J226" i="5" s="1"/>
  <c r="J238" i="5" s="1"/>
  <c r="J250" i="5" s="1"/>
  <c r="J262" i="5" s="1"/>
  <c r="J274" i="5" s="1"/>
  <c r="J286" i="5" s="1"/>
  <c r="J298" i="5" s="1"/>
  <c r="J310" i="5" s="1"/>
  <c r="J322" i="5" s="1"/>
  <c r="J334" i="5" s="1"/>
  <c r="J346" i="5" s="1"/>
  <c r="J358" i="5" s="1"/>
  <c r="J370" i="5" s="1"/>
  <c r="J33" i="5"/>
  <c r="J45" i="5" s="1"/>
  <c r="J57" i="5" s="1"/>
  <c r="J69" i="5" s="1"/>
  <c r="J81" i="5" s="1"/>
  <c r="J93" i="5" s="1"/>
  <c r="J105" i="5" s="1"/>
  <c r="J117" i="5" s="1"/>
  <c r="J129" i="5" s="1"/>
  <c r="J141" i="5" s="1"/>
  <c r="J153" i="5" s="1"/>
  <c r="J165" i="5" s="1"/>
  <c r="J177" i="5" s="1"/>
  <c r="J189" i="5" s="1"/>
  <c r="J201" i="5" s="1"/>
  <c r="J213" i="5" s="1"/>
  <c r="J225" i="5" s="1"/>
  <c r="J237" i="5" s="1"/>
  <c r="J249" i="5" s="1"/>
  <c r="J261" i="5" s="1"/>
  <c r="J273" i="5" s="1"/>
  <c r="J285" i="5" s="1"/>
  <c r="J297" i="5" s="1"/>
  <c r="J309" i="5" s="1"/>
  <c r="J321" i="5" s="1"/>
  <c r="J333" i="5" s="1"/>
  <c r="J345" i="5" s="1"/>
  <c r="J357" i="5" s="1"/>
  <c r="J369" i="5" s="1"/>
  <c r="J32" i="5"/>
  <c r="J44" i="5" s="1"/>
  <c r="J56" i="5" s="1"/>
  <c r="J68" i="5" s="1"/>
  <c r="J80" i="5" s="1"/>
  <c r="J92" i="5" s="1"/>
  <c r="J104" i="5" s="1"/>
  <c r="J116" i="5" s="1"/>
  <c r="J128" i="5" s="1"/>
  <c r="J140" i="5" s="1"/>
  <c r="J152" i="5" s="1"/>
  <c r="J164" i="5" s="1"/>
  <c r="J176" i="5" s="1"/>
  <c r="J188" i="5" s="1"/>
  <c r="J200" i="5" s="1"/>
  <c r="J212" i="5" s="1"/>
  <c r="J224" i="5" s="1"/>
  <c r="J236" i="5" s="1"/>
  <c r="J248" i="5" s="1"/>
  <c r="J260" i="5" s="1"/>
  <c r="J272" i="5" s="1"/>
  <c r="J284" i="5" s="1"/>
  <c r="J296" i="5" s="1"/>
  <c r="J308" i="5" s="1"/>
  <c r="J320" i="5" s="1"/>
  <c r="J332" i="5" s="1"/>
  <c r="J344" i="5" s="1"/>
  <c r="J356" i="5" s="1"/>
  <c r="J368" i="5" s="1"/>
  <c r="J31" i="5"/>
  <c r="J43" i="5" s="1"/>
  <c r="J55" i="5" s="1"/>
  <c r="J67" i="5" s="1"/>
  <c r="J79" i="5" s="1"/>
  <c r="J91" i="5" s="1"/>
  <c r="J103" i="5" s="1"/>
  <c r="J115" i="5" s="1"/>
  <c r="J127" i="5" s="1"/>
  <c r="J139" i="5" s="1"/>
  <c r="J151" i="5" s="1"/>
  <c r="J163" i="5" s="1"/>
  <c r="J175" i="5" s="1"/>
  <c r="J187" i="5" s="1"/>
  <c r="J199" i="5" s="1"/>
  <c r="J211" i="5" s="1"/>
  <c r="J223" i="5" s="1"/>
  <c r="J235" i="5" s="1"/>
  <c r="J247" i="5" s="1"/>
  <c r="J259" i="5" s="1"/>
  <c r="J271" i="5" s="1"/>
  <c r="J283" i="5" s="1"/>
  <c r="J295" i="5" s="1"/>
  <c r="J307" i="5" s="1"/>
  <c r="J319" i="5" s="1"/>
  <c r="J331" i="5" s="1"/>
  <c r="J343" i="5" s="1"/>
  <c r="J355" i="5" s="1"/>
  <c r="J367" i="5" s="1"/>
  <c r="J30" i="5"/>
  <c r="J42" i="5" s="1"/>
  <c r="J54" i="5" s="1"/>
  <c r="J66" i="5" s="1"/>
  <c r="J78" i="5" s="1"/>
  <c r="J90" i="5" s="1"/>
  <c r="J102" i="5" s="1"/>
  <c r="J114" i="5" s="1"/>
  <c r="J126" i="5" s="1"/>
  <c r="J138" i="5" s="1"/>
  <c r="J150" i="5" s="1"/>
  <c r="J162" i="5" s="1"/>
  <c r="J174" i="5" s="1"/>
  <c r="J186" i="5" s="1"/>
  <c r="J198" i="5" s="1"/>
  <c r="J210" i="5" s="1"/>
  <c r="J222" i="5" s="1"/>
  <c r="J234" i="5" s="1"/>
  <c r="J246" i="5" s="1"/>
  <c r="J258" i="5" s="1"/>
  <c r="J270" i="5" s="1"/>
  <c r="J282" i="5" s="1"/>
  <c r="J294" i="5" s="1"/>
  <c r="J306" i="5" s="1"/>
  <c r="J318" i="5" s="1"/>
  <c r="J330" i="5" s="1"/>
  <c r="J342" i="5" s="1"/>
  <c r="J354" i="5" s="1"/>
  <c r="J366" i="5" s="1"/>
  <c r="J29" i="5"/>
  <c r="J41" i="5" s="1"/>
  <c r="J53" i="5" s="1"/>
  <c r="J65" i="5" s="1"/>
  <c r="J77" i="5" s="1"/>
  <c r="J89" i="5" s="1"/>
  <c r="J101" i="5" s="1"/>
  <c r="J113" i="5" s="1"/>
  <c r="J125" i="5" s="1"/>
  <c r="J137" i="5" s="1"/>
  <c r="J149" i="5" s="1"/>
  <c r="J161" i="5" s="1"/>
  <c r="J173" i="5" s="1"/>
  <c r="J185" i="5" s="1"/>
  <c r="J197" i="5" s="1"/>
  <c r="J209" i="5" s="1"/>
  <c r="J221" i="5" s="1"/>
  <c r="J233" i="5" s="1"/>
  <c r="J245" i="5" s="1"/>
  <c r="J257" i="5" s="1"/>
  <c r="J269" i="5" s="1"/>
  <c r="J281" i="5" s="1"/>
  <c r="J293" i="5" s="1"/>
  <c r="J305" i="5" s="1"/>
  <c r="J317" i="5" s="1"/>
  <c r="J329" i="5" s="1"/>
  <c r="J341" i="5" s="1"/>
  <c r="J353" i="5" s="1"/>
  <c r="J365" i="5" s="1"/>
  <c r="J28" i="5"/>
  <c r="J40" i="5" s="1"/>
  <c r="J52" i="5" s="1"/>
  <c r="J64" i="5" s="1"/>
  <c r="J76" i="5" s="1"/>
  <c r="J88" i="5" s="1"/>
  <c r="J100" i="5" s="1"/>
  <c r="J112" i="5" s="1"/>
  <c r="J124" i="5" s="1"/>
  <c r="J136" i="5" s="1"/>
  <c r="J148" i="5" s="1"/>
  <c r="J160" i="5" s="1"/>
  <c r="J172" i="5" s="1"/>
  <c r="J184" i="5" s="1"/>
  <c r="J196" i="5" s="1"/>
  <c r="J208" i="5" s="1"/>
  <c r="J220" i="5" s="1"/>
  <c r="J232" i="5" s="1"/>
  <c r="J244" i="5" s="1"/>
  <c r="J256" i="5" s="1"/>
  <c r="J268" i="5" s="1"/>
  <c r="J280" i="5" s="1"/>
  <c r="J292" i="5" s="1"/>
  <c r="J304" i="5" s="1"/>
  <c r="J316" i="5" s="1"/>
  <c r="J328" i="5" s="1"/>
  <c r="J340" i="5" s="1"/>
  <c r="J352" i="5" s="1"/>
  <c r="J364" i="5" s="1"/>
  <c r="K10" i="5"/>
  <c r="K7" i="5"/>
  <c r="L16" i="5" s="1"/>
  <c r="O16" i="5" s="1"/>
  <c r="AF38" i="1" l="1"/>
  <c r="U227" i="1"/>
  <c r="A88" i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89" i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O31" i="4"/>
  <c r="O30" i="4"/>
  <c r="O29" i="4"/>
  <c r="K11" i="5"/>
  <c r="S16" i="5"/>
  <c r="AF39" i="1" l="1"/>
  <c r="AF40" i="1" s="1"/>
  <c r="AF41" i="1" s="1"/>
  <c r="U228" i="1"/>
  <c r="M378" i="5"/>
  <c r="M377" i="5"/>
  <c r="M379" i="5"/>
  <c r="M380" i="5"/>
  <c r="M376" i="5"/>
  <c r="M17" i="5"/>
  <c r="M16" i="5"/>
  <c r="Q16" i="5" s="1"/>
  <c r="M374" i="5"/>
  <c r="M366" i="5"/>
  <c r="M358" i="5"/>
  <c r="M350" i="5"/>
  <c r="M342" i="5"/>
  <c r="M334" i="5"/>
  <c r="M326" i="5"/>
  <c r="M318" i="5"/>
  <c r="M310" i="5"/>
  <c r="M302" i="5"/>
  <c r="M373" i="5"/>
  <c r="M365" i="5"/>
  <c r="M357" i="5"/>
  <c r="M349" i="5"/>
  <c r="M341" i="5"/>
  <c r="M333" i="5"/>
  <c r="M325" i="5"/>
  <c r="M317" i="5"/>
  <c r="M309" i="5"/>
  <c r="M301" i="5"/>
  <c r="M370" i="5"/>
  <c r="M363" i="5"/>
  <c r="M352" i="5"/>
  <c r="M368" i="5"/>
  <c r="M360" i="5"/>
  <c r="M353" i="5"/>
  <c r="M375" i="5"/>
  <c r="M364" i="5"/>
  <c r="M293" i="5"/>
  <c r="M285" i="5"/>
  <c r="M277" i="5"/>
  <c r="M332" i="5"/>
  <c r="M323" i="5"/>
  <c r="M314" i="5"/>
  <c r="M305" i="5"/>
  <c r="M345" i="5"/>
  <c r="M339" i="5"/>
  <c r="M369" i="5"/>
  <c r="M336" i="5"/>
  <c r="M347" i="5"/>
  <c r="M327" i="5"/>
  <c r="M315" i="5"/>
  <c r="M284" i="5"/>
  <c r="M270" i="5"/>
  <c r="M262" i="5"/>
  <c r="M254" i="5"/>
  <c r="M362" i="5"/>
  <c r="M355" i="5"/>
  <c r="M321" i="5"/>
  <c r="M283" i="5"/>
  <c r="M371" i="5"/>
  <c r="M288" i="5"/>
  <c r="M276" i="5"/>
  <c r="M252" i="5"/>
  <c r="M243" i="5"/>
  <c r="M354" i="5"/>
  <c r="M290" i="5"/>
  <c r="M250" i="5"/>
  <c r="M338" i="5"/>
  <c r="M330" i="5"/>
  <c r="M303" i="5"/>
  <c r="M292" i="5"/>
  <c r="M279" i="5"/>
  <c r="M346" i="5"/>
  <c r="M343" i="5"/>
  <c r="M340" i="5"/>
  <c r="M313" i="5"/>
  <c r="M306" i="5"/>
  <c r="M280" i="5"/>
  <c r="M372" i="5"/>
  <c r="M328" i="5"/>
  <c r="M269" i="5"/>
  <c r="M260" i="5"/>
  <c r="M240" i="5"/>
  <c r="M232" i="5"/>
  <c r="M337" i="5"/>
  <c r="M319" i="5"/>
  <c r="M289" i="5"/>
  <c r="M265" i="5"/>
  <c r="M253" i="5"/>
  <c r="M296" i="5"/>
  <c r="M273" i="5"/>
  <c r="M239" i="5"/>
  <c r="M231" i="5"/>
  <c r="M367" i="5"/>
  <c r="M316" i="5"/>
  <c r="M312" i="5"/>
  <c r="M286" i="5"/>
  <c r="M261" i="5"/>
  <c r="M299" i="5"/>
  <c r="M266" i="5"/>
  <c r="M238" i="5"/>
  <c r="M230" i="5"/>
  <c r="M222" i="5"/>
  <c r="M214" i="5"/>
  <c r="M206" i="5"/>
  <c r="M198" i="5"/>
  <c r="M190" i="5"/>
  <c r="M348" i="5"/>
  <c r="M351" i="5"/>
  <c r="M335" i="5"/>
  <c r="M307" i="5"/>
  <c r="M304" i="5"/>
  <c r="M241" i="5"/>
  <c r="M228" i="5"/>
  <c r="M223" i="5"/>
  <c r="M210" i="5"/>
  <c r="M204" i="5"/>
  <c r="M191" i="5"/>
  <c r="M184" i="5"/>
  <c r="M179" i="5"/>
  <c r="M171" i="5"/>
  <c r="M163" i="5"/>
  <c r="M155" i="5"/>
  <c r="M147" i="5"/>
  <c r="M139" i="5"/>
  <c r="M131" i="5"/>
  <c r="M123" i="5"/>
  <c r="M115" i="5"/>
  <c r="M295" i="5"/>
  <c r="M274" i="5"/>
  <c r="M247" i="5"/>
  <c r="M297" i="5"/>
  <c r="M272" i="5"/>
  <c r="M235" i="5"/>
  <c r="M217" i="5"/>
  <c r="M211" i="5"/>
  <c r="M205" i="5"/>
  <c r="M185" i="5"/>
  <c r="M178" i="5"/>
  <c r="M170" i="5"/>
  <c r="M162" i="5"/>
  <c r="M154" i="5"/>
  <c r="M146" i="5"/>
  <c r="M138" i="5"/>
  <c r="M130" i="5"/>
  <c r="M122" i="5"/>
  <c r="M311" i="5"/>
  <c r="M224" i="5"/>
  <c r="M192" i="5"/>
  <c r="M267" i="5"/>
  <c r="M242" i="5"/>
  <c r="M229" i="5"/>
  <c r="M218" i="5"/>
  <c r="M212" i="5"/>
  <c r="M199" i="5"/>
  <c r="M186" i="5"/>
  <c r="M177" i="5"/>
  <c r="M169" i="5"/>
  <c r="M161" i="5"/>
  <c r="M153" i="5"/>
  <c r="M145" i="5"/>
  <c r="M137" i="5"/>
  <c r="M129" i="5"/>
  <c r="M121" i="5"/>
  <c r="M263" i="5"/>
  <c r="M245" i="5"/>
  <c r="M359" i="5"/>
  <c r="M322" i="5"/>
  <c r="M356" i="5"/>
  <c r="M298" i="5"/>
  <c r="M268" i="5"/>
  <c r="M264" i="5"/>
  <c r="M258" i="5"/>
  <c r="M256" i="5"/>
  <c r="M234" i="5"/>
  <c r="M361" i="5"/>
  <c r="M249" i="5"/>
  <c r="M246" i="5"/>
  <c r="M233" i="5"/>
  <c r="M215" i="5"/>
  <c r="M209" i="5"/>
  <c r="M175" i="5"/>
  <c r="M102" i="5"/>
  <c r="M94" i="5"/>
  <c r="M86" i="5"/>
  <c r="M78" i="5"/>
  <c r="M70" i="5"/>
  <c r="M62" i="5"/>
  <c r="M54" i="5"/>
  <c r="M281" i="5"/>
  <c r="M221" i="5"/>
  <c r="M158" i="5"/>
  <c r="M152" i="5"/>
  <c r="M132" i="5"/>
  <c r="M126" i="5"/>
  <c r="M120" i="5"/>
  <c r="M324" i="5"/>
  <c r="M225" i="5"/>
  <c r="M203" i="5"/>
  <c r="M201" i="5"/>
  <c r="M165" i="5"/>
  <c r="M112" i="5"/>
  <c r="M111" i="5"/>
  <c r="M110" i="5"/>
  <c r="M109" i="5"/>
  <c r="M101" i="5"/>
  <c r="M93" i="5"/>
  <c r="M85" i="5"/>
  <c r="M77" i="5"/>
  <c r="M69" i="5"/>
  <c r="M61" i="5"/>
  <c r="M248" i="5"/>
  <c r="M133" i="5"/>
  <c r="M127" i="5"/>
  <c r="M113" i="5"/>
  <c r="M197" i="5"/>
  <c r="M195" i="5"/>
  <c r="M193" i="5"/>
  <c r="M182" i="5"/>
  <c r="M176" i="5"/>
  <c r="M172" i="5"/>
  <c r="M159" i="5"/>
  <c r="M114" i="5"/>
  <c r="M108" i="5"/>
  <c r="M100" i="5"/>
  <c r="M92" i="5"/>
  <c r="M84" i="5"/>
  <c r="M76" i="5"/>
  <c r="M68" i="5"/>
  <c r="M60" i="5"/>
  <c r="M257" i="5"/>
  <c r="M251" i="5"/>
  <c r="M237" i="5"/>
  <c r="M140" i="5"/>
  <c r="M134" i="5"/>
  <c r="M128" i="5"/>
  <c r="M282" i="5"/>
  <c r="M308" i="5"/>
  <c r="M255" i="5"/>
  <c r="M207" i="5"/>
  <c r="M188" i="5"/>
  <c r="M181" i="5"/>
  <c r="M320" i="5"/>
  <c r="M259" i="5"/>
  <c r="M164" i="5"/>
  <c r="M103" i="5"/>
  <c r="M97" i="5"/>
  <c r="M91" i="5"/>
  <c r="M71" i="5"/>
  <c r="M65" i="5"/>
  <c r="M59" i="5"/>
  <c r="M300" i="5"/>
  <c r="M271" i="5"/>
  <c r="M189" i="5"/>
  <c r="M136" i="5"/>
  <c r="M125" i="5"/>
  <c r="M48" i="5"/>
  <c r="M40" i="5"/>
  <c r="M32" i="5"/>
  <c r="M213" i="5"/>
  <c r="M183" i="5"/>
  <c r="M180" i="5"/>
  <c r="M168" i="5"/>
  <c r="M104" i="5"/>
  <c r="M98" i="5"/>
  <c r="M72" i="5"/>
  <c r="M66" i="5"/>
  <c r="M287" i="5"/>
  <c r="M278" i="5"/>
  <c r="M220" i="5"/>
  <c r="M196" i="5"/>
  <c r="M157" i="5"/>
  <c r="M119" i="5"/>
  <c r="M117" i="5"/>
  <c r="M47" i="5"/>
  <c r="M39" i="5"/>
  <c r="M31" i="5"/>
  <c r="M105" i="5"/>
  <c r="M99" i="5"/>
  <c r="M79" i="5"/>
  <c r="M73" i="5"/>
  <c r="M67" i="5"/>
  <c r="M344" i="5"/>
  <c r="M151" i="5"/>
  <c r="M149" i="5"/>
  <c r="M46" i="5"/>
  <c r="M38" i="5"/>
  <c r="M30" i="5"/>
  <c r="M294" i="5"/>
  <c r="M244" i="5"/>
  <c r="M291" i="5"/>
  <c r="M200" i="5"/>
  <c r="M173" i="5"/>
  <c r="M166" i="5"/>
  <c r="M96" i="5"/>
  <c r="M90" i="5"/>
  <c r="M226" i="5"/>
  <c r="M219" i="5"/>
  <c r="M83" i="5"/>
  <c r="M43" i="5"/>
  <c r="M25" i="5"/>
  <c r="M82" i="5"/>
  <c r="M107" i="5"/>
  <c r="M331" i="5"/>
  <c r="M144" i="5"/>
  <c r="M87" i="5"/>
  <c r="M75" i="5"/>
  <c r="M64" i="5"/>
  <c r="M36" i="5"/>
  <c r="M28" i="5"/>
  <c r="M194" i="5"/>
  <c r="M187" i="5"/>
  <c r="M50" i="5"/>
  <c r="M20" i="5"/>
  <c r="M23" i="5"/>
  <c r="M51" i="5"/>
  <c r="M41" i="5"/>
  <c r="M329" i="5"/>
  <c r="M160" i="5"/>
  <c r="M143" i="5"/>
  <c r="M89" i="5"/>
  <c r="M58" i="5"/>
  <c r="M56" i="5"/>
  <c r="M33" i="5"/>
  <c r="M26" i="5"/>
  <c r="M80" i="5"/>
  <c r="M45" i="5"/>
  <c r="M21" i="5"/>
  <c r="M44" i="5"/>
  <c r="M37" i="5"/>
  <c r="M29" i="5"/>
  <c r="M135" i="5"/>
  <c r="M150" i="5"/>
  <c r="M116" i="5"/>
  <c r="M216" i="5"/>
  <c r="M95" i="5"/>
  <c r="M18" i="5"/>
  <c r="M74" i="5"/>
  <c r="M63" i="5"/>
  <c r="M167" i="5"/>
  <c r="M156" i="5"/>
  <c r="M208" i="5"/>
  <c r="M202" i="5"/>
  <c r="M142" i="5"/>
  <c r="M227" i="5"/>
  <c r="M141" i="5"/>
  <c r="M118" i="5"/>
  <c r="M236" i="5"/>
  <c r="M174" i="5"/>
  <c r="M148" i="5"/>
  <c r="M53" i="5"/>
  <c r="M49" i="5"/>
  <c r="M35" i="5"/>
  <c r="M22" i="5"/>
  <c r="M275" i="5"/>
  <c r="M124" i="5"/>
  <c r="M106" i="5"/>
  <c r="M81" i="5"/>
  <c r="M52" i="5"/>
  <c r="M27" i="5"/>
  <c r="M42" i="5"/>
  <c r="M34" i="5"/>
  <c r="M88" i="5"/>
  <c r="M57" i="5"/>
  <c r="K13" i="5"/>
  <c r="K12" i="5" s="1"/>
  <c r="M55" i="5"/>
  <c r="M19" i="5"/>
  <c r="M24" i="5"/>
  <c r="AF42" i="1" l="1"/>
  <c r="U229" i="1"/>
  <c r="N16" i="5"/>
  <c r="T16" i="5" s="1"/>
  <c r="Q17" i="5" s="1"/>
  <c r="B16" i="5"/>
  <c r="B17" i="5"/>
  <c r="AF43" i="1" l="1"/>
  <c r="U230" i="1"/>
  <c r="G16" i="5"/>
  <c r="AL54" i="1"/>
  <c r="L17" i="5"/>
  <c r="R16" i="5"/>
  <c r="AF44" i="1" l="1"/>
  <c r="U231" i="1"/>
  <c r="O17" i="5"/>
  <c r="S17" i="5" s="1"/>
  <c r="U16" i="5"/>
  <c r="N17" i="5"/>
  <c r="T17" i="5" s="1"/>
  <c r="Q18" i="5" s="1"/>
  <c r="B18" i="5" s="1"/>
  <c r="AF45" i="1" l="1"/>
  <c r="U232" i="1"/>
  <c r="Z54" i="1"/>
  <c r="R17" i="5"/>
  <c r="U17" i="5" s="1"/>
  <c r="AF46" i="1" l="1"/>
  <c r="U233" i="1"/>
  <c r="Z55" i="1"/>
  <c r="L18" i="5"/>
  <c r="AL55" i="1"/>
  <c r="AF47" i="1" l="1"/>
  <c r="AF48" i="1" s="1"/>
  <c r="AF49" i="1" s="1"/>
  <c r="U234" i="1"/>
  <c r="O18" i="5"/>
  <c r="S18" i="5"/>
  <c r="N18" i="5"/>
  <c r="T18" i="5" s="1"/>
  <c r="Q19" i="5" s="1"/>
  <c r="B19" i="5" s="1"/>
  <c r="AF50" i="1" l="1"/>
  <c r="U235" i="1"/>
  <c r="R18" i="5"/>
  <c r="AF51" i="1" l="1"/>
  <c r="U236" i="1"/>
  <c r="U18" i="5"/>
  <c r="L19" i="5"/>
  <c r="AL56" i="1"/>
  <c r="AF52" i="1" l="1"/>
  <c r="AF53" i="1"/>
  <c r="AF54" i="1" s="1"/>
  <c r="U237" i="1"/>
  <c r="Z56" i="1"/>
  <c r="O19" i="5"/>
  <c r="S19" i="5" s="1"/>
  <c r="AF55" i="1" l="1"/>
  <c r="AF58" i="1" s="1"/>
  <c r="AF59" i="1" s="1"/>
  <c r="AF56" i="1"/>
  <c r="AF57" i="1"/>
  <c r="U238" i="1"/>
  <c r="N19" i="5"/>
  <c r="T19" i="5" s="1"/>
  <c r="Q20" i="5" s="1"/>
  <c r="B20" i="5" s="1"/>
  <c r="R19" i="5"/>
  <c r="AF60" i="1" l="1"/>
  <c r="U239" i="1"/>
  <c r="Z57" i="1"/>
  <c r="U19" i="5"/>
  <c r="L20" i="5"/>
  <c r="O20" i="5" s="1"/>
  <c r="AL57" i="1"/>
  <c r="AF61" i="1" l="1"/>
  <c r="U240" i="1"/>
  <c r="S20" i="5"/>
  <c r="N20" i="5"/>
  <c r="T20" i="5" s="1"/>
  <c r="Q21" i="5" s="1"/>
  <c r="B21" i="5" s="1"/>
  <c r="AF62" i="1" l="1"/>
  <c r="U241" i="1"/>
  <c r="R20" i="5"/>
  <c r="AF63" i="1" l="1"/>
  <c r="U242" i="1"/>
  <c r="U20" i="5"/>
  <c r="L21" i="5"/>
  <c r="AL58" i="1"/>
  <c r="AF64" i="1" l="1"/>
  <c r="U243" i="1"/>
  <c r="Z58" i="1"/>
  <c r="O21" i="5"/>
  <c r="S21" i="5"/>
  <c r="N21" i="5"/>
  <c r="T21" i="5" s="1"/>
  <c r="Q22" i="5" s="1"/>
  <c r="B22" i="5" s="1"/>
  <c r="AF65" i="1" l="1"/>
  <c r="U244" i="1"/>
  <c r="AL59" i="1"/>
  <c r="R21" i="5"/>
  <c r="L22" i="5"/>
  <c r="AF66" i="1" l="1"/>
  <c r="U245" i="1"/>
  <c r="Z59" i="1"/>
  <c r="U21" i="5"/>
  <c r="O22" i="5"/>
  <c r="AF67" i="1" l="1"/>
  <c r="U246" i="1"/>
  <c r="S22" i="5"/>
  <c r="N22" i="5"/>
  <c r="T22" i="5" s="1"/>
  <c r="Q23" i="5" s="1"/>
  <c r="B23" i="5" s="1"/>
  <c r="AF68" i="1" l="1"/>
  <c r="U247" i="1"/>
  <c r="AL60" i="1"/>
  <c r="R22" i="5"/>
  <c r="L23" i="5"/>
  <c r="AF69" i="1" l="1"/>
  <c r="U248" i="1"/>
  <c r="Z60" i="1"/>
  <c r="U22" i="5"/>
  <c r="O23" i="5"/>
  <c r="AF70" i="1" l="1"/>
  <c r="U249" i="1"/>
  <c r="S23" i="5"/>
  <c r="N23" i="5"/>
  <c r="T23" i="5" s="1"/>
  <c r="Q24" i="5" s="1"/>
  <c r="B24" i="5" s="1"/>
  <c r="AF71" i="1" l="1"/>
  <c r="U250" i="1"/>
  <c r="AL61" i="1"/>
  <c r="R23" i="5"/>
  <c r="L24" i="5"/>
  <c r="AF72" i="1" l="1"/>
  <c r="U251" i="1"/>
  <c r="U23" i="5"/>
  <c r="O24" i="5"/>
  <c r="AF73" i="1" l="1"/>
  <c r="U252" i="1"/>
  <c r="Z61" i="1"/>
  <c r="S24" i="5"/>
  <c r="N24" i="5"/>
  <c r="T24" i="5" s="1"/>
  <c r="Q25" i="5" s="1"/>
  <c r="B25" i="5" s="1"/>
  <c r="AF74" i="1" l="1"/>
  <c r="U253" i="1"/>
  <c r="AL62" i="1"/>
  <c r="R24" i="5"/>
  <c r="L25" i="5"/>
  <c r="AF75" i="1" l="1"/>
  <c r="U254" i="1"/>
  <c r="U24" i="5"/>
  <c r="O25" i="5"/>
  <c r="AF76" i="1" l="1"/>
  <c r="U255" i="1"/>
  <c r="Z62" i="1"/>
  <c r="S25" i="5"/>
  <c r="N25" i="5"/>
  <c r="T25" i="5" s="1"/>
  <c r="Q26" i="5" s="1"/>
  <c r="B26" i="5" s="1"/>
  <c r="AF77" i="1" l="1"/>
  <c r="U256" i="1"/>
  <c r="AL63" i="1"/>
  <c r="R25" i="5"/>
  <c r="L26" i="5"/>
  <c r="AF78" i="1" l="1"/>
  <c r="U257" i="1"/>
  <c r="U25" i="5"/>
  <c r="O26" i="5"/>
  <c r="AF79" i="1" l="1"/>
  <c r="U258" i="1"/>
  <c r="Z63" i="1"/>
  <c r="S26" i="5"/>
  <c r="N26" i="5"/>
  <c r="T26" i="5" s="1"/>
  <c r="Q27" i="5" s="1"/>
  <c r="B27" i="5" s="1"/>
  <c r="AF80" i="1" l="1"/>
  <c r="U259" i="1"/>
  <c r="AL64" i="1"/>
  <c r="R26" i="5"/>
  <c r="L27" i="5"/>
  <c r="AF81" i="1" l="1"/>
  <c r="U260" i="1"/>
  <c r="Z64" i="1"/>
  <c r="U26" i="5"/>
  <c r="O27" i="5"/>
  <c r="AF82" i="1" l="1"/>
  <c r="U261" i="1"/>
  <c r="S27" i="5"/>
  <c r="N27" i="5"/>
  <c r="T27" i="5" s="1"/>
  <c r="Q28" i="5" s="1"/>
  <c r="B28" i="5" s="1"/>
  <c r="AF83" i="1" l="1"/>
  <c r="U262" i="1"/>
  <c r="AL65" i="1"/>
  <c r="R27" i="5"/>
  <c r="L28" i="5"/>
  <c r="AF84" i="1" l="1"/>
  <c r="U263" i="1"/>
  <c r="Z65" i="1"/>
  <c r="U27" i="5"/>
  <c r="O28" i="5"/>
  <c r="AF85" i="1" l="1"/>
  <c r="U264" i="1"/>
  <c r="S28" i="5"/>
  <c r="N28" i="5"/>
  <c r="T28" i="5" s="1"/>
  <c r="Q29" i="5" s="1"/>
  <c r="B29" i="5" s="1"/>
  <c r="AF86" i="1" l="1"/>
  <c r="U265" i="1"/>
  <c r="AL66" i="1"/>
  <c r="R28" i="5"/>
  <c r="L29" i="5"/>
  <c r="AF87" i="1" l="1"/>
  <c r="U266" i="1"/>
  <c r="Z66" i="1"/>
  <c r="U28" i="5"/>
  <c r="O29" i="5"/>
  <c r="AF88" i="1" l="1"/>
  <c r="U267" i="1"/>
  <c r="S29" i="5"/>
  <c r="N29" i="5"/>
  <c r="T29" i="5" s="1"/>
  <c r="Q30" i="5" s="1"/>
  <c r="B30" i="5" s="1"/>
  <c r="AF89" i="1" l="1"/>
  <c r="U268" i="1"/>
  <c r="AL67" i="1"/>
  <c r="R29" i="5"/>
  <c r="L30" i="5"/>
  <c r="AF90" i="1" l="1"/>
  <c r="U269" i="1"/>
  <c r="U29" i="5"/>
  <c r="O30" i="5"/>
  <c r="AF91" i="1" l="1"/>
  <c r="U270" i="1"/>
  <c r="Z67" i="1"/>
  <c r="S30" i="5"/>
  <c r="N30" i="5"/>
  <c r="T30" i="5" s="1"/>
  <c r="Q31" i="5" s="1"/>
  <c r="B31" i="5" s="1"/>
  <c r="AF92" i="1" l="1"/>
  <c r="U271" i="1"/>
  <c r="AL68" i="1"/>
  <c r="R30" i="5"/>
  <c r="L31" i="5"/>
  <c r="AF93" i="1" l="1"/>
  <c r="U272" i="1"/>
  <c r="U30" i="5"/>
  <c r="Z68" i="1" s="1"/>
  <c r="O31" i="5"/>
  <c r="AF94" i="1" l="1"/>
  <c r="U273" i="1"/>
  <c r="S31" i="5"/>
  <c r="N31" i="5"/>
  <c r="T31" i="5" s="1"/>
  <c r="Q32" i="5" s="1"/>
  <c r="B32" i="5" s="1"/>
  <c r="AF95" i="1" l="1"/>
  <c r="U274" i="1"/>
  <c r="AL69" i="1"/>
  <c r="R31" i="5"/>
  <c r="L32" i="5"/>
  <c r="AF96" i="1" l="1"/>
  <c r="U275" i="1"/>
  <c r="U31" i="5"/>
  <c r="O32" i="5"/>
  <c r="AF97" i="1" l="1"/>
  <c r="U276" i="1"/>
  <c r="Z69" i="1"/>
  <c r="S32" i="5"/>
  <c r="N32" i="5"/>
  <c r="T32" i="5" s="1"/>
  <c r="Q33" i="5" s="1"/>
  <c r="B33" i="5" s="1"/>
  <c r="AF98" i="1" l="1"/>
  <c r="U277" i="1"/>
  <c r="AL70" i="1"/>
  <c r="R32" i="5"/>
  <c r="L33" i="5"/>
  <c r="AF99" i="1" l="1"/>
  <c r="U278" i="1"/>
  <c r="Z70" i="1"/>
  <c r="U32" i="5"/>
  <c r="O33" i="5"/>
  <c r="AF100" i="1" l="1"/>
  <c r="U279" i="1"/>
  <c r="S33" i="5"/>
  <c r="N33" i="5"/>
  <c r="T33" i="5" s="1"/>
  <c r="Q34" i="5" s="1"/>
  <c r="B34" i="5" s="1"/>
  <c r="AF101" i="1" l="1"/>
  <c r="U280" i="1"/>
  <c r="AL71" i="1"/>
  <c r="R33" i="5"/>
  <c r="L34" i="5"/>
  <c r="AF102" i="1" l="1"/>
  <c r="U281" i="1"/>
  <c r="U33" i="5"/>
  <c r="O34" i="5"/>
  <c r="AF103" i="1" l="1"/>
  <c r="U282" i="1"/>
  <c r="Z71" i="1"/>
  <c r="S34" i="5"/>
  <c r="N34" i="5"/>
  <c r="T34" i="5" s="1"/>
  <c r="Q35" i="5" s="1"/>
  <c r="B35" i="5" s="1"/>
  <c r="AF104" i="1" l="1"/>
  <c r="U283" i="1"/>
  <c r="AL72" i="1"/>
  <c r="R34" i="5"/>
  <c r="L35" i="5"/>
  <c r="AF105" i="1" l="1"/>
  <c r="U284" i="1"/>
  <c r="Z72" i="1"/>
  <c r="U34" i="5"/>
  <c r="O35" i="5"/>
  <c r="AF106" i="1" l="1"/>
  <c r="U285" i="1"/>
  <c r="S35" i="5"/>
  <c r="N35" i="5"/>
  <c r="T35" i="5" s="1"/>
  <c r="Q36" i="5" s="1"/>
  <c r="B36" i="5" s="1"/>
  <c r="AF107" i="1" l="1"/>
  <c r="U286" i="1"/>
  <c r="AL73" i="1"/>
  <c r="R35" i="5"/>
  <c r="L36" i="5"/>
  <c r="AF108" i="1" l="1"/>
  <c r="U287" i="1"/>
  <c r="U35" i="5"/>
  <c r="O36" i="5"/>
  <c r="AF109" i="1" l="1"/>
  <c r="U288" i="1"/>
  <c r="Z73" i="1"/>
  <c r="S36" i="5"/>
  <c r="N36" i="5"/>
  <c r="T36" i="5" s="1"/>
  <c r="Q37" i="5" s="1"/>
  <c r="B37" i="5" s="1"/>
  <c r="AF110" i="1" l="1"/>
  <c r="U289" i="1"/>
  <c r="AL74" i="1"/>
  <c r="R36" i="5"/>
  <c r="L37" i="5"/>
  <c r="AF111" i="1" l="1"/>
  <c r="U290" i="1"/>
  <c r="U36" i="5"/>
  <c r="O37" i="5"/>
  <c r="AF112" i="1" l="1"/>
  <c r="U291" i="1"/>
  <c r="Z74" i="1"/>
  <c r="S37" i="5"/>
  <c r="N37" i="5"/>
  <c r="T37" i="5" s="1"/>
  <c r="Q38" i="5" s="1"/>
  <c r="B38" i="5" s="1"/>
  <c r="AF113" i="1" l="1"/>
  <c r="U292" i="1"/>
  <c r="AL75" i="1"/>
  <c r="R37" i="5"/>
  <c r="L38" i="5"/>
  <c r="AF114" i="1" l="1"/>
  <c r="U293" i="1"/>
  <c r="U37" i="5"/>
  <c r="O38" i="5"/>
  <c r="AF115" i="1" l="1"/>
  <c r="U294" i="1"/>
  <c r="Z75" i="1"/>
  <c r="S38" i="5"/>
  <c r="N38" i="5"/>
  <c r="T38" i="5" s="1"/>
  <c r="Q39" i="5" s="1"/>
  <c r="B39" i="5" s="1"/>
  <c r="AF116" i="1" l="1"/>
  <c r="U295" i="1"/>
  <c r="AL76" i="1"/>
  <c r="R38" i="5"/>
  <c r="L39" i="5"/>
  <c r="AF117" i="1" l="1"/>
  <c r="U296" i="1"/>
  <c r="Z76" i="1"/>
  <c r="U38" i="5"/>
  <c r="O39" i="5"/>
  <c r="AF118" i="1" l="1"/>
  <c r="U297" i="1"/>
  <c r="S39" i="5"/>
  <c r="N39" i="5"/>
  <c r="T39" i="5" s="1"/>
  <c r="Q40" i="5" s="1"/>
  <c r="B40" i="5" s="1"/>
  <c r="AF119" i="1" l="1"/>
  <c r="U298" i="1"/>
  <c r="AL77" i="1"/>
  <c r="R39" i="5"/>
  <c r="L40" i="5"/>
  <c r="AF120" i="1" l="1"/>
  <c r="U299" i="1"/>
  <c r="Z77" i="1"/>
  <c r="U39" i="5"/>
  <c r="O40" i="5"/>
  <c r="AF121" i="1" l="1"/>
  <c r="U300" i="1"/>
  <c r="S40" i="5"/>
  <c r="N40" i="5"/>
  <c r="T40" i="5" s="1"/>
  <c r="Q41" i="5" s="1"/>
  <c r="B41" i="5" s="1"/>
  <c r="AF122" i="1" l="1"/>
  <c r="U301" i="1"/>
  <c r="AL78" i="1"/>
  <c r="R40" i="5"/>
  <c r="L41" i="5"/>
  <c r="AF123" i="1" l="1"/>
  <c r="U302" i="1"/>
  <c r="U40" i="5"/>
  <c r="O41" i="5"/>
  <c r="AF124" i="1" l="1"/>
  <c r="U303" i="1"/>
  <c r="Z78" i="1"/>
  <c r="S41" i="5"/>
  <c r="N41" i="5"/>
  <c r="T41" i="5" s="1"/>
  <c r="Q42" i="5" s="1"/>
  <c r="B42" i="5" s="1"/>
  <c r="AF125" i="1" l="1"/>
  <c r="U304" i="1"/>
  <c r="AL79" i="1"/>
  <c r="R41" i="5"/>
  <c r="L42" i="5"/>
  <c r="AF126" i="1" l="1"/>
  <c r="U305" i="1"/>
  <c r="U41" i="5"/>
  <c r="O42" i="5"/>
  <c r="AF127" i="1" l="1"/>
  <c r="U306" i="1"/>
  <c r="Z79" i="1"/>
  <c r="S42" i="5"/>
  <c r="N42" i="5"/>
  <c r="T42" i="5" s="1"/>
  <c r="Q43" i="5" s="1"/>
  <c r="B43" i="5" s="1"/>
  <c r="AF128" i="1" l="1"/>
  <c r="U307" i="1"/>
  <c r="AL80" i="1"/>
  <c r="R42" i="5"/>
  <c r="L43" i="5"/>
  <c r="AF129" i="1" l="1"/>
  <c r="U308" i="1"/>
  <c r="U42" i="5"/>
  <c r="O43" i="5"/>
  <c r="AF130" i="1" l="1"/>
  <c r="U309" i="1"/>
  <c r="Z80" i="1"/>
  <c r="S43" i="5"/>
  <c r="N43" i="5"/>
  <c r="T43" i="5" s="1"/>
  <c r="Q44" i="5" s="1"/>
  <c r="B44" i="5" s="1"/>
  <c r="AF131" i="1" l="1"/>
  <c r="U310" i="1"/>
  <c r="AL81" i="1"/>
  <c r="R43" i="5"/>
  <c r="L44" i="5"/>
  <c r="AF132" i="1" l="1"/>
  <c r="U311" i="1"/>
  <c r="U43" i="5"/>
  <c r="O44" i="5"/>
  <c r="AF133" i="1" l="1"/>
  <c r="U312" i="1"/>
  <c r="Z81" i="1"/>
  <c r="S44" i="5"/>
  <c r="N44" i="5"/>
  <c r="T44" i="5" s="1"/>
  <c r="Q45" i="5" s="1"/>
  <c r="B45" i="5" s="1"/>
  <c r="AF134" i="1" l="1"/>
  <c r="U313" i="1"/>
  <c r="AL82" i="1"/>
  <c r="R44" i="5"/>
  <c r="L45" i="5"/>
  <c r="AF135" i="1" l="1"/>
  <c r="U314" i="1"/>
  <c r="U44" i="5"/>
  <c r="O45" i="5"/>
  <c r="AF136" i="1" l="1"/>
  <c r="Z82" i="1"/>
  <c r="S45" i="5"/>
  <c r="N45" i="5"/>
  <c r="T45" i="5" s="1"/>
  <c r="Q46" i="5" s="1"/>
  <c r="B46" i="5" s="1"/>
  <c r="AF137" i="1" l="1"/>
  <c r="AL83" i="1"/>
  <c r="R45" i="5"/>
  <c r="L46" i="5"/>
  <c r="AF138" i="1" l="1"/>
  <c r="Z83" i="1"/>
  <c r="U45" i="5"/>
  <c r="O46" i="5"/>
  <c r="AF139" i="1" l="1"/>
  <c r="S46" i="5"/>
  <c r="N46" i="5"/>
  <c r="T46" i="5" s="1"/>
  <c r="Q47" i="5" s="1"/>
  <c r="B47" i="5" s="1"/>
  <c r="AF140" i="1" l="1"/>
  <c r="AL84" i="1"/>
  <c r="R46" i="5"/>
  <c r="L47" i="5"/>
  <c r="AF141" i="1" l="1"/>
  <c r="U46" i="5"/>
  <c r="O47" i="5"/>
  <c r="AF142" i="1" l="1"/>
  <c r="Z84" i="1"/>
  <c r="S47" i="5"/>
  <c r="N47" i="5"/>
  <c r="T47" i="5" s="1"/>
  <c r="Q48" i="5" s="1"/>
  <c r="B48" i="5" s="1"/>
  <c r="AF143" i="1" l="1"/>
  <c r="AL85" i="1"/>
  <c r="R47" i="5"/>
  <c r="L48" i="5"/>
  <c r="AF144" i="1" l="1"/>
  <c r="U47" i="5"/>
  <c r="O48" i="5"/>
  <c r="AF145" i="1" l="1"/>
  <c r="Z85" i="1"/>
  <c r="S48" i="5"/>
  <c r="N48" i="5"/>
  <c r="T48" i="5" s="1"/>
  <c r="Q49" i="5" s="1"/>
  <c r="B49" i="5" s="1"/>
  <c r="AF146" i="1" l="1"/>
  <c r="AL86" i="1"/>
  <c r="R48" i="5"/>
  <c r="L49" i="5"/>
  <c r="AF147" i="1" l="1"/>
  <c r="U48" i="5"/>
  <c r="O49" i="5"/>
  <c r="AF148" i="1" l="1"/>
  <c r="Z86" i="1"/>
  <c r="S49" i="5"/>
  <c r="N49" i="5"/>
  <c r="T49" i="5" s="1"/>
  <c r="Q50" i="5" s="1"/>
  <c r="B50" i="5" s="1"/>
  <c r="AF149" i="1" l="1"/>
  <c r="AL87" i="1"/>
  <c r="R49" i="5"/>
  <c r="L50" i="5"/>
  <c r="AF150" i="1" l="1"/>
  <c r="U49" i="5"/>
  <c r="O50" i="5"/>
  <c r="AF151" i="1" l="1"/>
  <c r="Z87" i="1"/>
  <c r="S50" i="5"/>
  <c r="N50" i="5"/>
  <c r="T50" i="5" s="1"/>
  <c r="Q51" i="5" s="1"/>
  <c r="B51" i="5" s="1"/>
  <c r="AF152" i="1" l="1"/>
  <c r="AL88" i="1"/>
  <c r="R50" i="5"/>
  <c r="L51" i="5"/>
  <c r="AF153" i="1" l="1"/>
  <c r="U50" i="5"/>
  <c r="O51" i="5"/>
  <c r="AF154" i="1" l="1"/>
  <c r="Z88" i="1"/>
  <c r="S51" i="5"/>
  <c r="N51" i="5"/>
  <c r="T51" i="5" s="1"/>
  <c r="Q52" i="5" s="1"/>
  <c r="B52" i="5" s="1"/>
  <c r="AF155" i="1" l="1"/>
  <c r="AL89" i="1"/>
  <c r="R51" i="5"/>
  <c r="L52" i="5"/>
  <c r="AF156" i="1" l="1"/>
  <c r="U51" i="5"/>
  <c r="O52" i="5"/>
  <c r="AF157" i="1" l="1"/>
  <c r="Z89" i="1"/>
  <c r="S52" i="5"/>
  <c r="N52" i="5"/>
  <c r="T52" i="5" s="1"/>
  <c r="Q53" i="5" s="1"/>
  <c r="B53" i="5" s="1"/>
  <c r="AF158" i="1" l="1"/>
  <c r="AL90" i="1"/>
  <c r="R52" i="5"/>
  <c r="L53" i="5"/>
  <c r="AF159" i="1" l="1"/>
  <c r="U52" i="5"/>
  <c r="O53" i="5"/>
  <c r="AF160" i="1" l="1"/>
  <c r="Z90" i="1"/>
  <c r="S53" i="5"/>
  <c r="N53" i="5"/>
  <c r="T53" i="5" s="1"/>
  <c r="Q54" i="5" s="1"/>
  <c r="B54" i="5" s="1"/>
  <c r="AF161" i="1" l="1"/>
  <c r="AL91" i="1"/>
  <c r="R53" i="5"/>
  <c r="L54" i="5"/>
  <c r="AF162" i="1" l="1"/>
  <c r="Z91" i="1"/>
  <c r="U53" i="5"/>
  <c r="O54" i="5"/>
  <c r="AF163" i="1" l="1"/>
  <c r="S54" i="5"/>
  <c r="N54" i="5"/>
  <c r="T54" i="5" s="1"/>
  <c r="Q55" i="5" s="1"/>
  <c r="B55" i="5" s="1"/>
  <c r="AF164" i="1" l="1"/>
  <c r="AL92" i="1"/>
  <c r="R54" i="5"/>
  <c r="L55" i="5"/>
  <c r="AF165" i="1" l="1"/>
  <c r="U54" i="5"/>
  <c r="O55" i="5"/>
  <c r="AF166" i="1" l="1"/>
  <c r="Z92" i="1"/>
  <c r="S55" i="5"/>
  <c r="N55" i="5"/>
  <c r="T55" i="5" s="1"/>
  <c r="Q56" i="5" s="1"/>
  <c r="B56" i="5" s="1"/>
  <c r="AF167" i="1" l="1"/>
  <c r="AL93" i="1"/>
  <c r="R55" i="5"/>
  <c r="L56" i="5"/>
  <c r="AF168" i="1" l="1"/>
  <c r="U55" i="5"/>
  <c r="O56" i="5"/>
  <c r="AF169" i="1" l="1"/>
  <c r="Z93" i="1"/>
  <c r="S56" i="5"/>
  <c r="N56" i="5"/>
  <c r="T56" i="5" s="1"/>
  <c r="Q57" i="5" s="1"/>
  <c r="B57" i="5" s="1"/>
  <c r="AF170" i="1" l="1"/>
  <c r="AL94" i="1"/>
  <c r="R56" i="5"/>
  <c r="L57" i="5"/>
  <c r="AF171" i="1" l="1"/>
  <c r="Z94" i="1"/>
  <c r="U56" i="5"/>
  <c r="O57" i="5"/>
  <c r="AF172" i="1" l="1"/>
  <c r="S57" i="5"/>
  <c r="N57" i="5"/>
  <c r="T57" i="5" s="1"/>
  <c r="Q58" i="5" s="1"/>
  <c r="B58" i="5" s="1"/>
  <c r="AF173" i="1" l="1"/>
  <c r="AL95" i="1"/>
  <c r="R57" i="5"/>
  <c r="L58" i="5"/>
  <c r="AF174" i="1" l="1"/>
  <c r="U57" i="5"/>
  <c r="O58" i="5"/>
  <c r="AF175" i="1" l="1"/>
  <c r="Z95" i="1"/>
  <c r="S58" i="5"/>
  <c r="N58" i="5"/>
  <c r="T58" i="5" s="1"/>
  <c r="Q59" i="5" s="1"/>
  <c r="B59" i="5" s="1"/>
  <c r="AF176" i="1" l="1"/>
  <c r="AL96" i="1"/>
  <c r="R58" i="5"/>
  <c r="L59" i="5"/>
  <c r="AF177" i="1" l="1"/>
  <c r="Z96" i="1"/>
  <c r="U58" i="5"/>
  <c r="O59" i="5"/>
  <c r="AF178" i="1" l="1"/>
  <c r="S59" i="5"/>
  <c r="N59" i="5"/>
  <c r="T59" i="5" s="1"/>
  <c r="Q60" i="5" s="1"/>
  <c r="B60" i="5" s="1"/>
  <c r="AF179" i="1" l="1"/>
  <c r="AL97" i="1"/>
  <c r="R59" i="5"/>
  <c r="L60" i="5"/>
  <c r="AF180" i="1" l="1"/>
  <c r="U59" i="5"/>
  <c r="O60" i="5"/>
  <c r="AF181" i="1" l="1"/>
  <c r="Z97" i="1"/>
  <c r="S60" i="5"/>
  <c r="N60" i="5"/>
  <c r="T60" i="5" s="1"/>
  <c r="Q61" i="5" s="1"/>
  <c r="B61" i="5" s="1"/>
  <c r="AF182" i="1" l="1"/>
  <c r="AL98" i="1"/>
  <c r="R60" i="5"/>
  <c r="L61" i="5"/>
  <c r="AF183" i="1" l="1"/>
  <c r="Z98" i="1"/>
  <c r="U60" i="5"/>
  <c r="O61" i="5"/>
  <c r="AF184" i="1" l="1"/>
  <c r="S61" i="5"/>
  <c r="N61" i="5"/>
  <c r="T61" i="5" s="1"/>
  <c r="Q62" i="5" s="1"/>
  <c r="B62" i="5" s="1"/>
  <c r="AF185" i="1" l="1"/>
  <c r="AL99" i="1"/>
  <c r="R61" i="5"/>
  <c r="L62" i="5"/>
  <c r="AF186" i="1" l="1"/>
  <c r="U61" i="5"/>
  <c r="O62" i="5"/>
  <c r="AF187" i="1" l="1"/>
  <c r="Z99" i="1"/>
  <c r="S62" i="5"/>
  <c r="N62" i="5"/>
  <c r="T62" i="5" s="1"/>
  <c r="Q63" i="5" s="1"/>
  <c r="B63" i="5" s="1"/>
  <c r="AF188" i="1" l="1"/>
  <c r="AL100" i="1"/>
  <c r="R62" i="5"/>
  <c r="L63" i="5"/>
  <c r="AF189" i="1" l="1"/>
  <c r="U62" i="5"/>
  <c r="O63" i="5"/>
  <c r="AF190" i="1" l="1"/>
  <c r="Z100" i="1"/>
  <c r="S63" i="5"/>
  <c r="N63" i="5"/>
  <c r="T63" i="5" s="1"/>
  <c r="Q64" i="5" s="1"/>
  <c r="B64" i="5" s="1"/>
  <c r="AF191" i="1" l="1"/>
  <c r="AL101" i="1"/>
  <c r="R63" i="5"/>
  <c r="L64" i="5"/>
  <c r="AF192" i="1" l="1"/>
  <c r="U63" i="5"/>
  <c r="O64" i="5"/>
  <c r="AF193" i="1" l="1"/>
  <c r="Z101" i="1"/>
  <c r="S64" i="5"/>
  <c r="N64" i="5"/>
  <c r="T64" i="5" s="1"/>
  <c r="Q65" i="5" s="1"/>
  <c r="B65" i="5" s="1"/>
  <c r="AF194" i="1" l="1"/>
  <c r="AL102" i="1"/>
  <c r="R64" i="5"/>
  <c r="L65" i="5"/>
  <c r="AF195" i="1" l="1"/>
  <c r="Z102" i="1"/>
  <c r="U64" i="5"/>
  <c r="O65" i="5"/>
  <c r="AF196" i="1" l="1"/>
  <c r="S65" i="5"/>
  <c r="N65" i="5"/>
  <c r="T65" i="5" s="1"/>
  <c r="Q66" i="5" s="1"/>
  <c r="B66" i="5" s="1"/>
  <c r="AF197" i="1" l="1"/>
  <c r="AL103" i="1"/>
  <c r="R65" i="5"/>
  <c r="L66" i="5"/>
  <c r="AF198" i="1" l="1"/>
  <c r="U65" i="5"/>
  <c r="O66" i="5"/>
  <c r="AF199" i="1" l="1"/>
  <c r="Z103" i="1"/>
  <c r="S66" i="5"/>
  <c r="N66" i="5"/>
  <c r="T66" i="5" s="1"/>
  <c r="Q67" i="5" s="1"/>
  <c r="B67" i="5" s="1"/>
  <c r="AF200" i="1" l="1"/>
  <c r="AL104" i="1"/>
  <c r="R66" i="5"/>
  <c r="L67" i="5"/>
  <c r="AF201" i="1" l="1"/>
  <c r="Z104" i="1"/>
  <c r="U66" i="5"/>
  <c r="O67" i="5"/>
  <c r="AF202" i="1" l="1"/>
  <c r="S67" i="5"/>
  <c r="N67" i="5"/>
  <c r="T67" i="5" s="1"/>
  <c r="Q68" i="5" s="1"/>
  <c r="B68" i="5" s="1"/>
  <c r="AF203" i="1" l="1"/>
  <c r="AL105" i="1"/>
  <c r="R67" i="5"/>
  <c r="L68" i="5"/>
  <c r="AF204" i="1" l="1"/>
  <c r="U67" i="5"/>
  <c r="O68" i="5"/>
  <c r="AF205" i="1" l="1"/>
  <c r="Z105" i="1"/>
  <c r="S68" i="5"/>
  <c r="N68" i="5"/>
  <c r="T68" i="5" s="1"/>
  <c r="Q69" i="5" s="1"/>
  <c r="B69" i="5" s="1"/>
  <c r="AF206" i="1" l="1"/>
  <c r="AL106" i="1"/>
  <c r="R68" i="5"/>
  <c r="L69" i="5"/>
  <c r="AF207" i="1" l="1"/>
  <c r="U68" i="5"/>
  <c r="O69" i="5"/>
  <c r="AF208" i="1" l="1"/>
  <c r="Z106" i="1"/>
  <c r="S69" i="5"/>
  <c r="N69" i="5"/>
  <c r="T69" i="5" s="1"/>
  <c r="Q70" i="5" s="1"/>
  <c r="B70" i="5" s="1"/>
  <c r="AF209" i="1" l="1"/>
  <c r="AL107" i="1"/>
  <c r="R69" i="5"/>
  <c r="L70" i="5"/>
  <c r="AF210" i="1" l="1"/>
  <c r="Z107" i="1"/>
  <c r="U69" i="5"/>
  <c r="O70" i="5"/>
  <c r="AF211" i="1" l="1"/>
  <c r="S70" i="5"/>
  <c r="N70" i="5"/>
  <c r="T70" i="5" s="1"/>
  <c r="Q71" i="5" s="1"/>
  <c r="B71" i="5" s="1"/>
  <c r="AF212" i="1" l="1"/>
  <c r="AL108" i="1"/>
  <c r="R70" i="5"/>
  <c r="L71" i="5"/>
  <c r="AF213" i="1" l="1"/>
  <c r="Z108" i="1"/>
  <c r="U70" i="5"/>
  <c r="O71" i="5"/>
  <c r="AF214" i="1" l="1"/>
  <c r="S71" i="5"/>
  <c r="N71" i="5"/>
  <c r="T71" i="5" s="1"/>
  <c r="Q72" i="5" s="1"/>
  <c r="B72" i="5" s="1"/>
  <c r="AF215" i="1" l="1"/>
  <c r="AL109" i="1"/>
  <c r="R71" i="5"/>
  <c r="L72" i="5"/>
  <c r="AF216" i="1" l="1"/>
  <c r="U71" i="5"/>
  <c r="O72" i="5"/>
  <c r="AF217" i="1" l="1"/>
  <c r="Z109" i="1"/>
  <c r="S72" i="5"/>
  <c r="N72" i="5"/>
  <c r="T72" i="5" s="1"/>
  <c r="Q73" i="5" s="1"/>
  <c r="B73" i="5" s="1"/>
  <c r="AF218" i="1" l="1"/>
  <c r="AL110" i="1"/>
  <c r="R72" i="5"/>
  <c r="L73" i="5"/>
  <c r="AF219" i="1" l="1"/>
  <c r="U72" i="5"/>
  <c r="Z110" i="1" s="1"/>
  <c r="O73" i="5"/>
  <c r="AF220" i="1" l="1"/>
  <c r="S73" i="5"/>
  <c r="N73" i="5"/>
  <c r="T73" i="5" s="1"/>
  <c r="Q74" i="5" s="1"/>
  <c r="B74" i="5" s="1"/>
  <c r="AF221" i="1" l="1"/>
  <c r="AL111" i="1"/>
  <c r="R73" i="5"/>
  <c r="L74" i="5"/>
  <c r="AF222" i="1" l="1"/>
  <c r="U73" i="5"/>
  <c r="O74" i="5"/>
  <c r="AF223" i="1" l="1"/>
  <c r="Z111" i="1"/>
  <c r="S74" i="5"/>
  <c r="N74" i="5"/>
  <c r="T74" i="5" s="1"/>
  <c r="Q75" i="5" s="1"/>
  <c r="B75" i="5" s="1"/>
  <c r="AF224" i="1" l="1"/>
  <c r="AL112" i="1"/>
  <c r="R74" i="5"/>
  <c r="L75" i="5"/>
  <c r="AF225" i="1" l="1"/>
  <c r="U74" i="5"/>
  <c r="O75" i="5"/>
  <c r="AF226" i="1" l="1"/>
  <c r="Z112" i="1"/>
  <c r="S75" i="5"/>
  <c r="N75" i="5"/>
  <c r="T75" i="5" s="1"/>
  <c r="Q76" i="5" s="1"/>
  <c r="B76" i="5" s="1"/>
  <c r="AF227" i="1" l="1"/>
  <c r="AL113" i="1"/>
  <c r="R75" i="5"/>
  <c r="L76" i="5"/>
  <c r="AF228" i="1" l="1"/>
  <c r="U75" i="5"/>
  <c r="O76" i="5"/>
  <c r="AF229" i="1" l="1"/>
  <c r="Z113" i="1"/>
  <c r="S76" i="5"/>
  <c r="N76" i="5"/>
  <c r="T76" i="5" s="1"/>
  <c r="Q77" i="5" s="1"/>
  <c r="B77" i="5" s="1"/>
  <c r="AF230" i="1" l="1"/>
  <c r="AL114" i="1"/>
  <c r="R76" i="5"/>
  <c r="L77" i="5"/>
  <c r="AF231" i="1" l="1"/>
  <c r="U76" i="5"/>
  <c r="O77" i="5"/>
  <c r="AF232" i="1" l="1"/>
  <c r="Z114" i="1"/>
  <c r="S77" i="5"/>
  <c r="N77" i="5"/>
  <c r="T77" i="5" s="1"/>
  <c r="Q78" i="5" s="1"/>
  <c r="B78" i="5" s="1"/>
  <c r="AF233" i="1" l="1"/>
  <c r="AL115" i="1"/>
  <c r="R77" i="5"/>
  <c r="L78" i="5"/>
  <c r="AF234" i="1" l="1"/>
  <c r="U77" i="5"/>
  <c r="O78" i="5"/>
  <c r="AF235" i="1" l="1"/>
  <c r="Z115" i="1"/>
  <c r="S78" i="5"/>
  <c r="N78" i="5"/>
  <c r="T78" i="5" s="1"/>
  <c r="Q79" i="5" s="1"/>
  <c r="B79" i="5" s="1"/>
  <c r="AF236" i="1" l="1"/>
  <c r="AL116" i="1"/>
  <c r="R78" i="5"/>
  <c r="L79" i="5"/>
  <c r="AF237" i="1" l="1"/>
  <c r="U78" i="5"/>
  <c r="O79" i="5"/>
  <c r="AF238" i="1" l="1"/>
  <c r="Z116" i="1"/>
  <c r="S79" i="5"/>
  <c r="N79" i="5"/>
  <c r="T79" i="5" s="1"/>
  <c r="Q80" i="5" s="1"/>
  <c r="B80" i="5" s="1"/>
  <c r="AF239" i="1" l="1"/>
  <c r="AL117" i="1"/>
  <c r="R79" i="5"/>
  <c r="L80" i="5"/>
  <c r="AF240" i="1" l="1"/>
  <c r="U79" i="5"/>
  <c r="O80" i="5"/>
  <c r="AF241" i="1" l="1"/>
  <c r="Z117" i="1"/>
  <c r="S80" i="5"/>
  <c r="N80" i="5"/>
  <c r="T80" i="5" s="1"/>
  <c r="Q81" i="5" s="1"/>
  <c r="B81" i="5" s="1"/>
  <c r="AF242" i="1" l="1"/>
  <c r="AL118" i="1"/>
  <c r="R80" i="5"/>
  <c r="L81" i="5"/>
  <c r="AF243" i="1" l="1"/>
  <c r="U80" i="5"/>
  <c r="O81" i="5"/>
  <c r="AF244" i="1" l="1"/>
  <c r="Z118" i="1"/>
  <c r="S81" i="5"/>
  <c r="N81" i="5"/>
  <c r="T81" i="5" s="1"/>
  <c r="Q82" i="5" s="1"/>
  <c r="B82" i="5" s="1"/>
  <c r="AF245" i="1" l="1"/>
  <c r="AL119" i="1"/>
  <c r="R81" i="5"/>
  <c r="L82" i="5"/>
  <c r="AF246" i="1" l="1"/>
  <c r="U81" i="5"/>
  <c r="O82" i="5"/>
  <c r="AF247" i="1" l="1"/>
  <c r="Z119" i="1"/>
  <c r="S82" i="5"/>
  <c r="N82" i="5"/>
  <c r="T82" i="5" s="1"/>
  <c r="Q83" i="5" s="1"/>
  <c r="B83" i="5" s="1"/>
  <c r="AF248" i="1" l="1"/>
  <c r="AL120" i="1"/>
  <c r="R82" i="5"/>
  <c r="L83" i="5"/>
  <c r="AF249" i="1" l="1"/>
  <c r="U82" i="5"/>
  <c r="O83" i="5"/>
  <c r="AF250" i="1" l="1"/>
  <c r="Z120" i="1"/>
  <c r="S83" i="5"/>
  <c r="N83" i="5"/>
  <c r="T83" i="5" s="1"/>
  <c r="Q84" i="5" s="1"/>
  <c r="B84" i="5" s="1"/>
  <c r="AF251" i="1" l="1"/>
  <c r="AL121" i="1"/>
  <c r="R83" i="5"/>
  <c r="L84" i="5"/>
  <c r="AF252" i="1" l="1"/>
  <c r="U83" i="5"/>
  <c r="O84" i="5"/>
  <c r="AF253" i="1" l="1"/>
  <c r="Z121" i="1"/>
  <c r="S84" i="5"/>
  <c r="N84" i="5"/>
  <c r="T84" i="5" s="1"/>
  <c r="Q85" i="5" s="1"/>
  <c r="B85" i="5" s="1"/>
  <c r="AF254" i="1" l="1"/>
  <c r="AL122" i="1"/>
  <c r="R84" i="5"/>
  <c r="L85" i="5"/>
  <c r="AF255" i="1" l="1"/>
  <c r="U84" i="5"/>
  <c r="O85" i="5"/>
  <c r="AF256" i="1" l="1"/>
  <c r="Z122" i="1"/>
  <c r="S85" i="5"/>
  <c r="N85" i="5"/>
  <c r="T85" i="5" s="1"/>
  <c r="Q86" i="5" s="1"/>
  <c r="B86" i="5" s="1"/>
  <c r="AF257" i="1" l="1"/>
  <c r="AL123" i="1"/>
  <c r="R85" i="5"/>
  <c r="L86" i="5"/>
  <c r="AF258" i="1" l="1"/>
  <c r="U85" i="5"/>
  <c r="Z123" i="1" s="1"/>
  <c r="O86" i="5"/>
  <c r="AF259" i="1" l="1"/>
  <c r="S86" i="5"/>
  <c r="N86" i="5"/>
  <c r="T86" i="5" s="1"/>
  <c r="Q87" i="5" s="1"/>
  <c r="B87" i="5" s="1"/>
  <c r="AF260" i="1" l="1"/>
  <c r="AL124" i="1"/>
  <c r="R86" i="5"/>
  <c r="L87" i="5"/>
  <c r="AF261" i="1" l="1"/>
  <c r="U86" i="5"/>
  <c r="O87" i="5"/>
  <c r="AF262" i="1" l="1"/>
  <c r="Z124" i="1"/>
  <c r="S87" i="5"/>
  <c r="N87" i="5"/>
  <c r="T87" i="5" s="1"/>
  <c r="Q88" i="5" s="1"/>
  <c r="B88" i="5" s="1"/>
  <c r="AF263" i="1" l="1"/>
  <c r="AL125" i="1"/>
  <c r="R87" i="5"/>
  <c r="L88" i="5"/>
  <c r="AF264" i="1" l="1"/>
  <c r="U87" i="5"/>
  <c r="O88" i="5"/>
  <c r="AF265" i="1" l="1"/>
  <c r="Z125" i="1"/>
  <c r="S88" i="5"/>
  <c r="N88" i="5"/>
  <c r="T88" i="5" s="1"/>
  <c r="Q89" i="5" s="1"/>
  <c r="B89" i="5" s="1"/>
  <c r="AF266" i="1" l="1"/>
  <c r="AL126" i="1"/>
  <c r="R88" i="5"/>
  <c r="L89" i="5"/>
  <c r="AF267" i="1" l="1"/>
  <c r="U88" i="5"/>
  <c r="O89" i="5"/>
  <c r="AF268" i="1" l="1"/>
  <c r="Z126" i="1"/>
  <c r="S89" i="5"/>
  <c r="N89" i="5"/>
  <c r="T89" i="5" s="1"/>
  <c r="Q90" i="5" s="1"/>
  <c r="B90" i="5" s="1"/>
  <c r="AF269" i="1" l="1"/>
  <c r="AL127" i="1"/>
  <c r="R89" i="5"/>
  <c r="L90" i="5"/>
  <c r="AF270" i="1" l="1"/>
  <c r="U89" i="5"/>
  <c r="Z127" i="1" s="1"/>
  <c r="O90" i="5"/>
  <c r="AF271" i="1" l="1"/>
  <c r="S90" i="5"/>
  <c r="N90" i="5"/>
  <c r="T90" i="5" s="1"/>
  <c r="Q91" i="5" s="1"/>
  <c r="B91" i="5" s="1"/>
  <c r="AF272" i="1" l="1"/>
  <c r="AL128" i="1"/>
  <c r="R90" i="5"/>
  <c r="L91" i="5"/>
  <c r="AF273" i="1" l="1"/>
  <c r="U90" i="5"/>
  <c r="O91" i="5"/>
  <c r="AF274" i="1" l="1"/>
  <c r="Z128" i="1"/>
  <c r="S91" i="5"/>
  <c r="N91" i="5"/>
  <c r="T91" i="5" s="1"/>
  <c r="Q92" i="5" s="1"/>
  <c r="B92" i="5" s="1"/>
  <c r="AF275" i="1" l="1"/>
  <c r="AL129" i="1"/>
  <c r="R91" i="5"/>
  <c r="L92" i="5"/>
  <c r="AF276" i="1" l="1"/>
  <c r="U91" i="5"/>
  <c r="O92" i="5"/>
  <c r="AF277" i="1" l="1"/>
  <c r="Z129" i="1"/>
  <c r="S92" i="5"/>
  <c r="N92" i="5"/>
  <c r="T92" i="5" s="1"/>
  <c r="Q93" i="5" s="1"/>
  <c r="B93" i="5" s="1"/>
  <c r="AF278" i="1" l="1"/>
  <c r="AL130" i="1"/>
  <c r="R92" i="5"/>
  <c r="L93" i="5"/>
  <c r="AF279" i="1" l="1"/>
  <c r="U92" i="5"/>
  <c r="O93" i="5"/>
  <c r="AF280" i="1" l="1"/>
  <c r="Z130" i="1"/>
  <c r="S93" i="5"/>
  <c r="N93" i="5"/>
  <c r="T93" i="5" s="1"/>
  <c r="Q94" i="5" s="1"/>
  <c r="B94" i="5" s="1"/>
  <c r="AF281" i="1" l="1"/>
  <c r="AL131" i="1"/>
  <c r="R93" i="5"/>
  <c r="L94" i="5"/>
  <c r="AF282" i="1" l="1"/>
  <c r="U93" i="5"/>
  <c r="O94" i="5"/>
  <c r="AF283" i="1" l="1"/>
  <c r="Z131" i="1"/>
  <c r="S94" i="5"/>
  <c r="N94" i="5"/>
  <c r="T94" i="5" s="1"/>
  <c r="Q95" i="5" s="1"/>
  <c r="B95" i="5" s="1"/>
  <c r="AF284" i="1" l="1"/>
  <c r="AL132" i="1"/>
  <c r="R94" i="5"/>
  <c r="L95" i="5"/>
  <c r="AF285" i="1" l="1"/>
  <c r="U94" i="5"/>
  <c r="O95" i="5"/>
  <c r="AF286" i="1" l="1"/>
  <c r="Z132" i="1"/>
  <c r="S95" i="5"/>
  <c r="N95" i="5"/>
  <c r="T95" i="5" s="1"/>
  <c r="Q96" i="5" s="1"/>
  <c r="B96" i="5" s="1"/>
  <c r="AF287" i="1" l="1"/>
  <c r="AL133" i="1"/>
  <c r="R95" i="5"/>
  <c r="L96" i="5"/>
  <c r="AF288" i="1" l="1"/>
  <c r="U95" i="5"/>
  <c r="Z133" i="1" s="1"/>
  <c r="O96" i="5"/>
  <c r="AF289" i="1" l="1"/>
  <c r="S96" i="5"/>
  <c r="N96" i="5"/>
  <c r="T96" i="5" s="1"/>
  <c r="Q97" i="5" s="1"/>
  <c r="B97" i="5" s="1"/>
  <c r="AF290" i="1" l="1"/>
  <c r="AL134" i="1"/>
  <c r="R96" i="5"/>
  <c r="L97" i="5"/>
  <c r="AF291" i="1" l="1"/>
  <c r="U96" i="5"/>
  <c r="O97" i="5"/>
  <c r="AF292" i="1" l="1"/>
  <c r="Z134" i="1"/>
  <c r="S97" i="5"/>
  <c r="N97" i="5"/>
  <c r="T97" i="5" s="1"/>
  <c r="Q98" i="5" s="1"/>
  <c r="B98" i="5" s="1"/>
  <c r="AF293" i="1" l="1"/>
  <c r="AL135" i="1"/>
  <c r="R97" i="5"/>
  <c r="L98" i="5"/>
  <c r="AF294" i="1" l="1"/>
  <c r="U97" i="5"/>
  <c r="O98" i="5"/>
  <c r="AF295" i="1" l="1"/>
  <c r="Z135" i="1"/>
  <c r="S98" i="5"/>
  <c r="N98" i="5"/>
  <c r="T98" i="5" s="1"/>
  <c r="Q99" i="5" s="1"/>
  <c r="B99" i="5" s="1"/>
  <c r="AF296" i="1" l="1"/>
  <c r="AL136" i="1"/>
  <c r="R98" i="5"/>
  <c r="L99" i="5"/>
  <c r="AF297" i="1" l="1"/>
  <c r="U98" i="5"/>
  <c r="O99" i="5"/>
  <c r="AF298" i="1" l="1"/>
  <c r="Z136" i="1"/>
  <c r="S99" i="5"/>
  <c r="N99" i="5"/>
  <c r="T99" i="5" s="1"/>
  <c r="Q100" i="5" s="1"/>
  <c r="B100" i="5" s="1"/>
  <c r="AF299" i="1" l="1"/>
  <c r="AL137" i="1"/>
  <c r="R99" i="5"/>
  <c r="L100" i="5"/>
  <c r="AF300" i="1" l="1"/>
  <c r="U99" i="5"/>
  <c r="O100" i="5"/>
  <c r="AF301" i="1" l="1"/>
  <c r="Z137" i="1"/>
  <c r="S100" i="5"/>
  <c r="N100" i="5"/>
  <c r="T100" i="5" s="1"/>
  <c r="Q101" i="5" s="1"/>
  <c r="B101" i="5" s="1"/>
  <c r="AF302" i="1" l="1"/>
  <c r="AL138" i="1"/>
  <c r="R100" i="5"/>
  <c r="L101" i="5"/>
  <c r="AF303" i="1" l="1"/>
  <c r="U100" i="5"/>
  <c r="O101" i="5"/>
  <c r="AF304" i="1" l="1"/>
  <c r="Z138" i="1"/>
  <c r="S101" i="5"/>
  <c r="N101" i="5"/>
  <c r="T101" i="5" s="1"/>
  <c r="Q102" i="5" s="1"/>
  <c r="B102" i="5" s="1"/>
  <c r="AF305" i="1" l="1"/>
  <c r="AL139" i="1"/>
  <c r="R101" i="5"/>
  <c r="L102" i="5"/>
  <c r="AF306" i="1" l="1"/>
  <c r="U101" i="5"/>
  <c r="O102" i="5"/>
  <c r="AF307" i="1" l="1"/>
  <c r="Z139" i="1"/>
  <c r="S102" i="5"/>
  <c r="N102" i="5"/>
  <c r="T102" i="5" s="1"/>
  <c r="Q103" i="5" s="1"/>
  <c r="B103" i="5" s="1"/>
  <c r="AF308" i="1" l="1"/>
  <c r="AL140" i="1"/>
  <c r="R102" i="5"/>
  <c r="L103" i="5"/>
  <c r="AF309" i="1" l="1"/>
  <c r="AF310" i="1" s="1"/>
  <c r="AF311" i="1" s="1"/>
  <c r="AF312" i="1" s="1"/>
  <c r="AF313" i="1" s="1"/>
  <c r="AF314" i="1" s="1"/>
  <c r="U102" i="5"/>
  <c r="O103" i="5"/>
  <c r="Z140" i="1" l="1"/>
  <c r="S103" i="5"/>
  <c r="N103" i="5"/>
  <c r="T103" i="5" s="1"/>
  <c r="Q104" i="5" s="1"/>
  <c r="B104" i="5" s="1"/>
  <c r="AL141" i="1" l="1"/>
  <c r="R103" i="5"/>
  <c r="L104" i="5"/>
  <c r="U103" i="5" l="1"/>
  <c r="Z141" i="1" s="1"/>
  <c r="O104" i="5"/>
  <c r="S104" i="5" l="1"/>
  <c r="N104" i="5"/>
  <c r="T104" i="5" s="1"/>
  <c r="Q105" i="5" s="1"/>
  <c r="B105" i="5" s="1"/>
  <c r="AL142" i="1" l="1"/>
  <c r="R104" i="5"/>
  <c r="L105" i="5"/>
  <c r="U104" i="5" l="1"/>
  <c r="O105" i="5"/>
  <c r="Z142" i="1" l="1"/>
  <c r="S105" i="5"/>
  <c r="N105" i="5"/>
  <c r="T105" i="5" s="1"/>
  <c r="Q106" i="5" s="1"/>
  <c r="B106" i="5" s="1"/>
  <c r="AL143" i="1" l="1"/>
  <c r="R105" i="5"/>
  <c r="L106" i="5"/>
  <c r="U105" i="5" l="1"/>
  <c r="O106" i="5"/>
  <c r="Z143" i="1" l="1"/>
  <c r="S106" i="5"/>
  <c r="N106" i="5"/>
  <c r="T106" i="5" s="1"/>
  <c r="Q107" i="5" s="1"/>
  <c r="B107" i="5" s="1"/>
  <c r="AL144" i="1" l="1"/>
  <c r="R106" i="5"/>
  <c r="L107" i="5"/>
  <c r="U106" i="5" l="1"/>
  <c r="O107" i="5"/>
  <c r="Z144" i="1" l="1"/>
  <c r="S107" i="5"/>
  <c r="N107" i="5"/>
  <c r="T107" i="5" s="1"/>
  <c r="Q108" i="5" s="1"/>
  <c r="B108" i="5" s="1"/>
  <c r="AL145" i="1" l="1"/>
  <c r="R107" i="5"/>
  <c r="L108" i="5"/>
  <c r="U107" i="5" l="1"/>
  <c r="O108" i="5"/>
  <c r="Z145" i="1" l="1"/>
  <c r="S108" i="5"/>
  <c r="N108" i="5"/>
  <c r="T108" i="5" s="1"/>
  <c r="Q109" i="5" s="1"/>
  <c r="B109" i="5" s="1"/>
  <c r="AL146" i="1" l="1"/>
  <c r="R108" i="5"/>
  <c r="L109" i="5"/>
  <c r="U108" i="5" l="1"/>
  <c r="O109" i="5"/>
  <c r="Z146" i="1" l="1"/>
  <c r="S109" i="5"/>
  <c r="N109" i="5"/>
  <c r="T109" i="5" s="1"/>
  <c r="Q110" i="5" s="1"/>
  <c r="B110" i="5" s="1"/>
  <c r="AL147" i="1" l="1"/>
  <c r="R109" i="5"/>
  <c r="L110" i="5"/>
  <c r="U109" i="5" l="1"/>
  <c r="O110" i="5"/>
  <c r="Z147" i="1" l="1"/>
  <c r="S110" i="5"/>
  <c r="N110" i="5"/>
  <c r="T110" i="5" s="1"/>
  <c r="Q111" i="5" s="1"/>
  <c r="B111" i="5" s="1"/>
  <c r="AL148" i="1" l="1"/>
  <c r="R110" i="5"/>
  <c r="L111" i="5"/>
  <c r="U110" i="5" l="1"/>
  <c r="O111" i="5"/>
  <c r="Z148" i="1" l="1"/>
  <c r="S111" i="5"/>
  <c r="N111" i="5"/>
  <c r="T111" i="5" s="1"/>
  <c r="Q112" i="5" s="1"/>
  <c r="B112" i="5" s="1"/>
  <c r="AL149" i="1" l="1"/>
  <c r="R111" i="5"/>
  <c r="L112" i="5"/>
  <c r="U111" i="5" l="1"/>
  <c r="Z149" i="1" s="1"/>
  <c r="O112" i="5"/>
  <c r="S112" i="5" l="1"/>
  <c r="N112" i="5"/>
  <c r="T112" i="5" s="1"/>
  <c r="Q113" i="5" s="1"/>
  <c r="B113" i="5" s="1"/>
  <c r="AL150" i="1" l="1"/>
  <c r="R112" i="5"/>
  <c r="L113" i="5"/>
  <c r="U112" i="5" l="1"/>
  <c r="Z150" i="1" s="1"/>
  <c r="O113" i="5"/>
  <c r="S113" i="5" l="1"/>
  <c r="N113" i="5"/>
  <c r="T113" i="5" s="1"/>
  <c r="Q114" i="5" s="1"/>
  <c r="B114" i="5" s="1"/>
  <c r="AL151" i="1" l="1"/>
  <c r="R113" i="5"/>
  <c r="L114" i="5"/>
  <c r="U113" i="5" l="1"/>
  <c r="O114" i="5"/>
  <c r="Z151" i="1" l="1"/>
  <c r="S114" i="5"/>
  <c r="N114" i="5"/>
  <c r="T114" i="5" s="1"/>
  <c r="Q115" i="5" s="1"/>
  <c r="B115" i="5" s="1"/>
  <c r="AL152" i="1" l="1"/>
  <c r="R114" i="5"/>
  <c r="L115" i="5"/>
  <c r="U114" i="5" l="1"/>
  <c r="O115" i="5"/>
  <c r="Z152" i="1" l="1"/>
  <c r="S115" i="5"/>
  <c r="N115" i="5"/>
  <c r="T115" i="5" s="1"/>
  <c r="Q116" i="5" s="1"/>
  <c r="B116" i="5" s="1"/>
  <c r="AL153" i="1" l="1"/>
  <c r="R115" i="5"/>
  <c r="L116" i="5"/>
  <c r="U115" i="5" l="1"/>
  <c r="O116" i="5"/>
  <c r="Z153" i="1" l="1"/>
  <c r="S116" i="5"/>
  <c r="N116" i="5"/>
  <c r="T116" i="5" s="1"/>
  <c r="Q117" i="5" s="1"/>
  <c r="B117" i="5" s="1"/>
  <c r="AL154" i="1" l="1"/>
  <c r="R116" i="5"/>
  <c r="L117" i="5"/>
  <c r="U116" i="5" l="1"/>
  <c r="O117" i="5"/>
  <c r="Z154" i="1" l="1"/>
  <c r="S117" i="5"/>
  <c r="N117" i="5"/>
  <c r="T117" i="5" s="1"/>
  <c r="Q118" i="5" s="1"/>
  <c r="B118" i="5" s="1"/>
  <c r="AL155" i="1" l="1"/>
  <c r="R117" i="5"/>
  <c r="L118" i="5"/>
  <c r="U117" i="5" l="1"/>
  <c r="O118" i="5"/>
  <c r="Z155" i="1" l="1"/>
  <c r="S118" i="5"/>
  <c r="N118" i="5"/>
  <c r="T118" i="5" s="1"/>
  <c r="Q119" i="5" s="1"/>
  <c r="B119" i="5" s="1"/>
  <c r="AL156" i="1" l="1"/>
  <c r="R118" i="5"/>
  <c r="L119" i="5"/>
  <c r="U118" i="5" l="1"/>
  <c r="O119" i="5"/>
  <c r="Z156" i="1" l="1"/>
  <c r="S119" i="5"/>
  <c r="N119" i="5"/>
  <c r="T119" i="5" s="1"/>
  <c r="Q120" i="5" s="1"/>
  <c r="B120" i="5" s="1"/>
  <c r="AL157" i="1" l="1"/>
  <c r="R119" i="5"/>
  <c r="L120" i="5"/>
  <c r="U119" i="5" l="1"/>
  <c r="Z157" i="1" s="1"/>
  <c r="O120" i="5"/>
  <c r="S120" i="5" l="1"/>
  <c r="N120" i="5"/>
  <c r="T120" i="5" s="1"/>
  <c r="Q121" i="5" s="1"/>
  <c r="B121" i="5" s="1"/>
  <c r="AL158" i="1" l="1"/>
  <c r="R120" i="5"/>
  <c r="L121" i="5"/>
  <c r="U120" i="5" l="1"/>
  <c r="AH186" i="1"/>
  <c r="O121" i="5"/>
  <c r="Z158" i="1" l="1"/>
  <c r="S121" i="5"/>
  <c r="N121" i="5"/>
  <c r="T121" i="5" s="1"/>
  <c r="Q122" i="5" s="1"/>
  <c r="B122" i="5" s="1"/>
  <c r="AL159" i="1" l="1"/>
  <c r="R121" i="5"/>
  <c r="L122" i="5"/>
  <c r="U121" i="5" l="1"/>
  <c r="O122" i="5"/>
  <c r="Z159" i="1" l="1"/>
  <c r="AH187" i="1"/>
  <c r="S122" i="5"/>
  <c r="N122" i="5"/>
  <c r="T122" i="5" s="1"/>
  <c r="Q123" i="5" s="1"/>
  <c r="B123" i="5" s="1"/>
  <c r="AL160" i="1" l="1"/>
  <c r="R122" i="5"/>
  <c r="L123" i="5"/>
  <c r="U122" i="5" l="1"/>
  <c r="O123" i="5"/>
  <c r="Z160" i="1" l="1"/>
  <c r="S123" i="5"/>
  <c r="N123" i="5"/>
  <c r="T123" i="5" s="1"/>
  <c r="Q124" i="5" s="1"/>
  <c r="B124" i="5" s="1"/>
  <c r="AL161" i="1" l="1"/>
  <c r="AH188" i="1"/>
  <c r="R123" i="5"/>
  <c r="L124" i="5"/>
  <c r="U123" i="5" l="1"/>
  <c r="O124" i="5"/>
  <c r="Z161" i="1" l="1"/>
  <c r="S124" i="5"/>
  <c r="N124" i="5"/>
  <c r="T124" i="5" s="1"/>
  <c r="Q125" i="5" s="1"/>
  <c r="B125" i="5" s="1"/>
  <c r="AL162" i="1" l="1"/>
  <c r="R124" i="5"/>
  <c r="L125" i="5"/>
  <c r="U124" i="5" l="1"/>
  <c r="AH189" i="1"/>
  <c r="O125" i="5"/>
  <c r="Z162" i="1" l="1"/>
  <c r="S125" i="5"/>
  <c r="N125" i="5"/>
  <c r="T125" i="5" s="1"/>
  <c r="Q126" i="5" s="1"/>
  <c r="B126" i="5" s="1"/>
  <c r="AL163" i="1" l="1"/>
  <c r="R125" i="5"/>
  <c r="L126" i="5"/>
  <c r="U125" i="5" l="1"/>
  <c r="Z163" i="1" s="1"/>
  <c r="O126" i="5"/>
  <c r="AH190" i="1" l="1"/>
  <c r="S126" i="5"/>
  <c r="N126" i="5"/>
  <c r="T126" i="5" s="1"/>
  <c r="Q127" i="5" s="1"/>
  <c r="B127" i="5" s="1"/>
  <c r="AL164" i="1" l="1"/>
  <c r="R126" i="5"/>
  <c r="L127" i="5"/>
  <c r="U126" i="5" l="1"/>
  <c r="O127" i="5"/>
  <c r="Z164" i="1" l="1"/>
  <c r="S127" i="5"/>
  <c r="N127" i="5"/>
  <c r="T127" i="5" s="1"/>
  <c r="Q128" i="5" s="1"/>
  <c r="B128" i="5" s="1"/>
  <c r="AL165" i="1" l="1"/>
  <c r="AH191" i="1"/>
  <c r="R127" i="5"/>
  <c r="L128" i="5"/>
  <c r="U127" i="5" l="1"/>
  <c r="Z165" i="1" s="1"/>
  <c r="O128" i="5"/>
  <c r="S128" i="5" l="1"/>
  <c r="N128" i="5"/>
  <c r="T128" i="5" s="1"/>
  <c r="Q129" i="5" s="1"/>
  <c r="B129" i="5" s="1"/>
  <c r="AL166" i="1" l="1"/>
  <c r="R128" i="5"/>
  <c r="L129" i="5"/>
  <c r="U128" i="5" l="1"/>
  <c r="AH192" i="1"/>
  <c r="O129" i="5"/>
  <c r="Z166" i="1" l="1"/>
  <c r="S129" i="5"/>
  <c r="N129" i="5"/>
  <c r="T129" i="5" s="1"/>
  <c r="Q130" i="5" s="1"/>
  <c r="B130" i="5" s="1"/>
  <c r="AL167" i="1" l="1"/>
  <c r="R129" i="5"/>
  <c r="L130" i="5"/>
  <c r="U129" i="5" l="1"/>
  <c r="O130" i="5"/>
  <c r="Z167" i="1" l="1"/>
  <c r="AH193" i="1"/>
  <c r="S130" i="5"/>
  <c r="N130" i="5"/>
  <c r="T130" i="5" s="1"/>
  <c r="Q131" i="5" s="1"/>
  <c r="B131" i="5" s="1"/>
  <c r="AL168" i="1" l="1"/>
  <c r="R130" i="5"/>
  <c r="L131" i="5"/>
  <c r="U130" i="5" l="1"/>
  <c r="Z168" i="1" s="1"/>
  <c r="O131" i="5"/>
  <c r="S131" i="5" l="1"/>
  <c r="N131" i="5"/>
  <c r="T131" i="5" s="1"/>
  <c r="Q132" i="5" s="1"/>
  <c r="B132" i="5" s="1"/>
  <c r="AL169" i="1" l="1"/>
  <c r="AH194" i="1"/>
  <c r="R131" i="5"/>
  <c r="L132" i="5"/>
  <c r="U131" i="5" l="1"/>
  <c r="O132" i="5"/>
  <c r="Z169" i="1" l="1"/>
  <c r="S132" i="5"/>
  <c r="N132" i="5"/>
  <c r="T132" i="5" s="1"/>
  <c r="Q133" i="5" s="1"/>
  <c r="B133" i="5" s="1"/>
  <c r="AL170" i="1" l="1"/>
  <c r="R132" i="5"/>
  <c r="L133" i="5"/>
  <c r="U132" i="5" l="1"/>
  <c r="AH195" i="1"/>
  <c r="O133" i="5"/>
  <c r="Z170" i="1" l="1"/>
  <c r="S133" i="5"/>
  <c r="N133" i="5"/>
  <c r="T133" i="5" s="1"/>
  <c r="Q134" i="5" s="1"/>
  <c r="B134" i="5" s="1"/>
  <c r="AL171" i="1" l="1"/>
  <c r="R133" i="5"/>
  <c r="L134" i="5"/>
  <c r="U133" i="5" l="1"/>
  <c r="O134" i="5"/>
  <c r="Z171" i="1" l="1"/>
  <c r="AH196" i="1"/>
  <c r="S134" i="5"/>
  <c r="N134" i="5"/>
  <c r="T134" i="5" s="1"/>
  <c r="Q135" i="5" s="1"/>
  <c r="B135" i="5" s="1"/>
  <c r="AL172" i="1" l="1"/>
  <c r="R134" i="5"/>
  <c r="L135" i="5"/>
  <c r="U134" i="5" l="1"/>
  <c r="O135" i="5"/>
  <c r="Z172" i="1" l="1"/>
  <c r="S135" i="5"/>
  <c r="N135" i="5"/>
  <c r="T135" i="5" s="1"/>
  <c r="Q136" i="5" s="1"/>
  <c r="B136" i="5" s="1"/>
  <c r="AL173" i="1" l="1"/>
  <c r="AH197" i="1"/>
  <c r="R135" i="5"/>
  <c r="L136" i="5"/>
  <c r="U135" i="5" l="1"/>
  <c r="O136" i="5"/>
  <c r="Z173" i="1" l="1"/>
  <c r="S136" i="5"/>
  <c r="N136" i="5"/>
  <c r="T136" i="5" s="1"/>
  <c r="Q137" i="5" s="1"/>
  <c r="B137" i="5" s="1"/>
  <c r="AL174" i="1" l="1"/>
  <c r="R136" i="5"/>
  <c r="L137" i="5"/>
  <c r="U136" i="5" l="1"/>
  <c r="Z174" i="1" s="1"/>
  <c r="AH198" i="1"/>
  <c r="O137" i="5"/>
  <c r="S137" i="5" l="1"/>
  <c r="N137" i="5"/>
  <c r="T137" i="5" s="1"/>
  <c r="Q138" i="5" s="1"/>
  <c r="B138" i="5" s="1"/>
  <c r="AL175" i="1" l="1"/>
  <c r="R137" i="5"/>
  <c r="L138" i="5"/>
  <c r="U137" i="5" l="1"/>
  <c r="Z175" i="1" s="1"/>
  <c r="O138" i="5"/>
  <c r="AH199" i="1" l="1"/>
  <c r="S138" i="5"/>
  <c r="N138" i="5"/>
  <c r="T138" i="5" s="1"/>
  <c r="Q139" i="5" s="1"/>
  <c r="B139" i="5" s="1"/>
  <c r="AL176" i="1" l="1"/>
  <c r="R138" i="5"/>
  <c r="L139" i="5"/>
  <c r="U138" i="5" l="1"/>
  <c r="O139" i="5"/>
  <c r="Z176" i="1" l="1"/>
  <c r="S139" i="5"/>
  <c r="N139" i="5"/>
  <c r="T139" i="5" s="1"/>
  <c r="Q140" i="5" s="1"/>
  <c r="B140" i="5" s="1"/>
  <c r="AL177" i="1" l="1"/>
  <c r="AH200" i="1"/>
  <c r="R139" i="5"/>
  <c r="L140" i="5"/>
  <c r="U139" i="5" l="1"/>
  <c r="O140" i="5"/>
  <c r="Z177" i="1" l="1"/>
  <c r="S140" i="5"/>
  <c r="N140" i="5"/>
  <c r="T140" i="5" s="1"/>
  <c r="Q141" i="5" s="1"/>
  <c r="AL178" i="1" l="1"/>
  <c r="R140" i="5"/>
  <c r="L141" i="5"/>
  <c r="U140" i="5" l="1"/>
  <c r="Z178" i="1" s="1"/>
  <c r="AH201" i="1"/>
  <c r="O141" i="5"/>
  <c r="S141" i="5" l="1"/>
  <c r="N141" i="5"/>
  <c r="T141" i="5" s="1"/>
  <c r="Q142" i="5" s="1"/>
  <c r="AL179" i="1" l="1"/>
  <c r="R141" i="5"/>
  <c r="L142" i="5"/>
  <c r="U141" i="5" l="1"/>
  <c r="O142" i="5"/>
  <c r="Z179" i="1" l="1"/>
  <c r="AH202" i="1"/>
  <c r="S142" i="5"/>
  <c r="N142" i="5"/>
  <c r="T142" i="5" s="1"/>
  <c r="AL180" i="1" l="1"/>
  <c r="Q143" i="5"/>
  <c r="R142" i="5"/>
  <c r="L143" i="5"/>
  <c r="U142" i="5" l="1"/>
  <c r="Z180" i="1" s="1"/>
  <c r="O143" i="5"/>
  <c r="S143" i="5" l="1"/>
  <c r="N143" i="5"/>
  <c r="T143" i="5" s="1"/>
  <c r="AL181" i="1" l="1"/>
  <c r="Q144" i="5"/>
  <c r="AH203" i="1"/>
  <c r="R143" i="5"/>
  <c r="L144" i="5"/>
  <c r="U143" i="5" l="1"/>
  <c r="Z181" i="1" s="1"/>
  <c r="O144" i="5"/>
  <c r="S144" i="5" l="1"/>
  <c r="N144" i="5"/>
  <c r="T144" i="5" s="1"/>
  <c r="Q145" i="5" s="1"/>
  <c r="AL182" i="1" l="1"/>
  <c r="R144" i="5"/>
  <c r="L145" i="5"/>
  <c r="U144" i="5" l="1"/>
  <c r="Z182" i="1" s="1"/>
  <c r="AH204" i="1"/>
  <c r="O145" i="5"/>
  <c r="S145" i="5" l="1"/>
  <c r="N145" i="5"/>
  <c r="T145" i="5" s="1"/>
  <c r="Q146" i="5" s="1"/>
  <c r="AL183" i="1" l="1"/>
  <c r="R145" i="5"/>
  <c r="L146" i="5"/>
  <c r="U145" i="5" l="1"/>
  <c r="O146" i="5"/>
  <c r="Z183" i="1" l="1"/>
  <c r="AH205" i="1"/>
  <c r="S146" i="5"/>
  <c r="N146" i="5"/>
  <c r="T146" i="5" s="1"/>
  <c r="Q147" i="5" s="1"/>
  <c r="AL184" i="1" l="1"/>
  <c r="R146" i="5"/>
  <c r="L147" i="5"/>
  <c r="U146" i="5" l="1"/>
  <c r="Z184" i="1" s="1"/>
  <c r="O147" i="5"/>
  <c r="S147" i="5" l="1"/>
  <c r="N147" i="5"/>
  <c r="T147" i="5" s="1"/>
  <c r="Q148" i="5" s="1"/>
  <c r="AL185" i="1" l="1"/>
  <c r="AH206" i="1"/>
  <c r="R147" i="5"/>
  <c r="L148" i="5"/>
  <c r="U147" i="5" l="1"/>
  <c r="Z185" i="1" s="1"/>
  <c r="O148" i="5"/>
  <c r="S148" i="5" l="1"/>
  <c r="N148" i="5"/>
  <c r="T148" i="5" s="1"/>
  <c r="Q149" i="5" s="1"/>
  <c r="AL186" i="1" l="1"/>
  <c r="R148" i="5"/>
  <c r="L149" i="5"/>
  <c r="U148" i="5" l="1"/>
  <c r="AH207" i="1"/>
  <c r="O149" i="5"/>
  <c r="Z186" i="1" l="1"/>
  <c r="S149" i="5"/>
  <c r="N149" i="5"/>
  <c r="T149" i="5" s="1"/>
  <c r="Q150" i="5" s="1"/>
  <c r="AL187" i="1" l="1"/>
  <c r="R149" i="5"/>
  <c r="L150" i="5"/>
  <c r="U149" i="5" l="1"/>
  <c r="Z187" i="1" s="1"/>
  <c r="O150" i="5"/>
  <c r="AH208" i="1" l="1"/>
  <c r="S150" i="5"/>
  <c r="N150" i="5"/>
  <c r="T150" i="5" s="1"/>
  <c r="Q151" i="5" s="1"/>
  <c r="AL188" i="1" l="1"/>
  <c r="R150" i="5"/>
  <c r="L151" i="5"/>
  <c r="U150" i="5" l="1"/>
  <c r="Z188" i="1" s="1"/>
  <c r="O151" i="5"/>
  <c r="S151" i="5" l="1"/>
  <c r="N151" i="5"/>
  <c r="T151" i="5" s="1"/>
  <c r="Q152" i="5" s="1"/>
  <c r="AL189" i="1" l="1"/>
  <c r="AH209" i="1"/>
  <c r="R151" i="5"/>
  <c r="L152" i="5"/>
  <c r="U151" i="5" l="1"/>
  <c r="O152" i="5"/>
  <c r="Z189" i="1" l="1"/>
  <c r="S152" i="5"/>
  <c r="N152" i="5"/>
  <c r="T152" i="5" s="1"/>
  <c r="Q153" i="5" s="1"/>
  <c r="AL190" i="1" l="1"/>
  <c r="R152" i="5"/>
  <c r="L153" i="5"/>
  <c r="U152" i="5" l="1"/>
  <c r="AH210" i="1"/>
  <c r="O153" i="5"/>
  <c r="Z190" i="1" l="1"/>
  <c r="S153" i="5"/>
  <c r="N153" i="5"/>
  <c r="T153" i="5" s="1"/>
  <c r="Q154" i="5" s="1"/>
  <c r="AL191" i="1" l="1"/>
  <c r="R153" i="5"/>
  <c r="L154" i="5"/>
  <c r="U153" i="5" l="1"/>
  <c r="O154" i="5"/>
  <c r="Z191" i="1" l="1"/>
  <c r="AH211" i="1"/>
  <c r="S154" i="5"/>
  <c r="N154" i="5"/>
  <c r="T154" i="5" s="1"/>
  <c r="Q155" i="5" s="1"/>
  <c r="AL192" i="1" l="1"/>
  <c r="R154" i="5"/>
  <c r="L155" i="5"/>
  <c r="U154" i="5" l="1"/>
  <c r="O155" i="5"/>
  <c r="Z192" i="1" l="1"/>
  <c r="S155" i="5"/>
  <c r="N155" i="5"/>
  <c r="T155" i="5" s="1"/>
  <c r="Q156" i="5" s="1"/>
  <c r="AL193" i="1" l="1"/>
  <c r="AH212" i="1"/>
  <c r="R155" i="5"/>
  <c r="L156" i="5"/>
  <c r="U155" i="5" l="1"/>
  <c r="Z193" i="1" s="1"/>
  <c r="O156" i="5"/>
  <c r="S156" i="5" l="1"/>
  <c r="N156" i="5"/>
  <c r="T156" i="5" s="1"/>
  <c r="Q157" i="5" s="1"/>
  <c r="AL194" i="1" l="1"/>
  <c r="R156" i="5"/>
  <c r="L157" i="5"/>
  <c r="U156" i="5" l="1"/>
  <c r="AH213" i="1"/>
  <c r="O157" i="5"/>
  <c r="Z194" i="1" l="1"/>
  <c r="S157" i="5"/>
  <c r="N157" i="5"/>
  <c r="T157" i="5" s="1"/>
  <c r="Q158" i="5" s="1"/>
  <c r="AL195" i="1" l="1"/>
  <c r="R157" i="5"/>
  <c r="L158" i="5"/>
  <c r="U157" i="5" l="1"/>
  <c r="O158" i="5"/>
  <c r="Z195" i="1" l="1"/>
  <c r="AH214" i="1"/>
  <c r="S158" i="5"/>
  <c r="N158" i="5"/>
  <c r="T158" i="5" s="1"/>
  <c r="Q159" i="5" s="1"/>
  <c r="AL196" i="1" l="1"/>
  <c r="R158" i="5"/>
  <c r="L159" i="5"/>
  <c r="U158" i="5" l="1"/>
  <c r="O159" i="5"/>
  <c r="Z196" i="1" l="1"/>
  <c r="S159" i="5"/>
  <c r="N159" i="5"/>
  <c r="T159" i="5" s="1"/>
  <c r="Q160" i="5" s="1"/>
  <c r="AL197" i="1" l="1"/>
  <c r="AH215" i="1"/>
  <c r="R159" i="5"/>
  <c r="L160" i="5"/>
  <c r="U159" i="5" l="1"/>
  <c r="O160" i="5"/>
  <c r="Z197" i="1" l="1"/>
  <c r="S160" i="5"/>
  <c r="N160" i="5"/>
  <c r="T160" i="5" s="1"/>
  <c r="Q161" i="5" s="1"/>
  <c r="AL198" i="1" l="1"/>
  <c r="R160" i="5"/>
  <c r="L161" i="5"/>
  <c r="U160" i="5" l="1"/>
  <c r="AH216" i="1"/>
  <c r="O161" i="5"/>
  <c r="Z198" i="1" l="1"/>
  <c r="S161" i="5"/>
  <c r="N161" i="5"/>
  <c r="T161" i="5" s="1"/>
  <c r="Q162" i="5" s="1"/>
  <c r="AL199" i="1" l="1"/>
  <c r="R161" i="5"/>
  <c r="L162" i="5"/>
  <c r="U161" i="5" l="1"/>
  <c r="O162" i="5"/>
  <c r="Z199" i="1" l="1"/>
  <c r="AH217" i="1"/>
  <c r="S162" i="5"/>
  <c r="N162" i="5"/>
  <c r="T162" i="5" s="1"/>
  <c r="Q163" i="5" s="1"/>
  <c r="AL200" i="1" l="1"/>
  <c r="R162" i="5"/>
  <c r="L163" i="5"/>
  <c r="U162" i="5" l="1"/>
  <c r="O163" i="5"/>
  <c r="Z200" i="1" l="1"/>
  <c r="S163" i="5"/>
  <c r="N163" i="5"/>
  <c r="T163" i="5" s="1"/>
  <c r="Q164" i="5" s="1"/>
  <c r="AL201" i="1" l="1"/>
  <c r="AH218" i="1"/>
  <c r="R163" i="5"/>
  <c r="L164" i="5"/>
  <c r="U163" i="5" l="1"/>
  <c r="O164" i="5"/>
  <c r="Z201" i="1" l="1"/>
  <c r="S164" i="5"/>
  <c r="N164" i="5"/>
  <c r="T164" i="5" s="1"/>
  <c r="Q165" i="5" s="1"/>
  <c r="AL202" i="1" l="1"/>
  <c r="R164" i="5"/>
  <c r="L165" i="5"/>
  <c r="U164" i="5" l="1"/>
  <c r="Z202" i="1" s="1"/>
  <c r="AH219" i="1"/>
  <c r="O165" i="5"/>
  <c r="S165" i="5" l="1"/>
  <c r="N165" i="5"/>
  <c r="T165" i="5" s="1"/>
  <c r="Q166" i="5" s="1"/>
  <c r="AL203" i="1" l="1"/>
  <c r="R165" i="5"/>
  <c r="L166" i="5"/>
  <c r="U165" i="5" l="1"/>
  <c r="O166" i="5"/>
  <c r="Z203" i="1" l="1"/>
  <c r="AH220" i="1"/>
  <c r="S166" i="5"/>
  <c r="N166" i="5"/>
  <c r="T166" i="5" s="1"/>
  <c r="Q167" i="5" s="1"/>
  <c r="AL204" i="1" l="1"/>
  <c r="R166" i="5"/>
  <c r="L167" i="5"/>
  <c r="U166" i="5" l="1"/>
  <c r="O167" i="5"/>
  <c r="Z204" i="1" l="1"/>
  <c r="S167" i="5"/>
  <c r="N167" i="5"/>
  <c r="T167" i="5" s="1"/>
  <c r="Q168" i="5" s="1"/>
  <c r="AL205" i="1" l="1"/>
  <c r="AH221" i="1"/>
  <c r="R167" i="5"/>
  <c r="L168" i="5"/>
  <c r="U167" i="5" l="1"/>
  <c r="O168" i="5"/>
  <c r="Z205" i="1" l="1"/>
  <c r="S168" i="5"/>
  <c r="N168" i="5"/>
  <c r="T168" i="5" s="1"/>
  <c r="Q169" i="5" s="1"/>
  <c r="AL206" i="1" l="1"/>
  <c r="R168" i="5"/>
  <c r="L169" i="5"/>
  <c r="U168" i="5" l="1"/>
  <c r="Z206" i="1" s="1"/>
  <c r="AH222" i="1"/>
  <c r="O169" i="5"/>
  <c r="S169" i="5" l="1"/>
  <c r="N169" i="5"/>
  <c r="T169" i="5" s="1"/>
  <c r="Q170" i="5" s="1"/>
  <c r="AL207" i="1" l="1"/>
  <c r="R169" i="5"/>
  <c r="L170" i="5"/>
  <c r="U169" i="5" l="1"/>
  <c r="Z207" i="1" s="1"/>
  <c r="O170" i="5"/>
  <c r="AH223" i="1" l="1"/>
  <c r="S170" i="5"/>
  <c r="N170" i="5"/>
  <c r="T170" i="5" s="1"/>
  <c r="Q171" i="5" s="1"/>
  <c r="AL208" i="1" l="1"/>
  <c r="R170" i="5"/>
  <c r="L171" i="5"/>
  <c r="U170" i="5" l="1"/>
  <c r="O171" i="5"/>
  <c r="Z208" i="1" l="1"/>
  <c r="S171" i="5"/>
  <c r="N171" i="5"/>
  <c r="T171" i="5" s="1"/>
  <c r="Q172" i="5" s="1"/>
  <c r="AL209" i="1" l="1"/>
  <c r="AH224" i="1"/>
  <c r="R171" i="5"/>
  <c r="L172" i="5"/>
  <c r="U171" i="5" l="1"/>
  <c r="Z209" i="1" s="1"/>
  <c r="O172" i="5"/>
  <c r="S172" i="5" l="1"/>
  <c r="N172" i="5"/>
  <c r="T172" i="5" s="1"/>
  <c r="Q173" i="5" s="1"/>
  <c r="AL210" i="1" l="1"/>
  <c r="R172" i="5"/>
  <c r="L173" i="5"/>
  <c r="U172" i="5" l="1"/>
  <c r="AH225" i="1"/>
  <c r="O173" i="5"/>
  <c r="Z210" i="1" l="1"/>
  <c r="S173" i="5"/>
  <c r="N173" i="5"/>
  <c r="T173" i="5" s="1"/>
  <c r="Q174" i="5" s="1"/>
  <c r="AL211" i="1" l="1"/>
  <c r="R173" i="5"/>
  <c r="L174" i="5"/>
  <c r="U173" i="5" l="1"/>
  <c r="O174" i="5"/>
  <c r="Z211" i="1" l="1"/>
  <c r="AH226" i="1"/>
  <c r="S174" i="5"/>
  <c r="N174" i="5"/>
  <c r="T174" i="5" s="1"/>
  <c r="Q175" i="5" s="1"/>
  <c r="AL212" i="1" l="1"/>
  <c r="R174" i="5"/>
  <c r="L175" i="5"/>
  <c r="U174" i="5" l="1"/>
  <c r="O175" i="5"/>
  <c r="Z212" i="1" l="1"/>
  <c r="S175" i="5"/>
  <c r="N175" i="5"/>
  <c r="T175" i="5" s="1"/>
  <c r="Q176" i="5" s="1"/>
  <c r="AL213" i="1" l="1"/>
  <c r="AH227" i="1"/>
  <c r="R175" i="5"/>
  <c r="L176" i="5"/>
  <c r="U175" i="5" l="1"/>
  <c r="O176" i="5"/>
  <c r="Z213" i="1" l="1"/>
  <c r="S176" i="5"/>
  <c r="N176" i="5"/>
  <c r="T176" i="5" s="1"/>
  <c r="Q177" i="5" s="1"/>
  <c r="AL214" i="1" l="1"/>
  <c r="R176" i="5"/>
  <c r="L177" i="5"/>
  <c r="U176" i="5" l="1"/>
  <c r="AH228" i="1"/>
  <c r="O177" i="5"/>
  <c r="Z214" i="1" l="1"/>
  <c r="S177" i="5"/>
  <c r="N177" i="5"/>
  <c r="T177" i="5" s="1"/>
  <c r="Q178" i="5" s="1"/>
  <c r="AL215" i="1" l="1"/>
  <c r="R177" i="5"/>
  <c r="L178" i="5"/>
  <c r="U177" i="5" l="1"/>
  <c r="O178" i="5"/>
  <c r="Z215" i="1" l="1"/>
  <c r="AH229" i="1"/>
  <c r="S178" i="5"/>
  <c r="N178" i="5"/>
  <c r="T178" i="5" s="1"/>
  <c r="Q179" i="5" s="1"/>
  <c r="AL216" i="1" l="1"/>
  <c r="R178" i="5"/>
  <c r="L179" i="5"/>
  <c r="U178" i="5" l="1"/>
  <c r="Z216" i="1" s="1"/>
  <c r="O179" i="5"/>
  <c r="S179" i="5" l="1"/>
  <c r="N179" i="5"/>
  <c r="T179" i="5" s="1"/>
  <c r="Q180" i="5" s="1"/>
  <c r="AL217" i="1" l="1"/>
  <c r="AH230" i="1"/>
  <c r="R179" i="5"/>
  <c r="L180" i="5"/>
  <c r="U179" i="5" l="1"/>
  <c r="O180" i="5"/>
  <c r="Z217" i="1" l="1"/>
  <c r="S180" i="5"/>
  <c r="N180" i="5"/>
  <c r="T180" i="5" s="1"/>
  <c r="Q181" i="5" s="1"/>
  <c r="AL218" i="1" l="1"/>
  <c r="R180" i="5"/>
  <c r="L181" i="5"/>
  <c r="U180" i="5" l="1"/>
  <c r="AH231" i="1"/>
  <c r="O181" i="5"/>
  <c r="Z218" i="1" l="1"/>
  <c r="S181" i="5"/>
  <c r="N181" i="5"/>
  <c r="T181" i="5" s="1"/>
  <c r="Q182" i="5" s="1"/>
  <c r="AL219" i="1" l="1"/>
  <c r="R181" i="5"/>
  <c r="L182" i="5"/>
  <c r="U181" i="5" l="1"/>
  <c r="O182" i="5"/>
  <c r="Z219" i="1" l="1"/>
  <c r="AH232" i="1"/>
  <c r="S182" i="5"/>
  <c r="N182" i="5"/>
  <c r="T182" i="5" s="1"/>
  <c r="Q183" i="5" s="1"/>
  <c r="AL220" i="1" l="1"/>
  <c r="R182" i="5"/>
  <c r="L183" i="5"/>
  <c r="U182" i="5" l="1"/>
  <c r="Z220" i="1" s="1"/>
  <c r="O183" i="5"/>
  <c r="S183" i="5" l="1"/>
  <c r="N183" i="5"/>
  <c r="T183" i="5" s="1"/>
  <c r="Q184" i="5" s="1"/>
  <c r="AL221" i="1" l="1"/>
  <c r="AH233" i="1"/>
  <c r="R183" i="5"/>
  <c r="L184" i="5"/>
  <c r="U183" i="5" l="1"/>
  <c r="O184" i="5"/>
  <c r="Z221" i="1" l="1"/>
  <c r="S184" i="5"/>
  <c r="N184" i="5"/>
  <c r="T184" i="5" s="1"/>
  <c r="Q185" i="5" s="1"/>
  <c r="AL222" i="1" l="1"/>
  <c r="R184" i="5"/>
  <c r="L185" i="5"/>
  <c r="U184" i="5" l="1"/>
  <c r="AH234" i="1"/>
  <c r="O185" i="5"/>
  <c r="Z222" i="1" l="1"/>
  <c r="S185" i="5"/>
  <c r="N185" i="5"/>
  <c r="T185" i="5" s="1"/>
  <c r="Q186" i="5" s="1"/>
  <c r="AL223" i="1" l="1"/>
  <c r="R185" i="5"/>
  <c r="L186" i="5"/>
  <c r="U185" i="5" l="1"/>
  <c r="O186" i="5"/>
  <c r="Z223" i="1" l="1"/>
  <c r="AH235" i="1"/>
  <c r="S186" i="5"/>
  <c r="N186" i="5"/>
  <c r="T186" i="5" s="1"/>
  <c r="Q187" i="5" s="1"/>
  <c r="AL224" i="1" l="1"/>
  <c r="R186" i="5"/>
  <c r="L187" i="5"/>
  <c r="U186" i="5" l="1"/>
  <c r="O187" i="5"/>
  <c r="Z224" i="1" l="1"/>
  <c r="S187" i="5"/>
  <c r="N187" i="5"/>
  <c r="T187" i="5" s="1"/>
  <c r="Q188" i="5" s="1"/>
  <c r="AL225" i="1" l="1"/>
  <c r="AH236" i="1"/>
  <c r="R187" i="5"/>
  <c r="L188" i="5"/>
  <c r="U187" i="5" l="1"/>
  <c r="O188" i="5"/>
  <c r="Z225" i="1" l="1"/>
  <c r="S188" i="5"/>
  <c r="N188" i="5"/>
  <c r="T188" i="5" s="1"/>
  <c r="Q189" i="5" s="1"/>
  <c r="AL226" i="1" l="1"/>
  <c r="R188" i="5"/>
  <c r="L189" i="5"/>
  <c r="U188" i="5" l="1"/>
  <c r="AH237" i="1"/>
  <c r="O189" i="5"/>
  <c r="Z226" i="1" l="1"/>
  <c r="S189" i="5"/>
  <c r="N189" i="5"/>
  <c r="T189" i="5" s="1"/>
  <c r="Q190" i="5" s="1"/>
  <c r="AL227" i="1" l="1"/>
  <c r="R189" i="5"/>
  <c r="L190" i="5"/>
  <c r="U189" i="5" l="1"/>
  <c r="Z227" i="1" s="1"/>
  <c r="O190" i="5"/>
  <c r="AH238" i="1" l="1"/>
  <c r="S190" i="5"/>
  <c r="N190" i="5"/>
  <c r="T190" i="5" s="1"/>
  <c r="Q191" i="5" s="1"/>
  <c r="AL228" i="1" l="1"/>
  <c r="R190" i="5"/>
  <c r="L191" i="5"/>
  <c r="U190" i="5" l="1"/>
  <c r="O191" i="5"/>
  <c r="Z228" i="1" l="1"/>
  <c r="S191" i="5"/>
  <c r="N191" i="5"/>
  <c r="T191" i="5" s="1"/>
  <c r="Q192" i="5" s="1"/>
  <c r="AL229" i="1" l="1"/>
  <c r="AH239" i="1"/>
  <c r="R191" i="5"/>
  <c r="L192" i="5"/>
  <c r="U191" i="5" l="1"/>
  <c r="Z229" i="1" s="1"/>
  <c r="O192" i="5"/>
  <c r="S192" i="5" l="1"/>
  <c r="N192" i="5"/>
  <c r="T192" i="5" s="1"/>
  <c r="Q193" i="5" s="1"/>
  <c r="AL230" i="1" l="1"/>
  <c r="R192" i="5"/>
  <c r="L193" i="5"/>
  <c r="U192" i="5" l="1"/>
  <c r="AH240" i="1"/>
  <c r="O193" i="5"/>
  <c r="Z230" i="1" l="1"/>
  <c r="S193" i="5"/>
  <c r="N193" i="5"/>
  <c r="T193" i="5" s="1"/>
  <c r="Q194" i="5" s="1"/>
  <c r="AL231" i="1" l="1"/>
  <c r="R193" i="5"/>
  <c r="L194" i="5"/>
  <c r="U193" i="5" l="1"/>
  <c r="O194" i="5"/>
  <c r="Z231" i="1" l="1"/>
  <c r="AH241" i="1"/>
  <c r="S194" i="5"/>
  <c r="N194" i="5"/>
  <c r="T194" i="5" s="1"/>
  <c r="Q195" i="5" s="1"/>
  <c r="AL232" i="1" l="1"/>
  <c r="R194" i="5"/>
  <c r="L195" i="5"/>
  <c r="U194" i="5" l="1"/>
  <c r="O195" i="5"/>
  <c r="Z232" i="1" l="1"/>
  <c r="S195" i="5"/>
  <c r="N195" i="5"/>
  <c r="T195" i="5" s="1"/>
  <c r="Q196" i="5" s="1"/>
  <c r="AL233" i="1" l="1"/>
  <c r="AH242" i="1"/>
  <c r="R195" i="5"/>
  <c r="L196" i="5"/>
  <c r="U195" i="5" l="1"/>
  <c r="O196" i="5"/>
  <c r="Z233" i="1" l="1"/>
  <c r="S196" i="5"/>
  <c r="N196" i="5"/>
  <c r="T196" i="5" s="1"/>
  <c r="Q197" i="5" s="1"/>
  <c r="AL234" i="1" l="1"/>
  <c r="R196" i="5"/>
  <c r="L197" i="5"/>
  <c r="U196" i="5" l="1"/>
  <c r="AH243" i="1"/>
  <c r="O197" i="5"/>
  <c r="Z234" i="1" l="1"/>
  <c r="S197" i="5"/>
  <c r="N197" i="5"/>
  <c r="T197" i="5" s="1"/>
  <c r="Q198" i="5" s="1"/>
  <c r="AL235" i="1" l="1"/>
  <c r="R197" i="5"/>
  <c r="L198" i="5"/>
  <c r="U197" i="5" l="1"/>
  <c r="O198" i="5"/>
  <c r="Z235" i="1" l="1"/>
  <c r="AH244" i="1"/>
  <c r="S198" i="5"/>
  <c r="N198" i="5"/>
  <c r="T198" i="5" s="1"/>
  <c r="Q199" i="5" s="1"/>
  <c r="AL236" i="1" l="1"/>
  <c r="R198" i="5"/>
  <c r="L199" i="5"/>
  <c r="U198" i="5" l="1"/>
  <c r="Z236" i="1" s="1"/>
  <c r="O199" i="5"/>
  <c r="S199" i="5" l="1"/>
  <c r="N199" i="5"/>
  <c r="T199" i="5" s="1"/>
  <c r="Q200" i="5" s="1"/>
  <c r="AL237" i="1" l="1"/>
  <c r="AH245" i="1"/>
  <c r="R199" i="5"/>
  <c r="L200" i="5"/>
  <c r="U199" i="5" l="1"/>
  <c r="O200" i="5"/>
  <c r="Z237" i="1" l="1"/>
  <c r="S200" i="5"/>
  <c r="N200" i="5"/>
  <c r="T200" i="5" s="1"/>
  <c r="Q201" i="5" s="1"/>
  <c r="AL238" i="1" l="1"/>
  <c r="R200" i="5"/>
  <c r="L201" i="5"/>
  <c r="U200" i="5" l="1"/>
  <c r="AH246" i="1"/>
  <c r="O201" i="5"/>
  <c r="Z238" i="1" l="1"/>
  <c r="S201" i="5"/>
  <c r="N201" i="5"/>
  <c r="T201" i="5" s="1"/>
  <c r="Q202" i="5" s="1"/>
  <c r="AL239" i="1" l="1"/>
  <c r="R201" i="5"/>
  <c r="L202" i="5"/>
  <c r="U201" i="5" l="1"/>
  <c r="O202" i="5"/>
  <c r="Z239" i="1" l="1"/>
  <c r="AH247" i="1"/>
  <c r="S202" i="5"/>
  <c r="N202" i="5"/>
  <c r="T202" i="5" s="1"/>
  <c r="Q203" i="5" s="1"/>
  <c r="AL240" i="1" l="1"/>
  <c r="R202" i="5"/>
  <c r="L203" i="5"/>
  <c r="U202" i="5" l="1"/>
  <c r="O203" i="5"/>
  <c r="Z240" i="1" l="1"/>
  <c r="S203" i="5"/>
  <c r="N203" i="5"/>
  <c r="T203" i="5" s="1"/>
  <c r="Q204" i="5" s="1"/>
  <c r="AL241" i="1" l="1"/>
  <c r="AH248" i="1"/>
  <c r="R203" i="5"/>
  <c r="L204" i="5"/>
  <c r="U203" i="5" l="1"/>
  <c r="O204" i="5"/>
  <c r="Z241" i="1" l="1"/>
  <c r="S204" i="5"/>
  <c r="N204" i="5"/>
  <c r="T204" i="5" s="1"/>
  <c r="Q205" i="5" s="1"/>
  <c r="AL242" i="1" l="1"/>
  <c r="R204" i="5"/>
  <c r="L205" i="5"/>
  <c r="U204" i="5" l="1"/>
  <c r="AH249" i="1"/>
  <c r="O205" i="5"/>
  <c r="Z242" i="1" l="1"/>
  <c r="S205" i="5"/>
  <c r="N205" i="5"/>
  <c r="T205" i="5" s="1"/>
  <c r="Q206" i="5" s="1"/>
  <c r="AL243" i="1" l="1"/>
  <c r="R205" i="5"/>
  <c r="L206" i="5"/>
  <c r="U205" i="5" l="1"/>
  <c r="O206" i="5"/>
  <c r="Z243" i="1" l="1"/>
  <c r="AH250" i="1"/>
  <c r="S206" i="5"/>
  <c r="N206" i="5"/>
  <c r="T206" i="5" s="1"/>
  <c r="Q207" i="5" s="1"/>
  <c r="AL244" i="1" l="1"/>
  <c r="R206" i="5"/>
  <c r="L207" i="5"/>
  <c r="U206" i="5" l="1"/>
  <c r="O207" i="5"/>
  <c r="Z244" i="1" l="1"/>
  <c r="S207" i="5"/>
  <c r="N207" i="5"/>
  <c r="T207" i="5" s="1"/>
  <c r="Q208" i="5" s="1"/>
  <c r="AL245" i="1" l="1"/>
  <c r="AH251" i="1"/>
  <c r="R207" i="5"/>
  <c r="L208" i="5"/>
  <c r="U207" i="5" l="1"/>
  <c r="O208" i="5"/>
  <c r="Z245" i="1" l="1"/>
  <c r="S208" i="5"/>
  <c r="N208" i="5"/>
  <c r="T208" i="5" s="1"/>
  <c r="Q209" i="5" s="1"/>
  <c r="AL246" i="1" l="1"/>
  <c r="R208" i="5"/>
  <c r="L209" i="5"/>
  <c r="U208" i="5" l="1"/>
  <c r="AH252" i="1"/>
  <c r="O209" i="5"/>
  <c r="Z246" i="1" l="1"/>
  <c r="S209" i="5"/>
  <c r="N209" i="5"/>
  <c r="T209" i="5" s="1"/>
  <c r="Q210" i="5" s="1"/>
  <c r="AL247" i="1" l="1"/>
  <c r="R209" i="5"/>
  <c r="L210" i="5"/>
  <c r="U209" i="5" l="1"/>
  <c r="O210" i="5"/>
  <c r="Z247" i="1" l="1"/>
  <c r="AH253" i="1"/>
  <c r="S210" i="5"/>
  <c r="N210" i="5"/>
  <c r="T210" i="5" s="1"/>
  <c r="Q211" i="5" s="1"/>
  <c r="AL248" i="1" l="1"/>
  <c r="R210" i="5"/>
  <c r="L211" i="5"/>
  <c r="U210" i="5" l="1"/>
  <c r="O211" i="5"/>
  <c r="Z248" i="1" l="1"/>
  <c r="S211" i="5"/>
  <c r="N211" i="5"/>
  <c r="T211" i="5" s="1"/>
  <c r="Q212" i="5" s="1"/>
  <c r="AL249" i="1" l="1"/>
  <c r="AH254" i="1"/>
  <c r="R211" i="5"/>
  <c r="L212" i="5"/>
  <c r="U211" i="5" l="1"/>
  <c r="O212" i="5"/>
  <c r="Z249" i="1" l="1"/>
  <c r="S212" i="5"/>
  <c r="N212" i="5"/>
  <c r="T212" i="5" s="1"/>
  <c r="Q213" i="5" s="1"/>
  <c r="AL250" i="1" l="1"/>
  <c r="R212" i="5"/>
  <c r="L213" i="5"/>
  <c r="U212" i="5" l="1"/>
  <c r="Z250" i="1" s="1"/>
  <c r="AH255" i="1"/>
  <c r="O213" i="5"/>
  <c r="S213" i="5" l="1"/>
  <c r="N213" i="5"/>
  <c r="T213" i="5" s="1"/>
  <c r="Q214" i="5" s="1"/>
  <c r="AL251" i="1" l="1"/>
  <c r="R213" i="5"/>
  <c r="L214" i="5"/>
  <c r="U213" i="5" l="1"/>
  <c r="O214" i="5"/>
  <c r="Z251" i="1" l="1"/>
  <c r="AH256" i="1"/>
  <c r="S214" i="5"/>
  <c r="N214" i="5"/>
  <c r="T214" i="5" s="1"/>
  <c r="Q215" i="5" s="1"/>
  <c r="AL252" i="1" l="1"/>
  <c r="R214" i="5"/>
  <c r="L215" i="5"/>
  <c r="U214" i="5" l="1"/>
  <c r="O215" i="5"/>
  <c r="Z252" i="1" l="1"/>
  <c r="S215" i="5"/>
  <c r="N215" i="5"/>
  <c r="T215" i="5" s="1"/>
  <c r="Q216" i="5" s="1"/>
  <c r="AL253" i="1" l="1"/>
  <c r="AH257" i="1"/>
  <c r="R215" i="5"/>
  <c r="L216" i="5"/>
  <c r="U215" i="5" l="1"/>
  <c r="O216" i="5"/>
  <c r="Z253" i="1" l="1"/>
  <c r="S216" i="5"/>
  <c r="N216" i="5"/>
  <c r="T216" i="5" s="1"/>
  <c r="Q217" i="5" s="1"/>
  <c r="AL254" i="1" l="1"/>
  <c r="R216" i="5"/>
  <c r="L217" i="5"/>
  <c r="U216" i="5" l="1"/>
  <c r="AH258" i="1"/>
  <c r="O217" i="5"/>
  <c r="Z254" i="1" l="1"/>
  <c r="S217" i="5"/>
  <c r="N217" i="5"/>
  <c r="T217" i="5" s="1"/>
  <c r="Q218" i="5" s="1"/>
  <c r="AL255" i="1" l="1"/>
  <c r="R217" i="5"/>
  <c r="L218" i="5"/>
  <c r="U217" i="5" l="1"/>
  <c r="O218" i="5"/>
  <c r="Z255" i="1" l="1"/>
  <c r="AH259" i="1"/>
  <c r="S218" i="5"/>
  <c r="N218" i="5"/>
  <c r="T218" i="5" s="1"/>
  <c r="Q219" i="5" s="1"/>
  <c r="AL256" i="1" l="1"/>
  <c r="R218" i="5"/>
  <c r="L219" i="5"/>
  <c r="U218" i="5" l="1"/>
  <c r="Z256" i="1" s="1"/>
  <c r="O219" i="5"/>
  <c r="S219" i="5" l="1"/>
  <c r="N219" i="5"/>
  <c r="T219" i="5" s="1"/>
  <c r="Q220" i="5" s="1"/>
  <c r="AL257" i="1" l="1"/>
  <c r="AH260" i="1"/>
  <c r="R219" i="5"/>
  <c r="L220" i="5"/>
  <c r="U219" i="5" l="1"/>
  <c r="O220" i="5"/>
  <c r="Z257" i="1" l="1"/>
  <c r="S220" i="5"/>
  <c r="N220" i="5"/>
  <c r="T220" i="5" s="1"/>
  <c r="Q221" i="5" s="1"/>
  <c r="AL258" i="1" l="1"/>
  <c r="R220" i="5"/>
  <c r="L221" i="5"/>
  <c r="U220" i="5" l="1"/>
  <c r="AH261" i="1"/>
  <c r="O221" i="5"/>
  <c r="Z258" i="1" l="1"/>
  <c r="S221" i="5"/>
  <c r="N221" i="5"/>
  <c r="T221" i="5" s="1"/>
  <c r="Q222" i="5" s="1"/>
  <c r="AL259" i="1" l="1"/>
  <c r="R221" i="5"/>
  <c r="L222" i="5"/>
  <c r="U221" i="5" l="1"/>
  <c r="O222" i="5"/>
  <c r="Z259" i="1" l="1"/>
  <c r="AH262" i="1"/>
  <c r="S222" i="5"/>
  <c r="N222" i="5"/>
  <c r="T222" i="5" s="1"/>
  <c r="Q223" i="5" s="1"/>
  <c r="AL260" i="1" l="1"/>
  <c r="R222" i="5"/>
  <c r="L223" i="5"/>
  <c r="U222" i="5" l="1"/>
  <c r="O223" i="5"/>
  <c r="Z260" i="1" l="1"/>
  <c r="S223" i="5"/>
  <c r="N223" i="5"/>
  <c r="T223" i="5" s="1"/>
  <c r="Q224" i="5" s="1"/>
  <c r="AL261" i="1" l="1"/>
  <c r="AH263" i="1"/>
  <c r="R223" i="5"/>
  <c r="L224" i="5"/>
  <c r="U223" i="5" l="1"/>
  <c r="O224" i="5"/>
  <c r="Z261" i="1" l="1"/>
  <c r="S224" i="5"/>
  <c r="N224" i="5"/>
  <c r="T224" i="5" s="1"/>
  <c r="Q225" i="5" s="1"/>
  <c r="AL262" i="1" l="1"/>
  <c r="R224" i="5"/>
  <c r="L225" i="5"/>
  <c r="U224" i="5" l="1"/>
  <c r="AH264" i="1"/>
  <c r="O225" i="5"/>
  <c r="Z262" i="1" l="1"/>
  <c r="S225" i="5"/>
  <c r="N225" i="5"/>
  <c r="T225" i="5" s="1"/>
  <c r="Q226" i="5" s="1"/>
  <c r="AL263" i="1" l="1"/>
  <c r="R225" i="5"/>
  <c r="L226" i="5"/>
  <c r="U225" i="5" l="1"/>
  <c r="O226" i="5"/>
  <c r="Z263" i="1" l="1"/>
  <c r="AH265" i="1"/>
  <c r="S226" i="5"/>
  <c r="N226" i="5"/>
  <c r="T226" i="5" s="1"/>
  <c r="Q227" i="5" s="1"/>
  <c r="AL264" i="1" l="1"/>
  <c r="R226" i="5"/>
  <c r="L227" i="5"/>
  <c r="U226" i="5" l="1"/>
  <c r="O227" i="5"/>
  <c r="Z264" i="1" l="1"/>
  <c r="S227" i="5"/>
  <c r="N227" i="5"/>
  <c r="T227" i="5" s="1"/>
  <c r="Q228" i="5" s="1"/>
  <c r="AL265" i="1" l="1"/>
  <c r="AH266" i="1"/>
  <c r="R227" i="5"/>
  <c r="L228" i="5"/>
  <c r="U227" i="5" l="1"/>
  <c r="O228" i="5"/>
  <c r="Z265" i="1" l="1"/>
  <c r="S228" i="5"/>
  <c r="N228" i="5"/>
  <c r="T228" i="5" s="1"/>
  <c r="Q229" i="5" s="1"/>
  <c r="AL266" i="1" l="1"/>
  <c r="R228" i="5"/>
  <c r="L229" i="5"/>
  <c r="U228" i="5" l="1"/>
  <c r="Z266" i="1" s="1"/>
  <c r="AH267" i="1"/>
  <c r="O229" i="5"/>
  <c r="S229" i="5" l="1"/>
  <c r="N229" i="5"/>
  <c r="T229" i="5" s="1"/>
  <c r="Q230" i="5" s="1"/>
  <c r="AL267" i="1" l="1"/>
  <c r="R229" i="5"/>
  <c r="L230" i="5"/>
  <c r="U229" i="5" l="1"/>
  <c r="O230" i="5"/>
  <c r="Z267" i="1" l="1"/>
  <c r="AH268" i="1"/>
  <c r="S230" i="5"/>
  <c r="N230" i="5"/>
  <c r="T230" i="5" s="1"/>
  <c r="Q231" i="5" s="1"/>
  <c r="AL268" i="1" l="1"/>
  <c r="R230" i="5"/>
  <c r="L231" i="5"/>
  <c r="U230" i="5" l="1"/>
  <c r="O231" i="5"/>
  <c r="Z268" i="1" l="1"/>
  <c r="S231" i="5"/>
  <c r="N231" i="5"/>
  <c r="T231" i="5" s="1"/>
  <c r="Q232" i="5" s="1"/>
  <c r="AL269" i="1" l="1"/>
  <c r="AH269" i="1"/>
  <c r="R231" i="5"/>
  <c r="L232" i="5"/>
  <c r="U231" i="5" l="1"/>
  <c r="O232" i="5"/>
  <c r="Z269" i="1" l="1"/>
  <c r="S232" i="5"/>
  <c r="N232" i="5"/>
  <c r="T232" i="5" s="1"/>
  <c r="Q233" i="5" s="1"/>
  <c r="AL270" i="1" l="1"/>
  <c r="R232" i="5"/>
  <c r="L233" i="5"/>
  <c r="U232" i="5" l="1"/>
  <c r="AH270" i="1"/>
  <c r="O233" i="5"/>
  <c r="Z270" i="1" l="1"/>
  <c r="S233" i="5"/>
  <c r="N233" i="5"/>
  <c r="T233" i="5" s="1"/>
  <c r="Q234" i="5" s="1"/>
  <c r="AL271" i="1" l="1"/>
  <c r="R233" i="5"/>
  <c r="L234" i="5"/>
  <c r="U233" i="5" l="1"/>
  <c r="O234" i="5"/>
  <c r="Z271" i="1" l="1"/>
  <c r="AH271" i="1"/>
  <c r="S234" i="5"/>
  <c r="N234" i="5"/>
  <c r="T234" i="5" s="1"/>
  <c r="Q235" i="5" s="1"/>
  <c r="AL272" i="1" l="1"/>
  <c r="R234" i="5"/>
  <c r="L235" i="5"/>
  <c r="U234" i="5" l="1"/>
  <c r="Z272" i="1" s="1"/>
  <c r="O235" i="5"/>
  <c r="S235" i="5" l="1"/>
  <c r="N235" i="5"/>
  <c r="T235" i="5" s="1"/>
  <c r="Q236" i="5" s="1"/>
  <c r="AL273" i="1" l="1"/>
  <c r="AH272" i="1"/>
  <c r="R235" i="5"/>
  <c r="L236" i="5"/>
  <c r="U235" i="5" l="1"/>
  <c r="O236" i="5"/>
  <c r="Z273" i="1" l="1"/>
  <c r="S236" i="5"/>
  <c r="N236" i="5"/>
  <c r="T236" i="5" s="1"/>
  <c r="Q237" i="5" s="1"/>
  <c r="AL274" i="1" l="1"/>
  <c r="R236" i="5"/>
  <c r="L237" i="5"/>
  <c r="U236" i="5" l="1"/>
  <c r="Z274" i="1" s="1"/>
  <c r="AH273" i="1"/>
  <c r="O237" i="5"/>
  <c r="S237" i="5" l="1"/>
  <c r="N237" i="5"/>
  <c r="T237" i="5" s="1"/>
  <c r="Q238" i="5" s="1"/>
  <c r="AL275" i="1" l="1"/>
  <c r="R237" i="5"/>
  <c r="L238" i="5"/>
  <c r="U237" i="5" l="1"/>
  <c r="O238" i="5"/>
  <c r="Z275" i="1" l="1"/>
  <c r="AH274" i="1"/>
  <c r="S238" i="5"/>
  <c r="N238" i="5"/>
  <c r="T238" i="5" s="1"/>
  <c r="Q239" i="5" s="1"/>
  <c r="AL276" i="1" l="1"/>
  <c r="R238" i="5"/>
  <c r="L239" i="5"/>
  <c r="U238" i="5" l="1"/>
  <c r="O239" i="5"/>
  <c r="Z276" i="1" l="1"/>
  <c r="S239" i="5"/>
  <c r="N239" i="5"/>
  <c r="T239" i="5" s="1"/>
  <c r="Q240" i="5" s="1"/>
  <c r="AL277" i="1" l="1"/>
  <c r="AH275" i="1"/>
  <c r="R239" i="5"/>
  <c r="L240" i="5"/>
  <c r="U239" i="5" l="1"/>
  <c r="Z277" i="1" s="1"/>
  <c r="O240" i="5"/>
  <c r="S240" i="5" l="1"/>
  <c r="N240" i="5"/>
  <c r="T240" i="5" s="1"/>
  <c r="Q241" i="5" s="1"/>
  <c r="AL278" i="1" l="1"/>
  <c r="R240" i="5"/>
  <c r="L241" i="5"/>
  <c r="U240" i="5" l="1"/>
  <c r="Z278" i="1" s="1"/>
  <c r="AH276" i="1"/>
  <c r="O241" i="5"/>
  <c r="S241" i="5" l="1"/>
  <c r="N241" i="5"/>
  <c r="T241" i="5" s="1"/>
  <c r="Q242" i="5" s="1"/>
  <c r="AL279" i="1" l="1"/>
  <c r="R241" i="5"/>
  <c r="L242" i="5"/>
  <c r="U241" i="5" l="1"/>
  <c r="Z279" i="1" s="1"/>
  <c r="O242" i="5"/>
  <c r="AH277" i="1" l="1"/>
  <c r="S242" i="5"/>
  <c r="N242" i="5"/>
  <c r="T242" i="5" s="1"/>
  <c r="Q243" i="5" s="1"/>
  <c r="AL280" i="1" l="1"/>
  <c r="R242" i="5"/>
  <c r="L243" i="5"/>
  <c r="U242" i="5" l="1"/>
  <c r="O243" i="5"/>
  <c r="Z280" i="1" l="1"/>
  <c r="S243" i="5"/>
  <c r="N243" i="5"/>
  <c r="T243" i="5" s="1"/>
  <c r="Q244" i="5" s="1"/>
  <c r="AL281" i="1" l="1"/>
  <c r="AH278" i="1"/>
  <c r="R243" i="5"/>
  <c r="L244" i="5"/>
  <c r="U243" i="5" l="1"/>
  <c r="O244" i="5"/>
  <c r="Z281" i="1" l="1"/>
  <c r="S244" i="5"/>
  <c r="N244" i="5"/>
  <c r="T244" i="5" s="1"/>
  <c r="Q245" i="5" s="1"/>
  <c r="AL282" i="1" l="1"/>
  <c r="R244" i="5"/>
  <c r="L245" i="5"/>
  <c r="U244" i="5" l="1"/>
  <c r="AH279" i="1"/>
  <c r="O245" i="5"/>
  <c r="Z282" i="1" l="1"/>
  <c r="S245" i="5"/>
  <c r="N245" i="5"/>
  <c r="T245" i="5" s="1"/>
  <c r="Q246" i="5" s="1"/>
  <c r="AL283" i="1" l="1"/>
  <c r="R245" i="5"/>
  <c r="L246" i="5"/>
  <c r="U245" i="5" l="1"/>
  <c r="O246" i="5"/>
  <c r="Z283" i="1" l="1"/>
  <c r="AH280" i="1"/>
  <c r="S246" i="5"/>
  <c r="N246" i="5"/>
  <c r="T246" i="5" s="1"/>
  <c r="Q247" i="5" s="1"/>
  <c r="AL284" i="1" l="1"/>
  <c r="R246" i="5"/>
  <c r="L247" i="5"/>
  <c r="U246" i="5" l="1"/>
  <c r="O247" i="5"/>
  <c r="Z284" i="1" l="1"/>
  <c r="S247" i="5"/>
  <c r="N247" i="5"/>
  <c r="T247" i="5" s="1"/>
  <c r="Q248" i="5" s="1"/>
  <c r="AL285" i="1" l="1"/>
  <c r="AH281" i="1"/>
  <c r="R247" i="5"/>
  <c r="L248" i="5"/>
  <c r="U247" i="5" l="1"/>
  <c r="O248" i="5"/>
  <c r="Z285" i="1" l="1"/>
  <c r="S248" i="5"/>
  <c r="N248" i="5"/>
  <c r="T248" i="5" s="1"/>
  <c r="Q249" i="5" s="1"/>
  <c r="AL286" i="1" l="1"/>
  <c r="R248" i="5"/>
  <c r="L249" i="5"/>
  <c r="U248" i="5" l="1"/>
  <c r="AH282" i="1"/>
  <c r="O249" i="5"/>
  <c r="Z286" i="1" l="1"/>
  <c r="S249" i="5"/>
  <c r="N249" i="5"/>
  <c r="T249" i="5" s="1"/>
  <c r="Q250" i="5" s="1"/>
  <c r="AL287" i="1" l="1"/>
  <c r="R249" i="5"/>
  <c r="L250" i="5"/>
  <c r="U249" i="5" l="1"/>
  <c r="Z287" i="1" s="1"/>
  <c r="O250" i="5"/>
  <c r="AH283" i="1" l="1"/>
  <c r="S250" i="5"/>
  <c r="N250" i="5"/>
  <c r="T250" i="5" s="1"/>
  <c r="Q251" i="5" s="1"/>
  <c r="AL288" i="1" l="1"/>
  <c r="R250" i="5"/>
  <c r="L251" i="5"/>
  <c r="U250" i="5" l="1"/>
  <c r="O251" i="5"/>
  <c r="Z288" i="1" l="1"/>
  <c r="S251" i="5"/>
  <c r="N251" i="5"/>
  <c r="T251" i="5" s="1"/>
  <c r="Q252" i="5" s="1"/>
  <c r="AL289" i="1" l="1"/>
  <c r="AH284" i="1"/>
  <c r="R251" i="5"/>
  <c r="L252" i="5"/>
  <c r="U251" i="5" l="1"/>
  <c r="Z289" i="1" s="1"/>
  <c r="O252" i="5"/>
  <c r="S252" i="5" l="1"/>
  <c r="N252" i="5"/>
  <c r="T252" i="5" s="1"/>
  <c r="Q253" i="5" s="1"/>
  <c r="AL290" i="1" l="1"/>
  <c r="R252" i="5"/>
  <c r="L253" i="5"/>
  <c r="U252" i="5" l="1"/>
  <c r="AH285" i="1"/>
  <c r="O253" i="5"/>
  <c r="Z290" i="1" l="1"/>
  <c r="S253" i="5"/>
  <c r="N253" i="5"/>
  <c r="T253" i="5" s="1"/>
  <c r="Q254" i="5" s="1"/>
  <c r="AL291" i="1" l="1"/>
  <c r="R253" i="5"/>
  <c r="L254" i="5"/>
  <c r="U253" i="5" l="1"/>
  <c r="O254" i="5"/>
  <c r="Z291" i="1" l="1"/>
  <c r="AH286" i="1"/>
  <c r="S254" i="5"/>
  <c r="N254" i="5"/>
  <c r="T254" i="5" s="1"/>
  <c r="Q255" i="5" s="1"/>
  <c r="AL292" i="1" l="1"/>
  <c r="R254" i="5"/>
  <c r="L255" i="5"/>
  <c r="U254" i="5" l="1"/>
  <c r="O255" i="5"/>
  <c r="Z292" i="1" l="1"/>
  <c r="S255" i="5"/>
  <c r="N255" i="5"/>
  <c r="T255" i="5" s="1"/>
  <c r="Q256" i="5" s="1"/>
  <c r="AL293" i="1" l="1"/>
  <c r="AH287" i="1"/>
  <c r="R255" i="5"/>
  <c r="L256" i="5"/>
  <c r="U255" i="5" l="1"/>
  <c r="Z293" i="1" s="1"/>
  <c r="O256" i="5"/>
  <c r="S256" i="5" l="1"/>
  <c r="N256" i="5"/>
  <c r="T256" i="5" s="1"/>
  <c r="Q257" i="5" s="1"/>
  <c r="AL294" i="1" l="1"/>
  <c r="R256" i="5"/>
  <c r="L257" i="5"/>
  <c r="U256" i="5" l="1"/>
  <c r="AH288" i="1"/>
  <c r="O257" i="5"/>
  <c r="Z294" i="1" l="1"/>
  <c r="S257" i="5"/>
  <c r="N257" i="5"/>
  <c r="T257" i="5" s="1"/>
  <c r="Q258" i="5" s="1"/>
  <c r="AL295" i="1" l="1"/>
  <c r="R257" i="5"/>
  <c r="L258" i="5"/>
  <c r="U257" i="5" l="1"/>
  <c r="Z295" i="1" s="1"/>
  <c r="O258" i="5"/>
  <c r="AH289" i="1" l="1"/>
  <c r="S258" i="5"/>
  <c r="N258" i="5"/>
  <c r="T258" i="5" s="1"/>
  <c r="Q259" i="5" s="1"/>
  <c r="AL296" i="1" l="1"/>
  <c r="R258" i="5"/>
  <c r="L259" i="5"/>
  <c r="U258" i="5" l="1"/>
  <c r="O259" i="5"/>
  <c r="Z296" i="1" l="1"/>
  <c r="S259" i="5"/>
  <c r="N259" i="5"/>
  <c r="T259" i="5" s="1"/>
  <c r="Q260" i="5" s="1"/>
  <c r="AL297" i="1" l="1"/>
  <c r="AH290" i="1"/>
  <c r="R259" i="5"/>
  <c r="L260" i="5"/>
  <c r="U259" i="5" l="1"/>
  <c r="O260" i="5"/>
  <c r="Z297" i="1" l="1"/>
  <c r="S260" i="5"/>
  <c r="N260" i="5"/>
  <c r="T260" i="5" s="1"/>
  <c r="Q261" i="5" s="1"/>
  <c r="AL298" i="1" l="1"/>
  <c r="R260" i="5"/>
  <c r="L261" i="5"/>
  <c r="U260" i="5" l="1"/>
  <c r="AH291" i="1"/>
  <c r="O261" i="5"/>
  <c r="Z298" i="1" l="1"/>
  <c r="S261" i="5"/>
  <c r="N261" i="5"/>
  <c r="T261" i="5" s="1"/>
  <c r="Q262" i="5" s="1"/>
  <c r="AL299" i="1" l="1"/>
  <c r="R261" i="5"/>
  <c r="L262" i="5"/>
  <c r="U261" i="5" l="1"/>
  <c r="Z299" i="1" s="1"/>
  <c r="O262" i="5"/>
  <c r="AH292" i="1" l="1"/>
  <c r="S262" i="5"/>
  <c r="N262" i="5"/>
  <c r="T262" i="5" s="1"/>
  <c r="Q263" i="5" s="1"/>
  <c r="AL300" i="1" l="1"/>
  <c r="R262" i="5"/>
  <c r="L263" i="5"/>
  <c r="U262" i="5" l="1"/>
  <c r="O263" i="5"/>
  <c r="Z300" i="1" l="1"/>
  <c r="S263" i="5"/>
  <c r="N263" i="5"/>
  <c r="T263" i="5" s="1"/>
  <c r="Q264" i="5" s="1"/>
  <c r="AL301" i="1" l="1"/>
  <c r="AH293" i="1"/>
  <c r="R263" i="5"/>
  <c r="L264" i="5"/>
  <c r="U263" i="5" l="1"/>
  <c r="O264" i="5"/>
  <c r="Z301" i="1" l="1"/>
  <c r="S264" i="5"/>
  <c r="N264" i="5"/>
  <c r="T264" i="5" s="1"/>
  <c r="Q265" i="5" s="1"/>
  <c r="AL302" i="1" l="1"/>
  <c r="R264" i="5"/>
  <c r="L265" i="5"/>
  <c r="U264" i="5" l="1"/>
  <c r="Z302" i="1" s="1"/>
  <c r="AH294" i="1"/>
  <c r="O265" i="5"/>
  <c r="S265" i="5" l="1"/>
  <c r="N265" i="5"/>
  <c r="T265" i="5" s="1"/>
  <c r="Q266" i="5" s="1"/>
  <c r="AL303" i="1" l="1"/>
  <c r="R265" i="5"/>
  <c r="L266" i="5"/>
  <c r="U265" i="5" l="1"/>
  <c r="O266" i="5"/>
  <c r="Z303" i="1" l="1"/>
  <c r="AH295" i="1"/>
  <c r="S266" i="5"/>
  <c r="N266" i="5"/>
  <c r="T266" i="5" s="1"/>
  <c r="Q267" i="5" s="1"/>
  <c r="AL304" i="1" l="1"/>
  <c r="R266" i="5"/>
  <c r="L267" i="5"/>
  <c r="U266" i="5" l="1"/>
  <c r="O267" i="5"/>
  <c r="Z304" i="1" l="1"/>
  <c r="S267" i="5"/>
  <c r="N267" i="5"/>
  <c r="T267" i="5" s="1"/>
  <c r="Q268" i="5" s="1"/>
  <c r="AL305" i="1" l="1"/>
  <c r="AH296" i="1"/>
  <c r="R267" i="5"/>
  <c r="L268" i="5"/>
  <c r="U267" i="5" l="1"/>
  <c r="O268" i="5"/>
  <c r="Z305" i="1" l="1"/>
  <c r="S268" i="5"/>
  <c r="N268" i="5"/>
  <c r="T268" i="5" s="1"/>
  <c r="Q269" i="5" s="1"/>
  <c r="AL306" i="1" l="1"/>
  <c r="R268" i="5"/>
  <c r="L269" i="5"/>
  <c r="U268" i="5" l="1"/>
  <c r="AH297" i="1"/>
  <c r="O269" i="5"/>
  <c r="Z306" i="1" l="1"/>
  <c r="S269" i="5"/>
  <c r="N269" i="5"/>
  <c r="T269" i="5" s="1"/>
  <c r="Q270" i="5" s="1"/>
  <c r="AL307" i="1" l="1"/>
  <c r="R269" i="5"/>
  <c r="L270" i="5"/>
  <c r="U269" i="5" l="1"/>
  <c r="O270" i="5"/>
  <c r="Z307" i="1" l="1"/>
  <c r="AH298" i="1"/>
  <c r="S270" i="5"/>
  <c r="N270" i="5"/>
  <c r="T270" i="5" s="1"/>
  <c r="Q271" i="5" s="1"/>
  <c r="AL308" i="1" l="1"/>
  <c r="R270" i="5"/>
  <c r="L271" i="5"/>
  <c r="U270" i="5" l="1"/>
  <c r="Z308" i="1" s="1"/>
  <c r="O271" i="5"/>
  <c r="S271" i="5" l="1"/>
  <c r="N271" i="5"/>
  <c r="T271" i="5" s="1"/>
  <c r="Q272" i="5" s="1"/>
  <c r="AL309" i="1" l="1"/>
  <c r="AH299" i="1"/>
  <c r="R271" i="5"/>
  <c r="L272" i="5"/>
  <c r="U271" i="5" l="1"/>
  <c r="Z309" i="1" s="1"/>
  <c r="O272" i="5"/>
  <c r="S272" i="5" l="1"/>
  <c r="N272" i="5"/>
  <c r="T272" i="5" s="1"/>
  <c r="Q273" i="5" s="1"/>
  <c r="AL310" i="1" l="1"/>
  <c r="R272" i="5"/>
  <c r="L273" i="5"/>
  <c r="U272" i="5" l="1"/>
  <c r="AH300" i="1"/>
  <c r="O273" i="5"/>
  <c r="Z310" i="1" l="1"/>
  <c r="S273" i="5"/>
  <c r="N273" i="5"/>
  <c r="T273" i="5" s="1"/>
  <c r="Q274" i="5" s="1"/>
  <c r="AL311" i="1" l="1"/>
  <c r="R273" i="5"/>
  <c r="L274" i="5"/>
  <c r="U273" i="5" l="1"/>
  <c r="O274" i="5"/>
  <c r="Z311" i="1" l="1"/>
  <c r="AH301" i="1"/>
  <c r="S274" i="5"/>
  <c r="N274" i="5"/>
  <c r="T274" i="5" s="1"/>
  <c r="Q275" i="5" s="1"/>
  <c r="AL312" i="1" l="1"/>
  <c r="R274" i="5"/>
  <c r="L275" i="5"/>
  <c r="U274" i="5" l="1"/>
  <c r="Z312" i="1" s="1"/>
  <c r="O275" i="5"/>
  <c r="S275" i="5" l="1"/>
  <c r="N275" i="5"/>
  <c r="T275" i="5" s="1"/>
  <c r="Q276" i="5" s="1"/>
  <c r="AH302" i="1" l="1"/>
  <c r="R275" i="5"/>
  <c r="L276" i="5"/>
  <c r="U275" i="5" l="1"/>
  <c r="Z313" i="1" s="1"/>
  <c r="O276" i="5"/>
  <c r="S276" i="5" l="1"/>
  <c r="N276" i="5"/>
  <c r="T276" i="5" s="1"/>
  <c r="Q277" i="5" s="1"/>
  <c r="R276" i="5" l="1"/>
  <c r="L277" i="5"/>
  <c r="U276" i="5" l="1"/>
  <c r="AH303" i="1"/>
  <c r="O277" i="5"/>
  <c r="Z314" i="1" l="1"/>
  <c r="S277" i="5"/>
  <c r="N277" i="5"/>
  <c r="T277" i="5" s="1"/>
  <c r="Q278" i="5" s="1"/>
  <c r="R277" i="5" l="1"/>
  <c r="U277" i="5" s="1"/>
  <c r="L278" i="5"/>
  <c r="O278" i="5" l="1"/>
  <c r="AH304" i="1" l="1"/>
  <c r="S278" i="5"/>
  <c r="N278" i="5"/>
  <c r="T278" i="5" s="1"/>
  <c r="Q279" i="5" s="1"/>
  <c r="R278" i="5" l="1"/>
  <c r="U278" i="5" s="1"/>
  <c r="L279" i="5"/>
  <c r="O279" i="5" l="1"/>
  <c r="S279" i="5" l="1"/>
  <c r="N279" i="5"/>
  <c r="T279" i="5" s="1"/>
  <c r="Q280" i="5" s="1"/>
  <c r="AH305" i="1" l="1"/>
  <c r="R279" i="5"/>
  <c r="U279" i="5" s="1"/>
  <c r="L280" i="5"/>
  <c r="O280" i="5" l="1"/>
  <c r="S280" i="5" l="1"/>
  <c r="N280" i="5"/>
  <c r="T280" i="5" s="1"/>
  <c r="Q281" i="5" s="1"/>
  <c r="R280" i="5" l="1"/>
  <c r="U280" i="5" s="1"/>
  <c r="L281" i="5"/>
  <c r="AH306" i="1" l="1"/>
  <c r="O281" i="5"/>
  <c r="S281" i="5" l="1"/>
  <c r="N281" i="5"/>
  <c r="T281" i="5" s="1"/>
  <c r="Q282" i="5" s="1"/>
  <c r="R281" i="5" l="1"/>
  <c r="U281" i="5" s="1"/>
  <c r="L282" i="5"/>
  <c r="O282" i="5" l="1"/>
  <c r="AH307" i="1" l="1"/>
  <c r="S282" i="5"/>
  <c r="N282" i="5"/>
  <c r="T282" i="5" s="1"/>
  <c r="Q283" i="5" s="1"/>
  <c r="R282" i="5" l="1"/>
  <c r="U282" i="5" s="1"/>
  <c r="L283" i="5"/>
  <c r="O283" i="5" l="1"/>
  <c r="S283" i="5" l="1"/>
  <c r="N283" i="5"/>
  <c r="T283" i="5" s="1"/>
  <c r="Q284" i="5" s="1"/>
  <c r="AH308" i="1" l="1"/>
  <c r="R283" i="5"/>
  <c r="U283" i="5" s="1"/>
  <c r="L284" i="5"/>
  <c r="O284" i="5" l="1"/>
  <c r="S284" i="5" l="1"/>
  <c r="N284" i="5"/>
  <c r="T284" i="5" s="1"/>
  <c r="Q285" i="5" s="1"/>
  <c r="R284" i="5" l="1"/>
  <c r="U284" i="5" s="1"/>
  <c r="L285" i="5"/>
  <c r="AH309" i="1" l="1"/>
  <c r="O285" i="5"/>
  <c r="S285" i="5" l="1"/>
  <c r="N285" i="5"/>
  <c r="T285" i="5" s="1"/>
  <c r="Q286" i="5" s="1"/>
  <c r="R285" i="5" l="1"/>
  <c r="U285" i="5" s="1"/>
  <c r="L286" i="5"/>
  <c r="O286" i="5" l="1"/>
  <c r="AH310" i="1" l="1"/>
  <c r="S286" i="5"/>
  <c r="N286" i="5"/>
  <c r="T286" i="5" s="1"/>
  <c r="Q287" i="5" s="1"/>
  <c r="R286" i="5" l="1"/>
  <c r="U286" i="5" s="1"/>
  <c r="L287" i="5"/>
  <c r="O287" i="5" l="1"/>
  <c r="S287" i="5" l="1"/>
  <c r="N287" i="5"/>
  <c r="T287" i="5" s="1"/>
  <c r="Q288" i="5" s="1"/>
  <c r="AH311" i="1" l="1"/>
  <c r="R287" i="5"/>
  <c r="U287" i="5" s="1"/>
  <c r="L288" i="5"/>
  <c r="O288" i="5" l="1"/>
  <c r="S288" i="5" l="1"/>
  <c r="N288" i="5"/>
  <c r="T288" i="5" s="1"/>
  <c r="Q289" i="5" s="1"/>
  <c r="R288" i="5" l="1"/>
  <c r="U288" i="5" s="1"/>
  <c r="L289" i="5"/>
  <c r="AH312" i="1" l="1"/>
  <c r="O289" i="5"/>
  <c r="S289" i="5" l="1"/>
  <c r="N289" i="5"/>
  <c r="T289" i="5" s="1"/>
  <c r="Q290" i="5" s="1"/>
  <c r="R289" i="5" l="1"/>
  <c r="U289" i="5" s="1"/>
  <c r="L290" i="5"/>
  <c r="O290" i="5" l="1"/>
  <c r="S290" i="5" l="1"/>
  <c r="N290" i="5"/>
  <c r="T290" i="5" s="1"/>
  <c r="Q291" i="5" s="1"/>
  <c r="R290" i="5" l="1"/>
  <c r="U290" i="5" s="1"/>
  <c r="L291" i="5"/>
  <c r="O291" i="5" l="1"/>
  <c r="S291" i="5" l="1"/>
  <c r="N291" i="5"/>
  <c r="T291" i="5" s="1"/>
  <c r="Q292" i="5" s="1"/>
  <c r="R291" i="5" l="1"/>
  <c r="U291" i="5" s="1"/>
  <c r="L292" i="5"/>
  <c r="O292" i="5" l="1"/>
  <c r="S292" i="5" l="1"/>
  <c r="N292" i="5"/>
  <c r="T292" i="5" s="1"/>
  <c r="Q293" i="5" s="1"/>
  <c r="R292" i="5" l="1"/>
  <c r="U292" i="5" s="1"/>
  <c r="L293" i="5"/>
  <c r="O293" i="5" l="1"/>
  <c r="S293" i="5" l="1"/>
  <c r="N293" i="5"/>
  <c r="T293" i="5" s="1"/>
  <c r="Q294" i="5" s="1"/>
  <c r="R293" i="5" l="1"/>
  <c r="U293" i="5" s="1"/>
  <c r="L294" i="5"/>
  <c r="O294" i="5" l="1"/>
  <c r="S294" i="5" l="1"/>
  <c r="N294" i="5"/>
  <c r="T294" i="5" s="1"/>
  <c r="Q295" i="5" s="1"/>
  <c r="R294" i="5" l="1"/>
  <c r="U294" i="5" s="1"/>
  <c r="L295" i="5"/>
  <c r="O295" i="5" l="1"/>
  <c r="S295" i="5" l="1"/>
  <c r="N295" i="5"/>
  <c r="T295" i="5" s="1"/>
  <c r="Q296" i="5" s="1"/>
  <c r="R295" i="5" l="1"/>
  <c r="U295" i="5" s="1"/>
  <c r="L296" i="5"/>
  <c r="O296" i="5" l="1"/>
  <c r="S296" i="5" l="1"/>
  <c r="N296" i="5"/>
  <c r="T296" i="5" s="1"/>
  <c r="Q297" i="5" s="1"/>
  <c r="R296" i="5" l="1"/>
  <c r="U296" i="5" s="1"/>
  <c r="L297" i="5"/>
  <c r="O297" i="5" l="1"/>
  <c r="S297" i="5" l="1"/>
  <c r="N297" i="5"/>
  <c r="T297" i="5" s="1"/>
  <c r="Q298" i="5" s="1"/>
  <c r="R297" i="5" l="1"/>
  <c r="U297" i="5" s="1"/>
  <c r="L298" i="5"/>
  <c r="O298" i="5" l="1"/>
  <c r="S298" i="5" l="1"/>
  <c r="N298" i="5"/>
  <c r="T298" i="5" s="1"/>
  <c r="Q299" i="5" s="1"/>
  <c r="R298" i="5" l="1"/>
  <c r="U298" i="5" s="1"/>
  <c r="L299" i="5"/>
  <c r="O299" i="5" l="1"/>
  <c r="S299" i="5" l="1"/>
  <c r="N299" i="5"/>
  <c r="T299" i="5" s="1"/>
  <c r="Q300" i="5" s="1"/>
  <c r="R299" i="5" l="1"/>
  <c r="U299" i="5" s="1"/>
  <c r="L300" i="5"/>
  <c r="O300" i="5" l="1"/>
  <c r="S300" i="5" l="1"/>
  <c r="N300" i="5"/>
  <c r="T300" i="5" s="1"/>
  <c r="Q301" i="5" s="1"/>
  <c r="R300" i="5" l="1"/>
  <c r="U300" i="5" s="1"/>
  <c r="L301" i="5"/>
  <c r="O301" i="5" l="1"/>
  <c r="S301" i="5" l="1"/>
  <c r="N301" i="5"/>
  <c r="T301" i="5" s="1"/>
  <c r="Q302" i="5" s="1"/>
  <c r="R301" i="5" l="1"/>
  <c r="U301" i="5" s="1"/>
  <c r="L302" i="5"/>
  <c r="O302" i="5" l="1"/>
  <c r="S302" i="5" l="1"/>
  <c r="N302" i="5"/>
  <c r="T302" i="5" s="1"/>
  <c r="Q303" i="5" s="1"/>
  <c r="R302" i="5" l="1"/>
  <c r="U302" i="5" s="1"/>
  <c r="L303" i="5"/>
  <c r="O303" i="5" l="1"/>
  <c r="S303" i="5" l="1"/>
  <c r="N303" i="5"/>
  <c r="T303" i="5" s="1"/>
  <c r="Q304" i="5" s="1"/>
  <c r="R303" i="5" l="1"/>
  <c r="U303" i="5" s="1"/>
  <c r="L304" i="5"/>
  <c r="O304" i="5" l="1"/>
  <c r="S304" i="5" l="1"/>
  <c r="N304" i="5"/>
  <c r="T304" i="5" s="1"/>
  <c r="Q305" i="5" s="1"/>
  <c r="R304" i="5" l="1"/>
  <c r="U304" i="5" s="1"/>
  <c r="L305" i="5"/>
  <c r="O305" i="5" l="1"/>
  <c r="S305" i="5" l="1"/>
  <c r="N305" i="5"/>
  <c r="T305" i="5" s="1"/>
  <c r="Q306" i="5" s="1"/>
  <c r="R305" i="5" l="1"/>
  <c r="U305" i="5" s="1"/>
  <c r="L306" i="5"/>
  <c r="O306" i="5" l="1"/>
  <c r="S306" i="5" l="1"/>
  <c r="N306" i="5"/>
  <c r="T306" i="5" s="1"/>
  <c r="Q307" i="5" s="1"/>
  <c r="R306" i="5" l="1"/>
  <c r="U306" i="5" s="1"/>
  <c r="L307" i="5"/>
  <c r="O307" i="5" l="1"/>
  <c r="S307" i="5" l="1"/>
  <c r="N307" i="5"/>
  <c r="T307" i="5" s="1"/>
  <c r="Q308" i="5" s="1"/>
  <c r="R307" i="5" l="1"/>
  <c r="U307" i="5" s="1"/>
  <c r="L308" i="5"/>
  <c r="O308" i="5" l="1"/>
  <c r="S308" i="5" l="1"/>
  <c r="N308" i="5"/>
  <c r="T308" i="5" s="1"/>
  <c r="Q309" i="5" s="1"/>
  <c r="R308" i="5" l="1"/>
  <c r="U308" i="5" s="1"/>
  <c r="L309" i="5"/>
  <c r="O309" i="5" l="1"/>
  <c r="S309" i="5" l="1"/>
  <c r="N309" i="5"/>
  <c r="T309" i="5" s="1"/>
  <c r="Q310" i="5" s="1"/>
  <c r="R309" i="5" l="1"/>
  <c r="U309" i="5" s="1"/>
  <c r="L310" i="5"/>
  <c r="O310" i="5" l="1"/>
  <c r="S310" i="5" l="1"/>
  <c r="N310" i="5"/>
  <c r="T310" i="5" s="1"/>
  <c r="Q311" i="5" s="1"/>
  <c r="R310" i="5" l="1"/>
  <c r="U310" i="5" s="1"/>
  <c r="L311" i="5"/>
  <c r="O311" i="5" l="1"/>
  <c r="S311" i="5" l="1"/>
  <c r="N311" i="5"/>
  <c r="T311" i="5" s="1"/>
  <c r="Q312" i="5" s="1"/>
  <c r="R311" i="5" l="1"/>
  <c r="U311" i="5" s="1"/>
  <c r="L312" i="5"/>
  <c r="O312" i="5" l="1"/>
  <c r="S312" i="5" l="1"/>
  <c r="N312" i="5"/>
  <c r="T312" i="5" s="1"/>
  <c r="Q313" i="5" s="1"/>
  <c r="R312" i="5" l="1"/>
  <c r="U312" i="5" s="1"/>
  <c r="L313" i="5"/>
  <c r="O313" i="5" l="1"/>
  <c r="S313" i="5" l="1"/>
  <c r="N313" i="5"/>
  <c r="T313" i="5" s="1"/>
  <c r="Q314" i="5" s="1"/>
  <c r="R313" i="5" l="1"/>
  <c r="U313" i="5" s="1"/>
  <c r="L314" i="5"/>
  <c r="O314" i="5" l="1"/>
  <c r="S314" i="5" l="1"/>
  <c r="N314" i="5"/>
  <c r="T314" i="5" s="1"/>
  <c r="Q315" i="5" s="1"/>
  <c r="R314" i="5" l="1"/>
  <c r="U314" i="5" s="1"/>
  <c r="L315" i="5"/>
  <c r="O315" i="5" l="1"/>
  <c r="S315" i="5" l="1"/>
  <c r="N315" i="5"/>
  <c r="T315" i="5" s="1"/>
  <c r="Q316" i="5" s="1"/>
  <c r="R315" i="5" l="1"/>
  <c r="U315" i="5" s="1"/>
  <c r="L316" i="5"/>
  <c r="O316" i="5" l="1"/>
  <c r="S316" i="5" l="1"/>
  <c r="N316" i="5"/>
  <c r="T316" i="5" s="1"/>
  <c r="Q317" i="5" s="1"/>
  <c r="R316" i="5" l="1"/>
  <c r="U316" i="5" s="1"/>
  <c r="L317" i="5"/>
  <c r="O317" i="5" l="1"/>
  <c r="S317" i="5" l="1"/>
  <c r="N317" i="5"/>
  <c r="T317" i="5" s="1"/>
  <c r="Q318" i="5" s="1"/>
  <c r="R317" i="5" l="1"/>
  <c r="U317" i="5" s="1"/>
  <c r="L318" i="5"/>
  <c r="O318" i="5" l="1"/>
  <c r="S318" i="5" l="1"/>
  <c r="N318" i="5"/>
  <c r="T318" i="5" s="1"/>
  <c r="Q319" i="5" s="1"/>
  <c r="R318" i="5" l="1"/>
  <c r="U318" i="5" s="1"/>
  <c r="L319" i="5"/>
  <c r="O319" i="5" l="1"/>
  <c r="S319" i="5" l="1"/>
  <c r="N319" i="5"/>
  <c r="T319" i="5" s="1"/>
  <c r="Q320" i="5" s="1"/>
  <c r="R319" i="5" l="1"/>
  <c r="U319" i="5" s="1"/>
  <c r="L320" i="5"/>
  <c r="O320" i="5" l="1"/>
  <c r="S320" i="5" l="1"/>
  <c r="N320" i="5"/>
  <c r="T320" i="5" s="1"/>
  <c r="Q321" i="5" s="1"/>
  <c r="R320" i="5" l="1"/>
  <c r="U320" i="5" s="1"/>
  <c r="L321" i="5"/>
  <c r="O321" i="5" l="1"/>
  <c r="S321" i="5" l="1"/>
  <c r="N321" i="5"/>
  <c r="T321" i="5" s="1"/>
  <c r="Q322" i="5" s="1"/>
  <c r="R321" i="5" l="1"/>
  <c r="U321" i="5" s="1"/>
  <c r="L322" i="5"/>
  <c r="O322" i="5" l="1"/>
  <c r="S322" i="5" l="1"/>
  <c r="N322" i="5"/>
  <c r="T322" i="5" s="1"/>
  <c r="Q323" i="5" s="1"/>
  <c r="R322" i="5" l="1"/>
  <c r="U322" i="5" s="1"/>
  <c r="L323" i="5"/>
  <c r="O323" i="5" l="1"/>
  <c r="S323" i="5" l="1"/>
  <c r="N323" i="5"/>
  <c r="T323" i="5" s="1"/>
  <c r="Q324" i="5" s="1"/>
  <c r="R323" i="5" l="1"/>
  <c r="U323" i="5" s="1"/>
  <c r="L324" i="5"/>
  <c r="O324" i="5" l="1"/>
  <c r="S324" i="5" l="1"/>
  <c r="N324" i="5"/>
  <c r="T324" i="5" s="1"/>
  <c r="Q325" i="5" s="1"/>
  <c r="R324" i="5" l="1"/>
  <c r="U324" i="5" s="1"/>
  <c r="L325" i="5"/>
  <c r="O325" i="5" l="1"/>
  <c r="S325" i="5" l="1"/>
  <c r="N325" i="5"/>
  <c r="T325" i="5" s="1"/>
  <c r="Q326" i="5" s="1"/>
  <c r="R325" i="5" l="1"/>
  <c r="U325" i="5" s="1"/>
  <c r="L326" i="5"/>
  <c r="O326" i="5" l="1"/>
  <c r="S326" i="5" l="1"/>
  <c r="N326" i="5"/>
  <c r="T326" i="5" s="1"/>
  <c r="Q327" i="5" s="1"/>
  <c r="R326" i="5" l="1"/>
  <c r="U326" i="5" s="1"/>
  <c r="L327" i="5"/>
  <c r="O327" i="5" l="1"/>
  <c r="S327" i="5" l="1"/>
  <c r="N327" i="5"/>
  <c r="T327" i="5" s="1"/>
  <c r="Q328" i="5" s="1"/>
  <c r="R327" i="5" l="1"/>
  <c r="U327" i="5" s="1"/>
  <c r="L328" i="5"/>
  <c r="O328" i="5" l="1"/>
  <c r="S328" i="5" l="1"/>
  <c r="N328" i="5"/>
  <c r="T328" i="5" s="1"/>
  <c r="Q329" i="5" s="1"/>
  <c r="R328" i="5" l="1"/>
  <c r="U328" i="5" s="1"/>
  <c r="L329" i="5"/>
  <c r="O329" i="5" l="1"/>
  <c r="S329" i="5" l="1"/>
  <c r="N329" i="5"/>
  <c r="T329" i="5" s="1"/>
  <c r="Q330" i="5" s="1"/>
  <c r="R329" i="5" l="1"/>
  <c r="U329" i="5" s="1"/>
  <c r="L330" i="5"/>
  <c r="O330" i="5" l="1"/>
  <c r="S330" i="5" l="1"/>
  <c r="N330" i="5"/>
  <c r="T330" i="5" s="1"/>
  <c r="Q331" i="5" s="1"/>
  <c r="R330" i="5" l="1"/>
  <c r="U330" i="5" s="1"/>
  <c r="L331" i="5"/>
  <c r="O331" i="5" l="1"/>
  <c r="S331" i="5" l="1"/>
  <c r="N331" i="5"/>
  <c r="T331" i="5" s="1"/>
  <c r="Q332" i="5" s="1"/>
  <c r="R331" i="5" l="1"/>
  <c r="U331" i="5" s="1"/>
  <c r="L332" i="5"/>
  <c r="O332" i="5" l="1"/>
  <c r="S332" i="5" l="1"/>
  <c r="N332" i="5"/>
  <c r="T332" i="5" s="1"/>
  <c r="Q333" i="5" s="1"/>
  <c r="R332" i="5" l="1"/>
  <c r="U332" i="5" s="1"/>
  <c r="L333" i="5"/>
  <c r="O333" i="5" l="1"/>
  <c r="S333" i="5" l="1"/>
  <c r="N333" i="5"/>
  <c r="T333" i="5" s="1"/>
  <c r="Q334" i="5" s="1"/>
  <c r="R333" i="5" l="1"/>
  <c r="U333" i="5" s="1"/>
  <c r="L334" i="5"/>
  <c r="O334" i="5" l="1"/>
  <c r="S334" i="5" l="1"/>
  <c r="N334" i="5"/>
  <c r="T334" i="5" s="1"/>
  <c r="Q335" i="5" s="1"/>
  <c r="R334" i="5" l="1"/>
  <c r="U334" i="5" s="1"/>
  <c r="L335" i="5"/>
  <c r="O335" i="5" l="1"/>
  <c r="S335" i="5" l="1"/>
  <c r="N335" i="5"/>
  <c r="T335" i="5" s="1"/>
  <c r="Q336" i="5" s="1"/>
  <c r="R335" i="5" l="1"/>
  <c r="U335" i="5" s="1"/>
  <c r="L336" i="5"/>
  <c r="O336" i="5" l="1"/>
  <c r="S336" i="5" l="1"/>
  <c r="N336" i="5"/>
  <c r="T336" i="5" s="1"/>
  <c r="Q337" i="5" s="1"/>
  <c r="R336" i="5" l="1"/>
  <c r="U336" i="5" s="1"/>
  <c r="L337" i="5"/>
  <c r="O337" i="5" l="1"/>
  <c r="S337" i="5" l="1"/>
  <c r="N337" i="5"/>
  <c r="T337" i="5" s="1"/>
  <c r="Q338" i="5" s="1"/>
  <c r="R337" i="5" l="1"/>
  <c r="U337" i="5" s="1"/>
  <c r="L338" i="5"/>
  <c r="O338" i="5" l="1"/>
  <c r="S338" i="5" l="1"/>
  <c r="N338" i="5"/>
  <c r="T338" i="5" s="1"/>
  <c r="Q339" i="5" s="1"/>
  <c r="R338" i="5" l="1"/>
  <c r="U338" i="5" s="1"/>
  <c r="L339" i="5"/>
  <c r="O339" i="5" l="1"/>
  <c r="S339" i="5" l="1"/>
  <c r="N339" i="5"/>
  <c r="T339" i="5" s="1"/>
  <c r="Q340" i="5" s="1"/>
  <c r="R339" i="5" l="1"/>
  <c r="U339" i="5" s="1"/>
  <c r="L340" i="5"/>
  <c r="O340" i="5" l="1"/>
  <c r="S340" i="5" l="1"/>
  <c r="N340" i="5"/>
  <c r="T340" i="5" s="1"/>
  <c r="Q341" i="5" s="1"/>
  <c r="R340" i="5" l="1"/>
  <c r="U340" i="5" s="1"/>
  <c r="L341" i="5"/>
  <c r="O341" i="5" l="1"/>
  <c r="S341" i="5" l="1"/>
  <c r="N341" i="5"/>
  <c r="T341" i="5" s="1"/>
  <c r="Q342" i="5" s="1"/>
  <c r="R341" i="5" l="1"/>
  <c r="U341" i="5" s="1"/>
  <c r="L342" i="5"/>
  <c r="O342" i="5" l="1"/>
  <c r="S342" i="5" l="1"/>
  <c r="N342" i="5"/>
  <c r="T342" i="5" s="1"/>
  <c r="Q343" i="5" s="1"/>
  <c r="R342" i="5" l="1"/>
  <c r="U342" i="5" s="1"/>
  <c r="L343" i="5"/>
  <c r="O343" i="5" l="1"/>
  <c r="S343" i="5" l="1"/>
  <c r="N343" i="5"/>
  <c r="T343" i="5" s="1"/>
  <c r="Q344" i="5" s="1"/>
  <c r="R343" i="5" l="1"/>
  <c r="U343" i="5" s="1"/>
  <c r="L344" i="5"/>
  <c r="O344" i="5" l="1"/>
  <c r="S344" i="5" l="1"/>
  <c r="N344" i="5"/>
  <c r="T344" i="5" s="1"/>
  <c r="Q345" i="5" s="1"/>
  <c r="R344" i="5" l="1"/>
  <c r="U344" i="5" s="1"/>
  <c r="L345" i="5"/>
  <c r="O345" i="5" l="1"/>
  <c r="S345" i="5" l="1"/>
  <c r="N345" i="5"/>
  <c r="T345" i="5" s="1"/>
  <c r="Q346" i="5" s="1"/>
  <c r="R345" i="5" l="1"/>
  <c r="U345" i="5" s="1"/>
  <c r="L346" i="5"/>
  <c r="O346" i="5" l="1"/>
  <c r="S346" i="5" l="1"/>
  <c r="N346" i="5"/>
  <c r="T346" i="5" s="1"/>
  <c r="Q347" i="5" s="1"/>
  <c r="R346" i="5" l="1"/>
  <c r="U346" i="5" s="1"/>
  <c r="L347" i="5"/>
  <c r="O347" i="5" l="1"/>
  <c r="S347" i="5" l="1"/>
  <c r="N347" i="5"/>
  <c r="T347" i="5" s="1"/>
  <c r="Q348" i="5" s="1"/>
  <c r="R347" i="5" l="1"/>
  <c r="U347" i="5" s="1"/>
  <c r="L348" i="5"/>
  <c r="O348" i="5" l="1"/>
  <c r="S348" i="5" l="1"/>
  <c r="N348" i="5"/>
  <c r="T348" i="5" s="1"/>
  <c r="Q349" i="5" s="1"/>
  <c r="R348" i="5" l="1"/>
  <c r="U348" i="5" s="1"/>
  <c r="L349" i="5"/>
  <c r="O349" i="5" l="1"/>
  <c r="S349" i="5" l="1"/>
  <c r="N349" i="5"/>
  <c r="T349" i="5" s="1"/>
  <c r="Q350" i="5" s="1"/>
  <c r="R349" i="5" l="1"/>
  <c r="U349" i="5" s="1"/>
  <c r="L350" i="5"/>
  <c r="O350" i="5" l="1"/>
  <c r="S350" i="5" l="1"/>
  <c r="N350" i="5"/>
  <c r="T350" i="5" s="1"/>
  <c r="Q351" i="5" s="1"/>
  <c r="R350" i="5" l="1"/>
  <c r="U350" i="5" s="1"/>
  <c r="L351" i="5"/>
  <c r="O351" i="5" l="1"/>
  <c r="S351" i="5" l="1"/>
  <c r="N351" i="5"/>
  <c r="T351" i="5" s="1"/>
  <c r="Q352" i="5" s="1"/>
  <c r="R351" i="5" l="1"/>
  <c r="U351" i="5" s="1"/>
  <c r="L352" i="5"/>
  <c r="O352" i="5" l="1"/>
  <c r="S352" i="5" l="1"/>
  <c r="N352" i="5"/>
  <c r="T352" i="5" s="1"/>
  <c r="Q353" i="5" s="1"/>
  <c r="R352" i="5" l="1"/>
  <c r="U352" i="5" s="1"/>
  <c r="L353" i="5"/>
  <c r="O353" i="5" l="1"/>
  <c r="S353" i="5" l="1"/>
  <c r="N353" i="5"/>
  <c r="T353" i="5" s="1"/>
  <c r="Q354" i="5" s="1"/>
  <c r="R353" i="5" l="1"/>
  <c r="U353" i="5" s="1"/>
  <c r="L354" i="5"/>
  <c r="O354" i="5" l="1"/>
  <c r="S354" i="5" l="1"/>
  <c r="N354" i="5"/>
  <c r="T354" i="5" s="1"/>
  <c r="Q355" i="5" s="1"/>
  <c r="R354" i="5" l="1"/>
  <c r="U354" i="5" s="1"/>
  <c r="L355" i="5"/>
  <c r="O355" i="5" l="1"/>
  <c r="S355" i="5" l="1"/>
  <c r="N355" i="5"/>
  <c r="T355" i="5" s="1"/>
  <c r="Q356" i="5" s="1"/>
  <c r="R355" i="5" l="1"/>
  <c r="U355" i="5" s="1"/>
  <c r="L356" i="5"/>
  <c r="O356" i="5" l="1"/>
  <c r="S356" i="5" l="1"/>
  <c r="N356" i="5"/>
  <c r="T356" i="5" s="1"/>
  <c r="Q357" i="5" s="1"/>
  <c r="R356" i="5" l="1"/>
  <c r="U356" i="5" s="1"/>
  <c r="L357" i="5"/>
  <c r="O357" i="5" l="1"/>
  <c r="S357" i="5" l="1"/>
  <c r="N357" i="5"/>
  <c r="T357" i="5" s="1"/>
  <c r="Q358" i="5" s="1"/>
  <c r="R357" i="5" l="1"/>
  <c r="U357" i="5" s="1"/>
  <c r="L358" i="5"/>
  <c r="O358" i="5" l="1"/>
  <c r="S358" i="5" l="1"/>
  <c r="N358" i="5"/>
  <c r="T358" i="5" s="1"/>
  <c r="Q359" i="5" s="1"/>
  <c r="R358" i="5" l="1"/>
  <c r="U358" i="5" s="1"/>
  <c r="L359" i="5"/>
  <c r="O359" i="5" l="1"/>
  <c r="S359" i="5" l="1"/>
  <c r="N359" i="5"/>
  <c r="T359" i="5" s="1"/>
  <c r="Q360" i="5" s="1"/>
  <c r="R359" i="5" l="1"/>
  <c r="U359" i="5" s="1"/>
  <c r="L360" i="5"/>
  <c r="O360" i="5" l="1"/>
  <c r="S360" i="5" l="1"/>
  <c r="N360" i="5"/>
  <c r="T360" i="5" s="1"/>
  <c r="Q361" i="5" s="1"/>
  <c r="R360" i="5" l="1"/>
  <c r="U360" i="5" s="1"/>
  <c r="L361" i="5"/>
  <c r="O361" i="5" l="1"/>
  <c r="S361" i="5" l="1"/>
  <c r="N361" i="5"/>
  <c r="T361" i="5" s="1"/>
  <c r="Q362" i="5" s="1"/>
  <c r="R361" i="5" l="1"/>
  <c r="U361" i="5" s="1"/>
  <c r="L362" i="5"/>
  <c r="O362" i="5" l="1"/>
  <c r="S362" i="5" l="1"/>
  <c r="N362" i="5"/>
  <c r="T362" i="5" s="1"/>
  <c r="Q363" i="5" s="1"/>
  <c r="R362" i="5" l="1"/>
  <c r="U362" i="5" s="1"/>
  <c r="L363" i="5"/>
  <c r="O363" i="5" l="1"/>
  <c r="S363" i="5" l="1"/>
  <c r="N363" i="5"/>
  <c r="T363" i="5" s="1"/>
  <c r="Q364" i="5" s="1"/>
  <c r="R363" i="5" l="1"/>
  <c r="U363" i="5" s="1"/>
  <c r="L364" i="5"/>
  <c r="O364" i="5" l="1"/>
  <c r="S364" i="5" l="1"/>
  <c r="N364" i="5"/>
  <c r="T364" i="5" s="1"/>
  <c r="Q365" i="5" s="1"/>
  <c r="R364" i="5" l="1"/>
  <c r="U364" i="5" s="1"/>
  <c r="L365" i="5"/>
  <c r="O365" i="5" l="1"/>
  <c r="S365" i="5" l="1"/>
  <c r="N365" i="5"/>
  <c r="T365" i="5" s="1"/>
  <c r="Q366" i="5" s="1"/>
  <c r="R365" i="5" l="1"/>
  <c r="U365" i="5" s="1"/>
  <c r="L366" i="5"/>
  <c r="O366" i="5" l="1"/>
  <c r="S366" i="5" l="1"/>
  <c r="N366" i="5"/>
  <c r="T366" i="5" s="1"/>
  <c r="Q367" i="5" s="1"/>
  <c r="R366" i="5" l="1"/>
  <c r="U366" i="5" s="1"/>
  <c r="L367" i="5"/>
  <c r="O367" i="5" l="1"/>
  <c r="S367" i="5" l="1"/>
  <c r="N367" i="5"/>
  <c r="T367" i="5" s="1"/>
  <c r="Q368" i="5" s="1"/>
  <c r="R367" i="5" l="1"/>
  <c r="U367" i="5" s="1"/>
  <c r="L368" i="5"/>
  <c r="O368" i="5" l="1"/>
  <c r="S368" i="5" l="1"/>
  <c r="N368" i="5"/>
  <c r="T368" i="5" s="1"/>
  <c r="Q369" i="5" s="1"/>
  <c r="R368" i="5" l="1"/>
  <c r="U368" i="5" s="1"/>
  <c r="L369" i="5"/>
  <c r="O369" i="5" l="1"/>
  <c r="S369" i="5" l="1"/>
  <c r="N369" i="5"/>
  <c r="T369" i="5" s="1"/>
  <c r="Q370" i="5" s="1"/>
  <c r="R369" i="5" l="1"/>
  <c r="U369" i="5" s="1"/>
  <c r="L370" i="5"/>
  <c r="O370" i="5" l="1"/>
  <c r="S370" i="5" l="1"/>
  <c r="N370" i="5"/>
  <c r="T370" i="5" s="1"/>
  <c r="Q371" i="5" s="1"/>
  <c r="R370" i="5" l="1"/>
  <c r="U370" i="5" s="1"/>
  <c r="L371" i="5"/>
  <c r="O371" i="5" l="1"/>
  <c r="S371" i="5" l="1"/>
  <c r="N371" i="5"/>
  <c r="T371" i="5" s="1"/>
  <c r="Q372" i="5" s="1"/>
  <c r="R371" i="5" l="1"/>
  <c r="U371" i="5" s="1"/>
  <c r="L372" i="5"/>
  <c r="O372" i="5" l="1"/>
  <c r="S372" i="5" l="1"/>
  <c r="N372" i="5"/>
  <c r="T372" i="5" s="1"/>
  <c r="Q373" i="5" s="1"/>
  <c r="R372" i="5" l="1"/>
  <c r="U372" i="5" s="1"/>
  <c r="L373" i="5"/>
  <c r="O373" i="5" l="1"/>
  <c r="S373" i="5" l="1"/>
  <c r="N373" i="5"/>
  <c r="T373" i="5" s="1"/>
  <c r="Q374" i="5" s="1"/>
  <c r="R373" i="5" l="1"/>
  <c r="U373" i="5" s="1"/>
  <c r="L374" i="5"/>
  <c r="O374" i="5" l="1"/>
  <c r="S374" i="5" l="1"/>
  <c r="N374" i="5"/>
  <c r="T374" i="5" s="1"/>
  <c r="Q375" i="5" s="1"/>
  <c r="R374" i="5" l="1"/>
  <c r="U374" i="5" s="1"/>
  <c r="L375" i="5"/>
  <c r="O375" i="5" l="1"/>
  <c r="S375" i="5" l="1"/>
  <c r="N375" i="5"/>
  <c r="T375" i="5" s="1"/>
  <c r="Q376" i="5" l="1"/>
  <c r="T376" i="5"/>
  <c r="L376" i="5"/>
  <c r="O376" i="5" s="1"/>
  <c r="R375" i="5"/>
  <c r="U375" i="5" s="1"/>
  <c r="N376" i="5" l="1"/>
  <c r="R376" i="5" s="1"/>
  <c r="U376" i="5" s="1"/>
  <c r="U377" i="5" s="1"/>
  <c r="U378" i="5" s="1"/>
  <c r="U379" i="5" s="1"/>
  <c r="U380" i="5" s="1"/>
  <c r="S376" i="5"/>
  <c r="T377" i="5"/>
  <c r="Q377" i="5"/>
  <c r="L377" i="5"/>
  <c r="O377" i="5" s="1"/>
  <c r="AA7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S377" i="5" l="1"/>
  <c r="N377" i="5"/>
  <c r="R377" i="5" s="1"/>
  <c r="L378" i="5"/>
  <c r="O378" i="5" s="1"/>
  <c r="Q378" i="5"/>
  <c r="T378" i="5"/>
  <c r="B3" i="4"/>
  <c r="B11" i="4" s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AA6" i="1"/>
  <c r="AA10" i="1"/>
  <c r="AA5" i="1"/>
  <c r="W32" i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N32" i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AC1" i="1"/>
  <c r="AK49" i="1"/>
  <c r="AK50" i="1" s="1"/>
  <c r="AK51" i="1" s="1"/>
  <c r="AK52" i="1" s="1"/>
  <c r="AK53" i="1" s="1"/>
  <c r="AK54" i="1" s="1"/>
  <c r="AK55" i="1" s="1"/>
  <c r="AK56" i="1" s="1"/>
  <c r="AK57" i="1" s="1"/>
  <c r="AK58" i="1" s="1"/>
  <c r="BD7" i="5" s="1"/>
  <c r="AJ37" i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S7" i="5" s="1"/>
  <c r="AI32" i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H7" i="5" s="1"/>
  <c r="AH32" i="1"/>
  <c r="AH33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W7" i="5" s="1"/>
  <c r="S32" i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R32" i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Q32" i="1"/>
  <c r="R53" i="1" l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Q33" i="1"/>
  <c r="CF32" i="1"/>
  <c r="BE16" i="5"/>
  <c r="BH16" i="5" s="1"/>
  <c r="BL16" i="5" s="1"/>
  <c r="BD11" i="5"/>
  <c r="AT16" i="5"/>
  <c r="AW16" i="5" s="1"/>
  <c r="BA16" i="5" s="1"/>
  <c r="AS11" i="5"/>
  <c r="AI16" i="5"/>
  <c r="AH11" i="5"/>
  <c r="X16" i="5"/>
  <c r="W11" i="5"/>
  <c r="B12" i="4"/>
  <c r="B13" i="4" s="1"/>
  <c r="B16" i="4" s="1"/>
  <c r="T379" i="5"/>
  <c r="L379" i="5"/>
  <c r="O379" i="5" s="1"/>
  <c r="Q379" i="5"/>
  <c r="S378" i="5"/>
  <c r="N378" i="5"/>
  <c r="R378" i="5" s="1"/>
  <c r="AB33" i="1"/>
  <c r="AB62" i="1"/>
  <c r="AC65" i="1"/>
  <c r="AD68" i="1"/>
  <c r="AE71" i="1"/>
  <c r="AG74" i="1"/>
  <c r="AB78" i="1"/>
  <c r="AC81" i="1"/>
  <c r="AD84" i="1"/>
  <c r="AE87" i="1"/>
  <c r="AG90" i="1"/>
  <c r="AB94" i="1"/>
  <c r="AC97" i="1"/>
  <c r="AD100" i="1"/>
  <c r="AE103" i="1"/>
  <c r="AG106" i="1"/>
  <c r="AB110" i="1"/>
  <c r="AC113" i="1"/>
  <c r="AD116" i="1"/>
  <c r="AE119" i="1"/>
  <c r="AG122" i="1"/>
  <c r="AB126" i="1"/>
  <c r="AC129" i="1"/>
  <c r="AD132" i="1"/>
  <c r="AE135" i="1"/>
  <c r="AG138" i="1"/>
  <c r="AB142" i="1"/>
  <c r="AC145" i="1"/>
  <c r="AD148" i="1"/>
  <c r="AE151" i="1"/>
  <c r="AG154" i="1"/>
  <c r="AB158" i="1"/>
  <c r="AC161" i="1"/>
  <c r="AD164" i="1"/>
  <c r="AE167" i="1"/>
  <c r="AG170" i="1"/>
  <c r="AB174" i="1"/>
  <c r="AC177" i="1"/>
  <c r="AD180" i="1"/>
  <c r="AE183" i="1"/>
  <c r="AG186" i="1"/>
  <c r="AB190" i="1"/>
  <c r="AC193" i="1"/>
  <c r="AD196" i="1"/>
  <c r="AE199" i="1"/>
  <c r="AG202" i="1"/>
  <c r="AB206" i="1"/>
  <c r="AC209" i="1"/>
  <c r="AD212" i="1"/>
  <c r="AE215" i="1"/>
  <c r="AG218" i="1"/>
  <c r="AB222" i="1"/>
  <c r="AC225" i="1"/>
  <c r="AD228" i="1"/>
  <c r="AE231" i="1"/>
  <c r="AG234" i="1"/>
  <c r="AB238" i="1"/>
  <c r="AC241" i="1"/>
  <c r="AD244" i="1"/>
  <c r="AE247" i="1"/>
  <c r="AG250" i="1"/>
  <c r="AB254" i="1"/>
  <c r="AC257" i="1"/>
  <c r="AD260" i="1"/>
  <c r="AE263" i="1"/>
  <c r="AG266" i="1"/>
  <c r="AB270" i="1"/>
  <c r="AC273" i="1"/>
  <c r="AD276" i="1"/>
  <c r="AE279" i="1"/>
  <c r="AG282" i="1"/>
  <c r="AB286" i="1"/>
  <c r="AC289" i="1"/>
  <c r="AD292" i="1"/>
  <c r="AE295" i="1"/>
  <c r="AG298" i="1"/>
  <c r="AB302" i="1"/>
  <c r="AC305" i="1"/>
  <c r="AD308" i="1"/>
  <c r="AE311" i="1"/>
  <c r="AE69" i="1"/>
  <c r="AE101" i="1"/>
  <c r="AB59" i="1"/>
  <c r="AC62" i="1"/>
  <c r="AD65" i="1"/>
  <c r="AE68" i="1"/>
  <c r="AG71" i="1"/>
  <c r="AB75" i="1"/>
  <c r="AC78" i="1"/>
  <c r="AD81" i="1"/>
  <c r="AE84" i="1"/>
  <c r="AG87" i="1"/>
  <c r="AB91" i="1"/>
  <c r="AC94" i="1"/>
  <c r="AD97" i="1"/>
  <c r="AE100" i="1"/>
  <c r="AG103" i="1"/>
  <c r="AB107" i="1"/>
  <c r="AC110" i="1"/>
  <c r="AD113" i="1"/>
  <c r="AE116" i="1"/>
  <c r="AG119" i="1"/>
  <c r="AB123" i="1"/>
  <c r="AC126" i="1"/>
  <c r="AD129" i="1"/>
  <c r="AE132" i="1"/>
  <c r="AG135" i="1"/>
  <c r="AB139" i="1"/>
  <c r="AC142" i="1"/>
  <c r="AD145" i="1"/>
  <c r="AE148" i="1"/>
  <c r="AG151" i="1"/>
  <c r="AB155" i="1"/>
  <c r="AC158" i="1"/>
  <c r="AD161" i="1"/>
  <c r="AE164" i="1"/>
  <c r="AG167" i="1"/>
  <c r="AB171" i="1"/>
  <c r="AC174" i="1"/>
  <c r="AD177" i="1"/>
  <c r="AE180" i="1"/>
  <c r="AG183" i="1"/>
  <c r="AB187" i="1"/>
  <c r="AC190" i="1"/>
  <c r="AD193" i="1"/>
  <c r="AE196" i="1"/>
  <c r="AG199" i="1"/>
  <c r="AB203" i="1"/>
  <c r="AC206" i="1"/>
  <c r="AD209" i="1"/>
  <c r="AE212" i="1"/>
  <c r="AG215" i="1"/>
  <c r="AB219" i="1"/>
  <c r="AC222" i="1"/>
  <c r="AD225" i="1"/>
  <c r="AE228" i="1"/>
  <c r="AG231" i="1"/>
  <c r="AB235" i="1"/>
  <c r="AC238" i="1"/>
  <c r="AD241" i="1"/>
  <c r="AE244" i="1"/>
  <c r="AG247" i="1"/>
  <c r="AB251" i="1"/>
  <c r="AC254" i="1"/>
  <c r="AD257" i="1"/>
  <c r="AE260" i="1"/>
  <c r="AG263" i="1"/>
  <c r="AB267" i="1"/>
  <c r="AC270" i="1"/>
  <c r="AD273" i="1"/>
  <c r="AE276" i="1"/>
  <c r="AG279" i="1"/>
  <c r="AB283" i="1"/>
  <c r="AC286" i="1"/>
  <c r="AD289" i="1"/>
  <c r="AE292" i="1"/>
  <c r="AG295" i="1"/>
  <c r="AB299" i="1"/>
  <c r="AC302" i="1"/>
  <c r="AD305" i="1"/>
  <c r="AE308" i="1"/>
  <c r="AG311" i="1"/>
  <c r="AB60" i="1"/>
  <c r="AC79" i="1"/>
  <c r="AB92" i="1"/>
  <c r="AD98" i="1"/>
  <c r="AC111" i="1"/>
  <c r="AC59" i="1"/>
  <c r="AD62" i="1"/>
  <c r="AE65" i="1"/>
  <c r="AG68" i="1"/>
  <c r="AB72" i="1"/>
  <c r="AC75" i="1"/>
  <c r="AD78" i="1"/>
  <c r="AE81" i="1"/>
  <c r="AG84" i="1"/>
  <c r="AB88" i="1"/>
  <c r="AC91" i="1"/>
  <c r="AD94" i="1"/>
  <c r="AE97" i="1"/>
  <c r="AG100" i="1"/>
  <c r="AB104" i="1"/>
  <c r="AC107" i="1"/>
  <c r="AD110" i="1"/>
  <c r="AE113" i="1"/>
  <c r="AG116" i="1"/>
  <c r="AB120" i="1"/>
  <c r="AC123" i="1"/>
  <c r="AD126" i="1"/>
  <c r="AE129" i="1"/>
  <c r="AG132" i="1"/>
  <c r="AB136" i="1"/>
  <c r="AC139" i="1"/>
  <c r="AD142" i="1"/>
  <c r="AE145" i="1"/>
  <c r="AG148" i="1"/>
  <c r="AB152" i="1"/>
  <c r="AC155" i="1"/>
  <c r="AD158" i="1"/>
  <c r="AE161" i="1"/>
  <c r="AG164" i="1"/>
  <c r="AB168" i="1"/>
  <c r="AC171" i="1"/>
  <c r="AD174" i="1"/>
  <c r="AE177" i="1"/>
  <c r="AG180" i="1"/>
  <c r="AB184" i="1"/>
  <c r="AC187" i="1"/>
  <c r="AD190" i="1"/>
  <c r="AE193" i="1"/>
  <c r="AG196" i="1"/>
  <c r="AB200" i="1"/>
  <c r="AC203" i="1"/>
  <c r="AD206" i="1"/>
  <c r="AE209" i="1"/>
  <c r="AG212" i="1"/>
  <c r="AB216" i="1"/>
  <c r="AC219" i="1"/>
  <c r="AD222" i="1"/>
  <c r="AE225" i="1"/>
  <c r="AG228" i="1"/>
  <c r="AB232" i="1"/>
  <c r="AC235" i="1"/>
  <c r="AD238" i="1"/>
  <c r="AE241" i="1"/>
  <c r="AG244" i="1"/>
  <c r="AB248" i="1"/>
  <c r="AC251" i="1"/>
  <c r="AD254" i="1"/>
  <c r="AE257" i="1"/>
  <c r="AG260" i="1"/>
  <c r="AB264" i="1"/>
  <c r="AC267" i="1"/>
  <c r="AD270" i="1"/>
  <c r="AE273" i="1"/>
  <c r="AG276" i="1"/>
  <c r="AB280" i="1"/>
  <c r="AC283" i="1"/>
  <c r="AD286" i="1"/>
  <c r="AE289" i="1"/>
  <c r="AG292" i="1"/>
  <c r="AB296" i="1"/>
  <c r="AC299" i="1"/>
  <c r="AD302" i="1"/>
  <c r="AE305" i="1"/>
  <c r="AG308" i="1"/>
  <c r="AB312" i="1"/>
  <c r="AG88" i="1"/>
  <c r="AD59" i="1"/>
  <c r="AE62" i="1"/>
  <c r="AG65" i="1"/>
  <c r="AB69" i="1"/>
  <c r="AC72" i="1"/>
  <c r="AD75" i="1"/>
  <c r="AE78" i="1"/>
  <c r="AG81" i="1"/>
  <c r="AB85" i="1"/>
  <c r="AC88" i="1"/>
  <c r="AD91" i="1"/>
  <c r="AE94" i="1"/>
  <c r="AG97" i="1"/>
  <c r="AB101" i="1"/>
  <c r="AC104" i="1"/>
  <c r="AD107" i="1"/>
  <c r="AE110" i="1"/>
  <c r="AG113" i="1"/>
  <c r="AB117" i="1"/>
  <c r="AC120" i="1"/>
  <c r="AD123" i="1"/>
  <c r="AE126" i="1"/>
  <c r="AG129" i="1"/>
  <c r="AB133" i="1"/>
  <c r="AC136" i="1"/>
  <c r="AD139" i="1"/>
  <c r="AE142" i="1"/>
  <c r="AG145" i="1"/>
  <c r="AB149" i="1"/>
  <c r="AC152" i="1"/>
  <c r="AD155" i="1"/>
  <c r="AE158" i="1"/>
  <c r="AG161" i="1"/>
  <c r="AB165" i="1"/>
  <c r="AC168" i="1"/>
  <c r="AD171" i="1"/>
  <c r="AE174" i="1"/>
  <c r="AG177" i="1"/>
  <c r="AB181" i="1"/>
  <c r="AC184" i="1"/>
  <c r="AD187" i="1"/>
  <c r="AE190" i="1"/>
  <c r="AG193" i="1"/>
  <c r="AB197" i="1"/>
  <c r="AC200" i="1"/>
  <c r="AD203" i="1"/>
  <c r="AE206" i="1"/>
  <c r="AG209" i="1"/>
  <c r="AB213" i="1"/>
  <c r="AC216" i="1"/>
  <c r="AD219" i="1"/>
  <c r="AE222" i="1"/>
  <c r="AG225" i="1"/>
  <c r="AB229" i="1"/>
  <c r="AC232" i="1"/>
  <c r="AD235" i="1"/>
  <c r="AE238" i="1"/>
  <c r="AG241" i="1"/>
  <c r="AB245" i="1"/>
  <c r="AC248" i="1"/>
  <c r="AD251" i="1"/>
  <c r="AE254" i="1"/>
  <c r="AG257" i="1"/>
  <c r="AB261" i="1"/>
  <c r="AC264" i="1"/>
  <c r="AD267" i="1"/>
  <c r="AE270" i="1"/>
  <c r="AG273" i="1"/>
  <c r="AB277" i="1"/>
  <c r="AC280" i="1"/>
  <c r="AD283" i="1"/>
  <c r="AE286" i="1"/>
  <c r="AG289" i="1"/>
  <c r="AB293" i="1"/>
  <c r="AC296" i="1"/>
  <c r="AD299" i="1"/>
  <c r="AE302" i="1"/>
  <c r="AG305" i="1"/>
  <c r="AB309" i="1"/>
  <c r="AC312" i="1"/>
  <c r="AD82" i="1"/>
  <c r="AE59" i="1"/>
  <c r="AG62" i="1"/>
  <c r="AB66" i="1"/>
  <c r="AC69" i="1"/>
  <c r="AD72" i="1"/>
  <c r="AE75" i="1"/>
  <c r="AG78" i="1"/>
  <c r="AB82" i="1"/>
  <c r="AC85" i="1"/>
  <c r="AD88" i="1"/>
  <c r="AE91" i="1"/>
  <c r="AG94" i="1"/>
  <c r="AB98" i="1"/>
  <c r="AC101" i="1"/>
  <c r="AD104" i="1"/>
  <c r="AE107" i="1"/>
  <c r="AG110" i="1"/>
  <c r="AB114" i="1"/>
  <c r="AC117" i="1"/>
  <c r="AD120" i="1"/>
  <c r="AE123" i="1"/>
  <c r="AG126" i="1"/>
  <c r="AB130" i="1"/>
  <c r="AC133" i="1"/>
  <c r="AD136" i="1"/>
  <c r="AE139" i="1"/>
  <c r="AG142" i="1"/>
  <c r="AB146" i="1"/>
  <c r="AC149" i="1"/>
  <c r="AD152" i="1"/>
  <c r="AE155" i="1"/>
  <c r="AG158" i="1"/>
  <c r="AB162" i="1"/>
  <c r="AC165" i="1"/>
  <c r="AD168" i="1"/>
  <c r="AE171" i="1"/>
  <c r="AG174" i="1"/>
  <c r="AB178" i="1"/>
  <c r="AC181" i="1"/>
  <c r="AD184" i="1"/>
  <c r="AE187" i="1"/>
  <c r="AG190" i="1"/>
  <c r="AB194" i="1"/>
  <c r="AC197" i="1"/>
  <c r="AD200" i="1"/>
  <c r="AE203" i="1"/>
  <c r="AG206" i="1"/>
  <c r="AB210" i="1"/>
  <c r="AC213" i="1"/>
  <c r="AD216" i="1"/>
  <c r="AE219" i="1"/>
  <c r="AG222" i="1"/>
  <c r="AB226" i="1"/>
  <c r="AC229" i="1"/>
  <c r="AD232" i="1"/>
  <c r="AE235" i="1"/>
  <c r="AG238" i="1"/>
  <c r="AB242" i="1"/>
  <c r="AC245" i="1"/>
  <c r="AD248" i="1"/>
  <c r="AE251" i="1"/>
  <c r="AG254" i="1"/>
  <c r="AB258" i="1"/>
  <c r="AC261" i="1"/>
  <c r="AD264" i="1"/>
  <c r="AE267" i="1"/>
  <c r="AG270" i="1"/>
  <c r="AB274" i="1"/>
  <c r="AC277" i="1"/>
  <c r="AD280" i="1"/>
  <c r="AE283" i="1"/>
  <c r="AG286" i="1"/>
  <c r="AB290" i="1"/>
  <c r="AC293" i="1"/>
  <c r="AD296" i="1"/>
  <c r="AE299" i="1"/>
  <c r="AG302" i="1"/>
  <c r="AB306" i="1"/>
  <c r="AC309" i="1"/>
  <c r="AD312" i="1"/>
  <c r="AC63" i="1"/>
  <c r="AG104" i="1"/>
  <c r="AG59" i="1"/>
  <c r="AB63" i="1"/>
  <c r="AC66" i="1"/>
  <c r="AD69" i="1"/>
  <c r="AE72" i="1"/>
  <c r="AG75" i="1"/>
  <c r="AB79" i="1"/>
  <c r="AC82" i="1"/>
  <c r="AD85" i="1"/>
  <c r="AE88" i="1"/>
  <c r="AG91" i="1"/>
  <c r="AB95" i="1"/>
  <c r="AC98" i="1"/>
  <c r="AD101" i="1"/>
  <c r="AE104" i="1"/>
  <c r="AG107" i="1"/>
  <c r="AB111" i="1"/>
  <c r="AC114" i="1"/>
  <c r="AD117" i="1"/>
  <c r="AE120" i="1"/>
  <c r="AG123" i="1"/>
  <c r="AB127" i="1"/>
  <c r="AC130" i="1"/>
  <c r="AD133" i="1"/>
  <c r="AE136" i="1"/>
  <c r="AG139" i="1"/>
  <c r="AB143" i="1"/>
  <c r="AC146" i="1"/>
  <c r="AD149" i="1"/>
  <c r="AE152" i="1"/>
  <c r="AG155" i="1"/>
  <c r="AB159" i="1"/>
  <c r="AC162" i="1"/>
  <c r="AD165" i="1"/>
  <c r="AE168" i="1"/>
  <c r="AG171" i="1"/>
  <c r="AB175" i="1"/>
  <c r="AC178" i="1"/>
  <c r="AD181" i="1"/>
  <c r="AE184" i="1"/>
  <c r="AG187" i="1"/>
  <c r="AB191" i="1"/>
  <c r="AC194" i="1"/>
  <c r="AD197" i="1"/>
  <c r="AE200" i="1"/>
  <c r="AG203" i="1"/>
  <c r="AB207" i="1"/>
  <c r="AC210" i="1"/>
  <c r="AD213" i="1"/>
  <c r="AE216" i="1"/>
  <c r="AG219" i="1"/>
  <c r="AB223" i="1"/>
  <c r="AC226" i="1"/>
  <c r="AD229" i="1"/>
  <c r="AE232" i="1"/>
  <c r="AG235" i="1"/>
  <c r="AB239" i="1"/>
  <c r="AC242" i="1"/>
  <c r="AD245" i="1"/>
  <c r="AE248" i="1"/>
  <c r="AG251" i="1"/>
  <c r="AB255" i="1"/>
  <c r="AC258" i="1"/>
  <c r="AD261" i="1"/>
  <c r="AE264" i="1"/>
  <c r="AG267" i="1"/>
  <c r="AB271" i="1"/>
  <c r="AC274" i="1"/>
  <c r="AD277" i="1"/>
  <c r="AE280" i="1"/>
  <c r="AG283" i="1"/>
  <c r="AB287" i="1"/>
  <c r="AC290" i="1"/>
  <c r="AD293" i="1"/>
  <c r="AE296" i="1"/>
  <c r="AG299" i="1"/>
  <c r="AB303" i="1"/>
  <c r="AC306" i="1"/>
  <c r="AD309" i="1"/>
  <c r="AE312" i="1"/>
  <c r="AD66" i="1"/>
  <c r="AB76" i="1"/>
  <c r="AE85" i="1"/>
  <c r="AC95" i="1"/>
  <c r="AB108" i="1"/>
  <c r="AC60" i="1"/>
  <c r="AD60" i="1"/>
  <c r="AE60" i="1"/>
  <c r="AG60" i="1"/>
  <c r="AB61" i="1"/>
  <c r="AC61" i="1"/>
  <c r="AE61" i="1"/>
  <c r="AG64" i="1"/>
  <c r="AB68" i="1"/>
  <c r="AC71" i="1"/>
  <c r="AD74" i="1"/>
  <c r="AE77" i="1"/>
  <c r="AG80" i="1"/>
  <c r="AB84" i="1"/>
  <c r="AC87" i="1"/>
  <c r="AD90" i="1"/>
  <c r="AE93" i="1"/>
  <c r="AG96" i="1"/>
  <c r="AB100" i="1"/>
  <c r="AC103" i="1"/>
  <c r="AD106" i="1"/>
  <c r="AE109" i="1"/>
  <c r="AG112" i="1"/>
  <c r="AB116" i="1"/>
  <c r="AC119" i="1"/>
  <c r="AD122" i="1"/>
  <c r="AE125" i="1"/>
  <c r="AG128" i="1"/>
  <c r="AB132" i="1"/>
  <c r="AC135" i="1"/>
  <c r="AD138" i="1"/>
  <c r="AE141" i="1"/>
  <c r="AG144" i="1"/>
  <c r="AB148" i="1"/>
  <c r="AC151" i="1"/>
  <c r="AD154" i="1"/>
  <c r="AE157" i="1"/>
  <c r="AG160" i="1"/>
  <c r="AB164" i="1"/>
  <c r="AC167" i="1"/>
  <c r="AD170" i="1"/>
  <c r="AE173" i="1"/>
  <c r="AG176" i="1"/>
  <c r="AB180" i="1"/>
  <c r="AC183" i="1"/>
  <c r="AD186" i="1"/>
  <c r="AE189" i="1"/>
  <c r="AG192" i="1"/>
  <c r="AB196" i="1"/>
  <c r="AC199" i="1"/>
  <c r="AD202" i="1"/>
  <c r="AE205" i="1"/>
  <c r="AG208" i="1"/>
  <c r="AB212" i="1"/>
  <c r="AC215" i="1"/>
  <c r="AD218" i="1"/>
  <c r="AE221" i="1"/>
  <c r="AG224" i="1"/>
  <c r="AB228" i="1"/>
  <c r="AC231" i="1"/>
  <c r="AD234" i="1"/>
  <c r="AE237" i="1"/>
  <c r="AG240" i="1"/>
  <c r="AB244" i="1"/>
  <c r="AC247" i="1"/>
  <c r="AD250" i="1"/>
  <c r="AE253" i="1"/>
  <c r="AG256" i="1"/>
  <c r="AB260" i="1"/>
  <c r="AC263" i="1"/>
  <c r="AD266" i="1"/>
  <c r="AE269" i="1"/>
  <c r="AG272" i="1"/>
  <c r="AB276" i="1"/>
  <c r="AC279" i="1"/>
  <c r="AD282" i="1"/>
  <c r="AE285" i="1"/>
  <c r="AG288" i="1"/>
  <c r="AB292" i="1"/>
  <c r="AC295" i="1"/>
  <c r="AD298" i="1"/>
  <c r="AE301" i="1"/>
  <c r="AG304" i="1"/>
  <c r="AB308" i="1"/>
  <c r="AC311" i="1"/>
  <c r="AE67" i="1"/>
  <c r="AG73" i="1"/>
  <c r="AC80" i="1"/>
  <c r="AE86" i="1"/>
  <c r="AB93" i="1"/>
  <c r="AD99" i="1"/>
  <c r="AG105" i="1"/>
  <c r="AC112" i="1"/>
  <c r="AC118" i="1"/>
  <c r="AC124" i="1"/>
  <c r="AB129" i="1"/>
  <c r="AG134" i="1"/>
  <c r="AG140" i="1"/>
  <c r="AG146" i="1"/>
  <c r="AG152" i="1"/>
  <c r="AD157" i="1"/>
  <c r="AD163" i="1"/>
  <c r="AD169" i="1"/>
  <c r="AD175" i="1"/>
  <c r="AC180" i="1"/>
  <c r="AB186" i="1"/>
  <c r="AB192" i="1"/>
  <c r="AB198" i="1"/>
  <c r="AB204" i="1"/>
  <c r="AE208" i="1"/>
  <c r="AE214" i="1"/>
  <c r="AE220" i="1"/>
  <c r="AE226" i="1"/>
  <c r="AD231" i="1"/>
  <c r="AC237" i="1"/>
  <c r="AC243" i="1"/>
  <c r="AC249" i="1"/>
  <c r="AC255" i="1"/>
  <c r="AG259" i="1"/>
  <c r="AG265" i="1"/>
  <c r="AG271" i="1"/>
  <c r="AG277" i="1"/>
  <c r="AE282" i="1"/>
  <c r="AD288" i="1"/>
  <c r="AD294" i="1"/>
  <c r="AD300" i="1"/>
  <c r="AD306" i="1"/>
  <c r="AB311" i="1"/>
  <c r="AG243" i="1"/>
  <c r="AE266" i="1"/>
  <c r="AB295" i="1"/>
  <c r="AD89" i="1"/>
  <c r="AB160" i="1"/>
  <c r="AC223" i="1"/>
  <c r="AD274" i="1"/>
  <c r="AC64" i="1"/>
  <c r="AB96" i="1"/>
  <c r="AE131" i="1"/>
  <c r="AC160" i="1"/>
  <c r="AG188" i="1"/>
  <c r="AD217" i="1"/>
  <c r="AB246" i="1"/>
  <c r="AE274" i="1"/>
  <c r="AC303" i="1"/>
  <c r="AG70" i="1"/>
  <c r="AC115" i="1"/>
  <c r="AG149" i="1"/>
  <c r="AD172" i="1"/>
  <c r="AG205" i="1"/>
  <c r="AE229" i="1"/>
  <c r="AG262" i="1"/>
  <c r="AD291" i="1"/>
  <c r="AD61" i="1"/>
  <c r="AG67" i="1"/>
  <c r="AB74" i="1"/>
  <c r="AD80" i="1"/>
  <c r="AG86" i="1"/>
  <c r="AC93" i="1"/>
  <c r="AE99" i="1"/>
  <c r="AB106" i="1"/>
  <c r="AD112" i="1"/>
  <c r="AD118" i="1"/>
  <c r="AD124" i="1"/>
  <c r="AD130" i="1"/>
  <c r="AB135" i="1"/>
  <c r="AB141" i="1"/>
  <c r="AB147" i="1"/>
  <c r="AB153" i="1"/>
  <c r="AG157" i="1"/>
  <c r="AE163" i="1"/>
  <c r="AE169" i="1"/>
  <c r="AE175" i="1"/>
  <c r="AE181" i="1"/>
  <c r="AC186" i="1"/>
  <c r="AC192" i="1"/>
  <c r="AC198" i="1"/>
  <c r="AC204" i="1"/>
  <c r="AB209" i="1"/>
  <c r="AG214" i="1"/>
  <c r="AG220" i="1"/>
  <c r="AG226" i="1"/>
  <c r="AG232" i="1"/>
  <c r="AD237" i="1"/>
  <c r="AD243" i="1"/>
  <c r="AD249" i="1"/>
  <c r="AD255" i="1"/>
  <c r="AC260" i="1"/>
  <c r="AB266" i="1"/>
  <c r="AB272" i="1"/>
  <c r="AB278" i="1"/>
  <c r="AB284" i="1"/>
  <c r="AE288" i="1"/>
  <c r="AE294" i="1"/>
  <c r="AE300" i="1"/>
  <c r="AE306" i="1"/>
  <c r="AD311" i="1"/>
  <c r="AC233" i="1"/>
  <c r="AG255" i="1"/>
  <c r="AD272" i="1"/>
  <c r="AD284" i="1"/>
  <c r="AB301" i="1"/>
  <c r="AE278" i="1"/>
  <c r="AE290" i="1"/>
  <c r="AC301" i="1"/>
  <c r="AB64" i="1"/>
  <c r="AB83" i="1"/>
  <c r="AC102" i="1"/>
  <c r="AD125" i="1"/>
  <c r="AD137" i="1"/>
  <c r="AB154" i="1"/>
  <c r="AB172" i="1"/>
  <c r="AE188" i="1"/>
  <c r="AD199" i="1"/>
  <c r="AG233" i="1"/>
  <c r="AG245" i="1"/>
  <c r="AD262" i="1"/>
  <c r="AB285" i="1"/>
  <c r="AG301" i="1"/>
  <c r="AE89" i="1"/>
  <c r="AB115" i="1"/>
  <c r="AE137" i="1"/>
  <c r="AC166" i="1"/>
  <c r="AG194" i="1"/>
  <c r="AD223" i="1"/>
  <c r="AB252" i="1"/>
  <c r="AC285" i="1"/>
  <c r="AG307" i="1"/>
  <c r="AB77" i="1"/>
  <c r="AB109" i="1"/>
  <c r="AG131" i="1"/>
  <c r="AE154" i="1"/>
  <c r="AD178" i="1"/>
  <c r="AE211" i="1"/>
  <c r="AC234" i="1"/>
  <c r="AG268" i="1"/>
  <c r="AD303" i="1"/>
  <c r="AG61" i="1"/>
  <c r="AC68" i="1"/>
  <c r="AC74" i="1"/>
  <c r="AE80" i="1"/>
  <c r="AB87" i="1"/>
  <c r="AD93" i="1"/>
  <c r="AG99" i="1"/>
  <c r="AC106" i="1"/>
  <c r="AE112" i="1"/>
  <c r="AE118" i="1"/>
  <c r="AE124" i="1"/>
  <c r="AE130" i="1"/>
  <c r="AD135" i="1"/>
  <c r="AC141" i="1"/>
  <c r="AC147" i="1"/>
  <c r="AC153" i="1"/>
  <c r="AC159" i="1"/>
  <c r="AG163" i="1"/>
  <c r="AG169" i="1"/>
  <c r="AG175" i="1"/>
  <c r="AG181" i="1"/>
  <c r="AE186" i="1"/>
  <c r="AD192" i="1"/>
  <c r="AD198" i="1"/>
  <c r="AD204" i="1"/>
  <c r="AD210" i="1"/>
  <c r="AB215" i="1"/>
  <c r="AB221" i="1"/>
  <c r="AB227" i="1"/>
  <c r="AB233" i="1"/>
  <c r="AG237" i="1"/>
  <c r="AE243" i="1"/>
  <c r="AE249" i="1"/>
  <c r="AE255" i="1"/>
  <c r="AE261" i="1"/>
  <c r="AC266" i="1"/>
  <c r="AC272" i="1"/>
  <c r="AC278" i="1"/>
  <c r="AC284" i="1"/>
  <c r="AB289" i="1"/>
  <c r="AG294" i="1"/>
  <c r="AG300" i="1"/>
  <c r="AG306" i="1"/>
  <c r="AG312" i="1"/>
  <c r="AD290" i="1"/>
  <c r="AE272" i="1"/>
  <c r="AD295" i="1"/>
  <c r="AE76" i="1"/>
  <c r="AG95" i="1"/>
  <c r="AG120" i="1"/>
  <c r="AD131" i="1"/>
  <c r="AC148" i="1"/>
  <c r="AE176" i="1"/>
  <c r="AE194" i="1"/>
  <c r="AC211" i="1"/>
  <c r="AG239" i="1"/>
  <c r="AD256" i="1"/>
  <c r="AB279" i="1"/>
  <c r="AB297" i="1"/>
  <c r="AC83" i="1"/>
  <c r="AB121" i="1"/>
  <c r="AE143" i="1"/>
  <c r="AB177" i="1"/>
  <c r="AG200" i="1"/>
  <c r="AB234" i="1"/>
  <c r="AE256" i="1"/>
  <c r="AC291" i="1"/>
  <c r="AD64" i="1"/>
  <c r="AE102" i="1"/>
  <c r="AC127" i="1"/>
  <c r="AD160" i="1"/>
  <c r="AB189" i="1"/>
  <c r="AE217" i="1"/>
  <c r="AC240" i="1"/>
  <c r="AG274" i="1"/>
  <c r="AC308" i="1"/>
  <c r="AD63" i="1"/>
  <c r="AG69" i="1"/>
  <c r="AE74" i="1"/>
  <c r="AB81" i="1"/>
  <c r="AD87" i="1"/>
  <c r="AG93" i="1"/>
  <c r="AC100" i="1"/>
  <c r="AE106" i="1"/>
  <c r="AB113" i="1"/>
  <c r="AG118" i="1"/>
  <c r="AG124" i="1"/>
  <c r="AG130" i="1"/>
  <c r="AG136" i="1"/>
  <c r="AD141" i="1"/>
  <c r="AD147" i="1"/>
  <c r="AD153" i="1"/>
  <c r="AD159" i="1"/>
  <c r="AC164" i="1"/>
  <c r="AB170" i="1"/>
  <c r="AB176" i="1"/>
  <c r="AB182" i="1"/>
  <c r="AB188" i="1"/>
  <c r="AE192" i="1"/>
  <c r="AE198" i="1"/>
  <c r="AE204" i="1"/>
  <c r="AE210" i="1"/>
  <c r="AD215" i="1"/>
  <c r="AC221" i="1"/>
  <c r="AC227" i="1"/>
  <c r="AC239" i="1"/>
  <c r="AG249" i="1"/>
  <c r="AG261" i="1"/>
  <c r="AD278" i="1"/>
  <c r="AB307" i="1"/>
  <c r="AD70" i="1"/>
  <c r="AE108" i="1"/>
  <c r="AD143" i="1"/>
  <c r="AE182" i="1"/>
  <c r="AC217" i="1"/>
  <c r="AE250" i="1"/>
  <c r="AB291" i="1"/>
  <c r="AG108" i="1"/>
  <c r="AC172" i="1"/>
  <c r="AC228" i="1"/>
  <c r="AD279" i="1"/>
  <c r="AD83" i="1"/>
  <c r="AG137" i="1"/>
  <c r="AB195" i="1"/>
  <c r="AC246" i="1"/>
  <c r="AD285" i="1"/>
  <c r="AE63" i="1"/>
  <c r="AB70" i="1"/>
  <c r="AC76" i="1"/>
  <c r="AE82" i="1"/>
  <c r="AB89" i="1"/>
  <c r="AD95" i="1"/>
  <c r="AG101" i="1"/>
  <c r="AC108" i="1"/>
  <c r="AD114" i="1"/>
  <c r="AB119" i="1"/>
  <c r="AB125" i="1"/>
  <c r="AB131" i="1"/>
  <c r="AB137" i="1"/>
  <c r="AG141" i="1"/>
  <c r="AE147" i="1"/>
  <c r="AE153" i="1"/>
  <c r="AE159" i="1"/>
  <c r="AE165" i="1"/>
  <c r="AC170" i="1"/>
  <c r="AC176" i="1"/>
  <c r="AC182" i="1"/>
  <c r="AC188" i="1"/>
  <c r="AB193" i="1"/>
  <c r="AG198" i="1"/>
  <c r="AG204" i="1"/>
  <c r="AG210" i="1"/>
  <c r="AG216" i="1"/>
  <c r="AD221" i="1"/>
  <c r="AD227" i="1"/>
  <c r="AD233" i="1"/>
  <c r="AD239" i="1"/>
  <c r="AC244" i="1"/>
  <c r="AB250" i="1"/>
  <c r="AB256" i="1"/>
  <c r="AB262" i="1"/>
  <c r="AB268" i="1"/>
  <c r="AE284" i="1"/>
  <c r="AC307" i="1"/>
  <c r="AG114" i="1"/>
  <c r="AB166" i="1"/>
  <c r="AG227" i="1"/>
  <c r="AD268" i="1"/>
  <c r="AE307" i="1"/>
  <c r="AG76" i="1"/>
  <c r="AC154" i="1"/>
  <c r="AD211" i="1"/>
  <c r="AE268" i="1"/>
  <c r="AC96" i="1"/>
  <c r="AB183" i="1"/>
  <c r="AC252" i="1"/>
  <c r="AD297" i="1"/>
  <c r="AG63" i="1"/>
  <c r="AC70" i="1"/>
  <c r="AD76" i="1"/>
  <c r="AG82" i="1"/>
  <c r="AC89" i="1"/>
  <c r="AE95" i="1"/>
  <c r="AB102" i="1"/>
  <c r="AD108" i="1"/>
  <c r="AE114" i="1"/>
  <c r="AD119" i="1"/>
  <c r="AC125" i="1"/>
  <c r="AC131" i="1"/>
  <c r="AC137" i="1"/>
  <c r="AC143" i="1"/>
  <c r="AG147" i="1"/>
  <c r="AG153" i="1"/>
  <c r="AG159" i="1"/>
  <c r="AG165" i="1"/>
  <c r="AE170" i="1"/>
  <c r="AD176" i="1"/>
  <c r="AD182" i="1"/>
  <c r="AD188" i="1"/>
  <c r="AD194" i="1"/>
  <c r="AB199" i="1"/>
  <c r="AB205" i="1"/>
  <c r="AB211" i="1"/>
  <c r="AB217" i="1"/>
  <c r="AG221" i="1"/>
  <c r="AE227" i="1"/>
  <c r="AE233" i="1"/>
  <c r="AE239" i="1"/>
  <c r="AE245" i="1"/>
  <c r="AC250" i="1"/>
  <c r="AC256" i="1"/>
  <c r="AC262" i="1"/>
  <c r="AC268" i="1"/>
  <c r="AB273" i="1"/>
  <c r="AG278" i="1"/>
  <c r="AG284" i="1"/>
  <c r="AG290" i="1"/>
  <c r="AG296" i="1"/>
  <c r="AD301" i="1"/>
  <c r="AD307" i="1"/>
  <c r="AC205" i="1"/>
  <c r="AE70" i="1"/>
  <c r="AD102" i="1"/>
  <c r="AG125" i="1"/>
  <c r="AE149" i="1"/>
  <c r="AG182" i="1"/>
  <c r="AD205" i="1"/>
  <c r="AB240" i="1"/>
  <c r="AE262" i="1"/>
  <c r="AC297" i="1"/>
  <c r="AG89" i="1"/>
  <c r="AC121" i="1"/>
  <c r="AG143" i="1"/>
  <c r="AD166" i="1"/>
  <c r="AB201" i="1"/>
  <c r="AE223" i="1"/>
  <c r="AB257" i="1"/>
  <c r="AG280" i="1"/>
  <c r="AC67" i="1"/>
  <c r="AD73" i="1"/>
  <c r="AG79" i="1"/>
  <c r="AC86" i="1"/>
  <c r="AE92" i="1"/>
  <c r="AB99" i="1"/>
  <c r="AD105" i="1"/>
  <c r="AG111" i="1"/>
  <c r="AG117" i="1"/>
  <c r="AE122" i="1"/>
  <c r="AD128" i="1"/>
  <c r="AD134" i="1"/>
  <c r="AD140" i="1"/>
  <c r="AD146" i="1"/>
  <c r="AB151" i="1"/>
  <c r="AB157" i="1"/>
  <c r="AB163" i="1"/>
  <c r="AB169" i="1"/>
  <c r="AG173" i="1"/>
  <c r="AE179" i="1"/>
  <c r="AE185" i="1"/>
  <c r="AE191" i="1"/>
  <c r="AE197" i="1"/>
  <c r="AC202" i="1"/>
  <c r="AC208" i="1"/>
  <c r="AC214" i="1"/>
  <c r="AC220" i="1"/>
  <c r="AB225" i="1"/>
  <c r="AG230" i="1"/>
  <c r="AG236" i="1"/>
  <c r="AG242" i="1"/>
  <c r="AG248" i="1"/>
  <c r="AD253" i="1"/>
  <c r="AD259" i="1"/>
  <c r="AD265" i="1"/>
  <c r="AD271" i="1"/>
  <c r="AC276" i="1"/>
  <c r="AB282" i="1"/>
  <c r="AB288" i="1"/>
  <c r="AB294" i="1"/>
  <c r="AB300" i="1"/>
  <c r="AE304" i="1"/>
  <c r="AE310" i="1"/>
  <c r="AD67" i="1"/>
  <c r="AE73" i="1"/>
  <c r="AB80" i="1"/>
  <c r="AD86" i="1"/>
  <c r="AG92" i="1"/>
  <c r="AC99" i="1"/>
  <c r="AE105" i="1"/>
  <c r="AB112" i="1"/>
  <c r="AB118" i="1"/>
  <c r="AB124" i="1"/>
  <c r="AE128" i="1"/>
  <c r="AE134" i="1"/>
  <c r="AE140" i="1"/>
  <c r="AE146" i="1"/>
  <c r="AD151" i="1"/>
  <c r="AC157" i="1"/>
  <c r="AC163" i="1"/>
  <c r="AC169" i="1"/>
  <c r="AC175" i="1"/>
  <c r="AG179" i="1"/>
  <c r="AG185" i="1"/>
  <c r="AG191" i="1"/>
  <c r="AG197" i="1"/>
  <c r="AE202" i="1"/>
  <c r="AD208" i="1"/>
  <c r="AD214" i="1"/>
  <c r="AD220" i="1"/>
  <c r="AD226" i="1"/>
  <c r="AB231" i="1"/>
  <c r="AB237" i="1"/>
  <c r="AB243" i="1"/>
  <c r="AB249" i="1"/>
  <c r="AG253" i="1"/>
  <c r="AE259" i="1"/>
  <c r="AE265" i="1"/>
  <c r="AE271" i="1"/>
  <c r="AE277" i="1"/>
  <c r="AC282" i="1"/>
  <c r="AC288" i="1"/>
  <c r="AC294" i="1"/>
  <c r="AC300" i="1"/>
  <c r="AB305" i="1"/>
  <c r="AE83" i="1"/>
  <c r="AB103" i="1"/>
  <c r="AG121" i="1"/>
  <c r="AB140" i="1"/>
  <c r="AG156" i="1"/>
  <c r="AE178" i="1"/>
  <c r="AD195" i="1"/>
  <c r="AE213" i="1"/>
  <c r="AD230" i="1"/>
  <c r="AD247" i="1"/>
  <c r="AB269" i="1"/>
  <c r="AC287" i="1"/>
  <c r="AB304" i="1"/>
  <c r="AC179" i="1"/>
  <c r="AB236" i="1"/>
  <c r="AG287" i="1"/>
  <c r="AC109" i="1"/>
  <c r="AB218" i="1"/>
  <c r="AE291" i="1"/>
  <c r="AG109" i="1"/>
  <c r="AE201" i="1"/>
  <c r="AC275" i="1"/>
  <c r="AD71" i="1"/>
  <c r="AG166" i="1"/>
  <c r="AD240" i="1"/>
  <c r="AG72" i="1"/>
  <c r="AB167" i="1"/>
  <c r="AE240" i="1"/>
  <c r="AE133" i="1"/>
  <c r="AB241" i="1"/>
  <c r="AG133" i="1"/>
  <c r="AC224" i="1"/>
  <c r="AD189" i="1"/>
  <c r="AC116" i="1"/>
  <c r="AE224" i="1"/>
  <c r="AE64" i="1"/>
  <c r="AG83" i="1"/>
  <c r="AD103" i="1"/>
  <c r="AB122" i="1"/>
  <c r="AC140" i="1"/>
  <c r="AE160" i="1"/>
  <c r="AG178" i="1"/>
  <c r="AE195" i="1"/>
  <c r="AG213" i="1"/>
  <c r="AE230" i="1"/>
  <c r="AD252" i="1"/>
  <c r="AC269" i="1"/>
  <c r="AD287" i="1"/>
  <c r="AC304" i="1"/>
  <c r="AG66" i="1"/>
  <c r="AE162" i="1"/>
  <c r="AD179" i="1"/>
  <c r="AB253" i="1"/>
  <c r="AG309" i="1"/>
  <c r="AC90" i="1"/>
  <c r="AE166" i="1"/>
  <c r="AD258" i="1"/>
  <c r="AE90" i="1"/>
  <c r="AB185" i="1"/>
  <c r="AD275" i="1"/>
  <c r="AC150" i="1"/>
  <c r="AG223" i="1"/>
  <c r="AD115" i="1"/>
  <c r="AC207" i="1"/>
  <c r="AG275" i="1"/>
  <c r="AC73" i="1"/>
  <c r="AC189" i="1"/>
  <c r="AG297" i="1"/>
  <c r="AE172" i="1"/>
  <c r="AC281" i="1"/>
  <c r="AB156" i="1"/>
  <c r="AC298" i="1"/>
  <c r="AG77" i="1"/>
  <c r="AB173" i="1"/>
  <c r="AG229" i="1"/>
  <c r="AB65" i="1"/>
  <c r="AC84" i="1"/>
  <c r="AB105" i="1"/>
  <c r="AC122" i="1"/>
  <c r="AB144" i="1"/>
  <c r="AB161" i="1"/>
  <c r="AB179" i="1"/>
  <c r="AG195" i="1"/>
  <c r="AB214" i="1"/>
  <c r="AE234" i="1"/>
  <c r="AE252" i="1"/>
  <c r="AD269" i="1"/>
  <c r="AE287" i="1"/>
  <c r="AD304" i="1"/>
  <c r="AG217" i="1"/>
  <c r="AG269" i="1"/>
  <c r="AE309" i="1"/>
  <c r="AD144" i="1"/>
  <c r="AC236" i="1"/>
  <c r="AB71" i="1"/>
  <c r="AB145" i="1"/>
  <c r="AE236" i="1"/>
  <c r="AC310" i="1"/>
  <c r="AC128" i="1"/>
  <c r="AB220" i="1"/>
  <c r="AE111" i="1"/>
  <c r="AB202" i="1"/>
  <c r="AG310" i="1"/>
  <c r="AD150" i="1"/>
  <c r="AB259" i="1"/>
  <c r="AE150" i="1"/>
  <c r="AB281" i="1"/>
  <c r="AG115" i="1"/>
  <c r="AD224" i="1"/>
  <c r="AD77" i="1"/>
  <c r="AD263" i="1"/>
  <c r="AE98" i="1"/>
  <c r="AC191" i="1"/>
  <c r="AG264" i="1"/>
  <c r="AE66" i="1"/>
  <c r="AG85" i="1"/>
  <c r="AC105" i="1"/>
  <c r="AD127" i="1"/>
  <c r="AC144" i="1"/>
  <c r="AD162" i="1"/>
  <c r="AC196" i="1"/>
  <c r="AG252" i="1"/>
  <c r="AE127" i="1"/>
  <c r="AC201" i="1"/>
  <c r="AC271" i="1"/>
  <c r="AG184" i="1"/>
  <c r="AB150" i="1"/>
  <c r="AE258" i="1"/>
  <c r="AC132" i="1"/>
  <c r="AG293" i="1"/>
  <c r="AB73" i="1"/>
  <c r="AD185" i="1"/>
  <c r="AE297" i="1"/>
  <c r="AE115" i="1"/>
  <c r="AD242" i="1"/>
  <c r="AG150" i="1"/>
  <c r="AC134" i="1"/>
  <c r="AB86" i="1"/>
  <c r="AD310" i="1"/>
  <c r="AE275" i="1"/>
  <c r="AD167" i="1"/>
  <c r="AC259" i="1"/>
  <c r="AC77" i="1"/>
  <c r="AE207" i="1"/>
  <c r="AB298" i="1"/>
  <c r="AB97" i="1"/>
  <c r="AG207" i="1"/>
  <c r="AE117" i="1"/>
  <c r="AB208" i="1"/>
  <c r="AE298" i="1"/>
  <c r="AB67" i="1"/>
  <c r="AB90" i="1"/>
  <c r="AD109" i="1"/>
  <c r="AG127" i="1"/>
  <c r="AE144" i="1"/>
  <c r="AG162" i="1"/>
  <c r="AD183" i="1"/>
  <c r="AD201" i="1"/>
  <c r="AC218" i="1"/>
  <c r="AD236" i="1"/>
  <c r="AC253" i="1"/>
  <c r="AB275" i="1"/>
  <c r="AG291" i="1"/>
  <c r="AB310" i="1"/>
  <c r="AB128" i="1"/>
  <c r="AE218" i="1"/>
  <c r="AC292" i="1"/>
  <c r="AD111" i="1"/>
  <c r="AG201" i="1"/>
  <c r="AE293" i="1"/>
  <c r="AC92" i="1"/>
  <c r="AC185" i="1"/>
  <c r="AG258" i="1"/>
  <c r="AD92" i="1"/>
  <c r="AB224" i="1"/>
  <c r="AD96" i="1"/>
  <c r="AD207" i="1"/>
  <c r="AE96" i="1"/>
  <c r="AE242" i="1"/>
  <c r="AG172" i="1"/>
  <c r="AD246" i="1"/>
  <c r="AB138" i="1"/>
  <c r="AE281" i="1"/>
  <c r="AD79" i="1"/>
  <c r="AG98" i="1"/>
  <c r="AD121" i="1"/>
  <c r="AC138" i="1"/>
  <c r="AD156" i="1"/>
  <c r="AC173" i="1"/>
  <c r="AD191" i="1"/>
  <c r="AG211" i="1"/>
  <c r="AB230" i="1"/>
  <c r="AG246" i="1"/>
  <c r="AB265" i="1"/>
  <c r="AG281" i="1"/>
  <c r="AE303" i="1"/>
  <c r="AE79" i="1"/>
  <c r="AG102" i="1"/>
  <c r="AE121" i="1"/>
  <c r="AE138" i="1"/>
  <c r="AE156" i="1"/>
  <c r="AD173" i="1"/>
  <c r="AC195" i="1"/>
  <c r="AC212" i="1"/>
  <c r="AC230" i="1"/>
  <c r="AB247" i="1"/>
  <c r="AC265" i="1"/>
  <c r="AG285" i="1"/>
  <c r="AG303" i="1"/>
  <c r="AG168" i="1"/>
  <c r="AB134" i="1"/>
  <c r="AB263" i="1"/>
  <c r="AG189" i="1"/>
  <c r="AD281" i="1"/>
  <c r="AC156" i="1"/>
  <c r="AE246" i="1"/>
  <c r="AE38" i="1"/>
  <c r="AB38" i="1"/>
  <c r="AB36" i="1"/>
  <c r="AB55" i="1"/>
  <c r="AG54" i="1"/>
  <c r="AC39" i="1"/>
  <c r="AE47" i="1"/>
  <c r="AG314" i="1"/>
  <c r="AG51" i="1"/>
  <c r="AB48" i="1"/>
  <c r="AG47" i="1"/>
  <c r="AB39" i="1"/>
  <c r="AC54" i="1"/>
  <c r="AD38" i="1"/>
  <c r="AD41" i="1"/>
  <c r="AC41" i="1"/>
  <c r="AE54" i="1"/>
  <c r="AD32" i="1"/>
  <c r="AE45" i="1"/>
  <c r="AD45" i="1"/>
  <c r="AE314" i="1"/>
  <c r="AB45" i="1"/>
  <c r="AE51" i="1"/>
  <c r="AC58" i="1"/>
  <c r="AB58" i="1"/>
  <c r="AG35" i="1"/>
  <c r="AB51" i="1"/>
  <c r="AC42" i="1"/>
  <c r="AD57" i="1"/>
  <c r="AG48" i="1"/>
  <c r="AB42" i="1"/>
  <c r="AC35" i="1"/>
  <c r="AC48" i="1"/>
  <c r="AG32" i="1"/>
  <c r="AG38" i="1"/>
  <c r="AC45" i="1"/>
  <c r="AD314" i="1"/>
  <c r="AD58" i="1"/>
  <c r="AE44" i="1"/>
  <c r="AC51" i="1"/>
  <c r="AD42" i="1"/>
  <c r="AD35" i="1"/>
  <c r="AC57" i="1"/>
  <c r="AE48" i="1"/>
  <c r="AG41" i="1"/>
  <c r="AB35" i="1"/>
  <c r="AE32" i="1"/>
  <c r="AD54" i="1"/>
  <c r="AC32" i="1"/>
  <c r="AB54" i="1"/>
  <c r="AB52" i="1"/>
  <c r="AC38" i="1"/>
  <c r="AG44" i="1"/>
  <c r="AD51" i="1"/>
  <c r="AD44" i="1"/>
  <c r="AG57" i="1"/>
  <c r="AE35" i="1"/>
  <c r="AE57" i="1"/>
  <c r="AG50" i="1"/>
  <c r="AC55" i="1"/>
  <c r="AD48" i="1"/>
  <c r="AE41" i="1"/>
  <c r="AG34" i="1"/>
  <c r="AC314" i="1"/>
  <c r="AE50" i="1"/>
  <c r="AB41" i="1"/>
  <c r="AG56" i="1"/>
  <c r="AC47" i="1"/>
  <c r="AG40" i="1"/>
  <c r="AD53" i="1"/>
  <c r="AG43" i="1"/>
  <c r="AE40" i="1"/>
  <c r="AE313" i="1"/>
  <c r="AB50" i="1"/>
  <c r="AE43" i="1"/>
  <c r="AB34" i="1"/>
  <c r="AD313" i="1"/>
  <c r="AC56" i="1"/>
  <c r="AB53" i="1"/>
  <c r="AG49" i="1"/>
  <c r="AE46" i="1"/>
  <c r="AD43" i="1"/>
  <c r="AC40" i="1"/>
  <c r="AB37" i="1"/>
  <c r="AG33" i="1"/>
  <c r="AB57" i="1"/>
  <c r="AD47" i="1"/>
  <c r="AE34" i="1"/>
  <c r="AE53" i="1"/>
  <c r="AB44" i="1"/>
  <c r="AE37" i="1"/>
  <c r="AG313" i="1"/>
  <c r="AC50" i="1"/>
  <c r="AD37" i="1"/>
  <c r="AD56" i="1"/>
  <c r="AG46" i="1"/>
  <c r="AC37" i="1"/>
  <c r="AC313" i="1"/>
  <c r="AB56" i="1"/>
  <c r="AG52" i="1"/>
  <c r="AE49" i="1"/>
  <c r="AD46" i="1"/>
  <c r="AC43" i="1"/>
  <c r="AB40" i="1"/>
  <c r="AG36" i="1"/>
  <c r="AE33" i="1"/>
  <c r="AG53" i="1"/>
  <c r="AC44" i="1"/>
  <c r="AG37" i="1"/>
  <c r="AB314" i="1"/>
  <c r="AD50" i="1"/>
  <c r="AD34" i="1"/>
  <c r="AE56" i="1"/>
  <c r="AB47" i="1"/>
  <c r="AC34" i="1"/>
  <c r="AC53" i="1"/>
  <c r="AD40" i="1"/>
  <c r="AB313" i="1"/>
  <c r="AG55" i="1"/>
  <c r="AE52" i="1"/>
  <c r="AD49" i="1"/>
  <c r="AC46" i="1"/>
  <c r="AB43" i="1"/>
  <c r="AG39" i="1"/>
  <c r="AE36" i="1"/>
  <c r="AD33" i="1"/>
  <c r="AG58" i="1"/>
  <c r="AE55" i="1"/>
  <c r="AD52" i="1"/>
  <c r="AC49" i="1"/>
  <c r="AB46" i="1"/>
  <c r="AG42" i="1"/>
  <c r="AE39" i="1"/>
  <c r="AD36" i="1"/>
  <c r="AC33" i="1"/>
  <c r="AB32" i="1"/>
  <c r="AE58" i="1"/>
  <c r="AD55" i="1"/>
  <c r="AC52" i="1"/>
  <c r="AB49" i="1"/>
  <c r="AG45" i="1"/>
  <c r="AE42" i="1"/>
  <c r="AD39" i="1"/>
  <c r="AC36" i="1"/>
  <c r="D2" i="3"/>
  <c r="C6" i="3"/>
  <c r="D6" i="3"/>
  <c r="E6" i="3"/>
  <c r="F6" i="3"/>
  <c r="A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D7" i="3"/>
  <c r="E7" i="3" s="1"/>
  <c r="F7" i="3" s="1"/>
  <c r="A8" i="3"/>
  <c r="D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C18" i="3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AW34" i="1"/>
  <c r="AX34" i="1"/>
  <c r="AY34" i="1"/>
  <c r="AZ34" i="1"/>
  <c r="BA34" i="1"/>
  <c r="BB34" i="1"/>
  <c r="BC34" i="1"/>
  <c r="BD34" i="1"/>
  <c r="BE34" i="1"/>
  <c r="BF34" i="1"/>
  <c r="BG34" i="1"/>
  <c r="BH34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AA23" i="1"/>
  <c r="AA26" i="1"/>
  <c r="AA29" i="1"/>
  <c r="AM15" i="1"/>
  <c r="AM16" i="1"/>
  <c r="AM17" i="1"/>
  <c r="AM18" i="1"/>
  <c r="AM19" i="1"/>
  <c r="AM20" i="1"/>
  <c r="AM21" i="1"/>
  <c r="AM22" i="1"/>
  <c r="AM23" i="1"/>
  <c r="AM24" i="1"/>
  <c r="AM30" i="1"/>
  <c r="AM31" i="1"/>
  <c r="AM14" i="1"/>
  <c r="Q34" i="1" l="1"/>
  <c r="CF33" i="1"/>
  <c r="Y110" i="5"/>
  <c r="Y95" i="5"/>
  <c r="Y80" i="5"/>
  <c r="Y65" i="5"/>
  <c r="Y129" i="5"/>
  <c r="Y61" i="5"/>
  <c r="Y63" i="5"/>
  <c r="Y31" i="5"/>
  <c r="Y24" i="5"/>
  <c r="W13" i="5"/>
  <c r="W12" i="5" s="1"/>
  <c r="Y52" i="5"/>
  <c r="Y34" i="5"/>
  <c r="Y57" i="5"/>
  <c r="Y83" i="5"/>
  <c r="Y114" i="5"/>
  <c r="Y99" i="5"/>
  <c r="Y84" i="5"/>
  <c r="Y69" i="5"/>
  <c r="Y133" i="5"/>
  <c r="Y53" i="5"/>
  <c r="Y49" i="5"/>
  <c r="Y18" i="5"/>
  <c r="Y37" i="5"/>
  <c r="Y41" i="5"/>
  <c r="Y55" i="5"/>
  <c r="Y16" i="5"/>
  <c r="Y47" i="5"/>
  <c r="Y117" i="5"/>
  <c r="Y58" i="5"/>
  <c r="Y118" i="5"/>
  <c r="Y103" i="5"/>
  <c r="Y88" i="5"/>
  <c r="Y73" i="5"/>
  <c r="Y137" i="5"/>
  <c r="Y43" i="5"/>
  <c r="Y50" i="5"/>
  <c r="Y19" i="5"/>
  <c r="Y25" i="5"/>
  <c r="Y20" i="5"/>
  <c r="Y46" i="5"/>
  <c r="Y26" i="5"/>
  <c r="Y98" i="5"/>
  <c r="Y122" i="5"/>
  <c r="Y107" i="5"/>
  <c r="Y92" i="5"/>
  <c r="Y77" i="5"/>
  <c r="Y141" i="5"/>
  <c r="Y54" i="5"/>
  <c r="Y40" i="5"/>
  <c r="Y29" i="5"/>
  <c r="Y39" i="5"/>
  <c r="Y44" i="5"/>
  <c r="Y30" i="5"/>
  <c r="Y68" i="5"/>
  <c r="Y126" i="5"/>
  <c r="Y111" i="5"/>
  <c r="Y96" i="5"/>
  <c r="Y81" i="5"/>
  <c r="Y59" i="5"/>
  <c r="Y51" i="5"/>
  <c r="Y32" i="5"/>
  <c r="Y27" i="5"/>
  <c r="Y33" i="5"/>
  <c r="Y60" i="5"/>
  <c r="Y45" i="5"/>
  <c r="Y56" i="5"/>
  <c r="Y38" i="5"/>
  <c r="Y22" i="5"/>
  <c r="Y66" i="5"/>
  <c r="Y130" i="5"/>
  <c r="Y115" i="5"/>
  <c r="Y100" i="5"/>
  <c r="Y85" i="5"/>
  <c r="Y70" i="5"/>
  <c r="Y134" i="5"/>
  <c r="Y119" i="5"/>
  <c r="Y104" i="5"/>
  <c r="Y89" i="5"/>
  <c r="Y74" i="5"/>
  <c r="Y138" i="5"/>
  <c r="Y123" i="5"/>
  <c r="Y108" i="5"/>
  <c r="Y93" i="5"/>
  <c r="Y78" i="5"/>
  <c r="Y142" i="5"/>
  <c r="Y127" i="5"/>
  <c r="Y112" i="5"/>
  <c r="Y97" i="5"/>
  <c r="Y82" i="5"/>
  <c r="Y67" i="5"/>
  <c r="Y131" i="5"/>
  <c r="Y116" i="5"/>
  <c r="Y101" i="5"/>
  <c r="Y21" i="5"/>
  <c r="Y86" i="5"/>
  <c r="Y71" i="5"/>
  <c r="Y135" i="5"/>
  <c r="Y120" i="5"/>
  <c r="Y105" i="5"/>
  <c r="Y90" i="5"/>
  <c r="Y75" i="5"/>
  <c r="Y139" i="5"/>
  <c r="Y124" i="5"/>
  <c r="Y109" i="5"/>
  <c r="Y94" i="5"/>
  <c r="Y79" i="5"/>
  <c r="Y64" i="5"/>
  <c r="Y128" i="5"/>
  <c r="Y113" i="5"/>
  <c r="Y102" i="5"/>
  <c r="Y87" i="5"/>
  <c r="Y72" i="5"/>
  <c r="Y136" i="5"/>
  <c r="Y121" i="5"/>
  <c r="Y62" i="5"/>
  <c r="Y17" i="5"/>
  <c r="Y23" i="5"/>
  <c r="Y106" i="5"/>
  <c r="Y91" i="5"/>
  <c r="Y76" i="5"/>
  <c r="Y140" i="5"/>
  <c r="Y125" i="5"/>
  <c r="Y42" i="5"/>
  <c r="Y48" i="5"/>
  <c r="Y28" i="5"/>
  <c r="Y36" i="5"/>
  <c r="Y35" i="5"/>
  <c r="Y132" i="5"/>
  <c r="AA16" i="5"/>
  <c r="AE16" i="5" s="1"/>
  <c r="AJ109" i="5"/>
  <c r="AJ94" i="5"/>
  <c r="AJ79" i="5"/>
  <c r="AJ64" i="5"/>
  <c r="AJ128" i="5"/>
  <c r="AJ45" i="5"/>
  <c r="AJ43" i="5"/>
  <c r="AJ56" i="5"/>
  <c r="AJ35" i="5"/>
  <c r="AJ39" i="5"/>
  <c r="AJ19" i="5"/>
  <c r="AJ113" i="5"/>
  <c r="AJ98" i="5"/>
  <c r="AJ83" i="5"/>
  <c r="AJ68" i="5"/>
  <c r="AJ132" i="5"/>
  <c r="AJ63" i="5"/>
  <c r="AJ18" i="5"/>
  <c r="AJ42" i="5"/>
  <c r="AJ26" i="5"/>
  <c r="AJ21" i="5"/>
  <c r="AJ23" i="5"/>
  <c r="AJ62" i="5"/>
  <c r="AJ32" i="5"/>
  <c r="AJ117" i="5"/>
  <c r="AJ102" i="5"/>
  <c r="AJ87" i="5"/>
  <c r="AJ72" i="5"/>
  <c r="AJ136" i="5"/>
  <c r="AJ50" i="5"/>
  <c r="AJ20" i="5"/>
  <c r="AJ24" i="5"/>
  <c r="AJ44" i="5"/>
  <c r="AJ53" i="5"/>
  <c r="AJ55" i="5"/>
  <c r="AJ30" i="5"/>
  <c r="AJ48" i="5"/>
  <c r="AJ27" i="5"/>
  <c r="AJ121" i="5"/>
  <c r="AJ106" i="5"/>
  <c r="AJ91" i="5"/>
  <c r="AJ76" i="5"/>
  <c r="AJ140" i="5"/>
  <c r="AJ47" i="5"/>
  <c r="AJ49" i="5"/>
  <c r="AJ28" i="5"/>
  <c r="AJ29" i="5"/>
  <c r="AJ97" i="5"/>
  <c r="AJ67" i="5"/>
  <c r="AJ116" i="5"/>
  <c r="AJ51" i="5"/>
  <c r="AJ33" i="5"/>
  <c r="AH13" i="5"/>
  <c r="AH12" i="5" s="1"/>
  <c r="AJ125" i="5"/>
  <c r="AJ110" i="5"/>
  <c r="AJ95" i="5"/>
  <c r="AJ80" i="5"/>
  <c r="AJ40" i="5"/>
  <c r="AJ54" i="5"/>
  <c r="AJ22" i="5"/>
  <c r="AJ60" i="5"/>
  <c r="AJ37" i="5"/>
  <c r="AJ65" i="5"/>
  <c r="AJ129" i="5"/>
  <c r="AJ114" i="5"/>
  <c r="AJ99" i="5"/>
  <c r="AJ84" i="5"/>
  <c r="AJ69" i="5"/>
  <c r="AJ133" i="5"/>
  <c r="AJ118" i="5"/>
  <c r="AJ103" i="5"/>
  <c r="AJ88" i="5"/>
  <c r="AJ58" i="5"/>
  <c r="AJ73" i="5"/>
  <c r="AJ137" i="5"/>
  <c r="AJ122" i="5"/>
  <c r="AJ107" i="5"/>
  <c r="AJ92" i="5"/>
  <c r="AJ77" i="5"/>
  <c r="AJ141" i="5"/>
  <c r="AJ126" i="5"/>
  <c r="AJ111" i="5"/>
  <c r="AJ96" i="5"/>
  <c r="AJ81" i="5"/>
  <c r="AJ66" i="5"/>
  <c r="AJ130" i="5"/>
  <c r="AJ115" i="5"/>
  <c r="AJ100" i="5"/>
  <c r="AJ85" i="5"/>
  <c r="AJ70" i="5"/>
  <c r="AJ134" i="5"/>
  <c r="AJ119" i="5"/>
  <c r="AJ104" i="5"/>
  <c r="AJ89" i="5"/>
  <c r="AJ74" i="5"/>
  <c r="AJ138" i="5"/>
  <c r="AJ123" i="5"/>
  <c r="AJ108" i="5"/>
  <c r="AJ59" i="5"/>
  <c r="AJ93" i="5"/>
  <c r="AJ78" i="5"/>
  <c r="AJ142" i="5"/>
  <c r="AJ127" i="5"/>
  <c r="AJ112" i="5"/>
  <c r="AJ52" i="5"/>
  <c r="AJ34" i="5"/>
  <c r="AJ38" i="5"/>
  <c r="AJ101" i="5"/>
  <c r="AJ86" i="5"/>
  <c r="AJ71" i="5"/>
  <c r="AJ135" i="5"/>
  <c r="AJ120" i="5"/>
  <c r="AJ61" i="5"/>
  <c r="AJ31" i="5"/>
  <c r="AJ17" i="5"/>
  <c r="AJ105" i="5"/>
  <c r="AJ90" i="5"/>
  <c r="AJ75" i="5"/>
  <c r="AJ139" i="5"/>
  <c r="AJ124" i="5"/>
  <c r="AJ46" i="5"/>
  <c r="AJ25" i="5"/>
  <c r="AJ16" i="5"/>
  <c r="AJ57" i="5"/>
  <c r="AJ41" i="5"/>
  <c r="AJ82" i="5"/>
  <c r="AJ131" i="5"/>
  <c r="AJ36" i="5"/>
  <c r="AL16" i="5"/>
  <c r="AP16" i="5" s="1"/>
  <c r="AM45" i="1"/>
  <c r="AU85" i="5"/>
  <c r="AU114" i="5"/>
  <c r="AU100" i="5"/>
  <c r="AU83" i="5"/>
  <c r="AU84" i="5"/>
  <c r="AU26" i="5"/>
  <c r="AS13" i="5"/>
  <c r="AS12" i="5" s="1"/>
  <c r="AU17" i="5"/>
  <c r="AU19" i="5"/>
  <c r="AU107" i="5"/>
  <c r="AU25" i="5"/>
  <c r="AU60" i="5"/>
  <c r="AU89" i="5"/>
  <c r="AU130" i="5"/>
  <c r="AU116" i="5"/>
  <c r="AU87" i="5"/>
  <c r="AU104" i="5"/>
  <c r="AU53" i="5"/>
  <c r="AU54" i="5"/>
  <c r="AU36" i="5"/>
  <c r="AU59" i="5"/>
  <c r="AU40" i="5"/>
  <c r="AU135" i="5"/>
  <c r="AU93" i="5"/>
  <c r="AU68" i="5"/>
  <c r="AU132" i="5"/>
  <c r="AU91" i="5"/>
  <c r="AU124" i="5"/>
  <c r="AU57" i="5"/>
  <c r="AU56" i="5"/>
  <c r="AU20" i="5"/>
  <c r="AU102" i="5"/>
  <c r="AU34" i="5"/>
  <c r="AU29" i="5"/>
  <c r="AU97" i="5"/>
  <c r="AU92" i="5"/>
  <c r="AU70" i="5"/>
  <c r="AU95" i="5"/>
  <c r="AU136" i="5"/>
  <c r="AU32" i="5"/>
  <c r="AU28" i="5"/>
  <c r="AU52" i="5"/>
  <c r="AU103" i="5"/>
  <c r="AU137" i="5"/>
  <c r="AU71" i="5"/>
  <c r="AU47" i="5"/>
  <c r="AU101" i="5"/>
  <c r="AU112" i="5"/>
  <c r="AU94" i="5"/>
  <c r="AU99" i="5"/>
  <c r="AU51" i="5"/>
  <c r="AU61" i="5"/>
  <c r="AU30" i="5"/>
  <c r="AU128" i="5"/>
  <c r="AU27" i="5"/>
  <c r="AU41" i="5"/>
  <c r="AU82" i="5"/>
  <c r="AU105" i="5"/>
  <c r="AU38" i="5"/>
  <c r="AU98" i="5"/>
  <c r="AU109" i="5"/>
  <c r="AU78" i="5"/>
  <c r="AU106" i="5"/>
  <c r="AU110" i="5"/>
  <c r="AU113" i="5"/>
  <c r="AU134" i="5"/>
  <c r="AU122" i="5"/>
  <c r="AU111" i="5"/>
  <c r="AU63" i="5"/>
  <c r="AU118" i="5"/>
  <c r="AU117" i="5"/>
  <c r="AU64" i="5"/>
  <c r="AU88" i="5"/>
  <c r="AU115" i="5"/>
  <c r="AU39" i="5"/>
  <c r="AU35" i="5"/>
  <c r="AU31" i="5"/>
  <c r="AU142" i="5"/>
  <c r="AU121" i="5"/>
  <c r="AU80" i="5"/>
  <c r="AU66" i="5"/>
  <c r="AU119" i="5"/>
  <c r="AU49" i="5"/>
  <c r="AU42" i="5"/>
  <c r="AU18" i="5"/>
  <c r="AU96" i="5"/>
  <c r="AU125" i="5"/>
  <c r="AU108" i="5"/>
  <c r="AU74" i="5"/>
  <c r="AU123" i="5"/>
  <c r="AU58" i="5"/>
  <c r="AU23" i="5"/>
  <c r="AU50" i="5"/>
  <c r="AU65" i="5"/>
  <c r="AU129" i="5"/>
  <c r="AU120" i="5"/>
  <c r="AU126" i="5"/>
  <c r="AU127" i="5"/>
  <c r="AU62" i="5"/>
  <c r="AU44" i="5"/>
  <c r="AU45" i="5"/>
  <c r="AU69" i="5"/>
  <c r="AU133" i="5"/>
  <c r="AU140" i="5"/>
  <c r="AU67" i="5"/>
  <c r="AU131" i="5"/>
  <c r="AU46" i="5"/>
  <c r="AU33" i="5"/>
  <c r="AU24" i="5"/>
  <c r="AU77" i="5"/>
  <c r="AU141" i="5"/>
  <c r="AU138" i="5"/>
  <c r="AU75" i="5"/>
  <c r="AU139" i="5"/>
  <c r="AU37" i="5"/>
  <c r="AU48" i="5"/>
  <c r="AU55" i="5"/>
  <c r="AU81" i="5"/>
  <c r="AU90" i="5"/>
  <c r="AU76" i="5"/>
  <c r="AU79" i="5"/>
  <c r="AU72" i="5"/>
  <c r="AU22" i="5"/>
  <c r="AU43" i="5"/>
  <c r="AU21" i="5"/>
  <c r="AU73" i="5"/>
  <c r="AU86" i="5"/>
  <c r="AU16" i="5"/>
  <c r="BF101" i="5"/>
  <c r="BF74" i="5"/>
  <c r="BF79" i="5"/>
  <c r="BF64" i="5"/>
  <c r="BF128" i="5"/>
  <c r="BF37" i="5"/>
  <c r="BF46" i="5"/>
  <c r="BF61" i="5"/>
  <c r="BF30" i="5"/>
  <c r="BF55" i="5"/>
  <c r="BF53" i="5"/>
  <c r="BF105" i="5"/>
  <c r="BF78" i="5"/>
  <c r="BF83" i="5"/>
  <c r="BF68" i="5"/>
  <c r="BF132" i="5"/>
  <c r="BF39" i="5"/>
  <c r="BF31" i="5"/>
  <c r="BF16" i="5"/>
  <c r="BF32" i="5"/>
  <c r="BF28" i="5"/>
  <c r="BF47" i="5"/>
  <c r="BF109" i="5"/>
  <c r="BF82" i="5"/>
  <c r="BF87" i="5"/>
  <c r="BF72" i="5"/>
  <c r="BF136" i="5"/>
  <c r="BF60" i="5"/>
  <c r="BF63" i="5"/>
  <c r="BF48" i="5"/>
  <c r="BF18" i="5"/>
  <c r="BF24" i="5"/>
  <c r="BF23" i="5"/>
  <c r="BF113" i="5"/>
  <c r="BF86" i="5"/>
  <c r="BF91" i="5"/>
  <c r="BF76" i="5"/>
  <c r="BF140" i="5"/>
  <c r="BF62" i="5"/>
  <c r="BF43" i="5"/>
  <c r="BF33" i="5"/>
  <c r="BF34" i="5"/>
  <c r="BF20" i="5"/>
  <c r="BF51" i="5"/>
  <c r="BF38" i="5"/>
  <c r="BF40" i="5"/>
  <c r="BF67" i="5"/>
  <c r="BF58" i="5"/>
  <c r="BD13" i="5"/>
  <c r="BD12" i="5" s="1"/>
  <c r="BF117" i="5"/>
  <c r="BF90" i="5"/>
  <c r="BF95" i="5"/>
  <c r="BF80" i="5"/>
  <c r="BF41" i="5"/>
  <c r="BF49" i="5"/>
  <c r="BF45" i="5"/>
  <c r="BF22" i="5"/>
  <c r="BF89" i="5"/>
  <c r="BF118" i="5"/>
  <c r="BF121" i="5"/>
  <c r="BF94" i="5"/>
  <c r="BF99" i="5"/>
  <c r="BF84" i="5"/>
  <c r="BF142" i="5"/>
  <c r="BF125" i="5"/>
  <c r="BF98" i="5"/>
  <c r="BF103" i="5"/>
  <c r="BF88" i="5"/>
  <c r="BF65" i="5"/>
  <c r="BF129" i="5"/>
  <c r="BF102" i="5"/>
  <c r="BF107" i="5"/>
  <c r="BF92" i="5"/>
  <c r="BF69" i="5"/>
  <c r="BF133" i="5"/>
  <c r="BF106" i="5"/>
  <c r="BF111" i="5"/>
  <c r="BF96" i="5"/>
  <c r="BF73" i="5"/>
  <c r="BF137" i="5"/>
  <c r="BF110" i="5"/>
  <c r="BF115" i="5"/>
  <c r="BF100" i="5"/>
  <c r="BF26" i="5"/>
  <c r="BF77" i="5"/>
  <c r="BF141" i="5"/>
  <c r="BF114" i="5"/>
  <c r="BF119" i="5"/>
  <c r="BF104" i="5"/>
  <c r="BF50" i="5"/>
  <c r="BF19" i="5"/>
  <c r="BF81" i="5"/>
  <c r="BF130" i="5"/>
  <c r="BF122" i="5"/>
  <c r="BF123" i="5"/>
  <c r="BF108" i="5"/>
  <c r="BF52" i="5"/>
  <c r="BF36" i="5"/>
  <c r="BF57" i="5"/>
  <c r="BF85" i="5"/>
  <c r="BF126" i="5"/>
  <c r="BF134" i="5"/>
  <c r="BF127" i="5"/>
  <c r="BF112" i="5"/>
  <c r="BF54" i="5"/>
  <c r="BF21" i="5"/>
  <c r="BF27" i="5"/>
  <c r="BF93" i="5"/>
  <c r="BF66" i="5"/>
  <c r="BF71" i="5"/>
  <c r="BF135" i="5"/>
  <c r="BF120" i="5"/>
  <c r="BF56" i="5"/>
  <c r="BF25" i="5"/>
  <c r="BF44" i="5"/>
  <c r="BF97" i="5"/>
  <c r="BF70" i="5"/>
  <c r="BF75" i="5"/>
  <c r="BF139" i="5"/>
  <c r="BF124" i="5"/>
  <c r="BF35" i="5"/>
  <c r="BF42" i="5"/>
  <c r="BF29" i="5"/>
  <c r="BF17" i="5"/>
  <c r="BF138" i="5"/>
  <c r="BF131" i="5"/>
  <c r="BF116" i="5"/>
  <c r="BF59" i="5"/>
  <c r="AP206" i="1"/>
  <c r="AP187" i="1"/>
  <c r="AP299" i="1"/>
  <c r="AP296" i="1"/>
  <c r="AP196" i="1"/>
  <c r="AP275" i="1"/>
  <c r="AP293" i="1"/>
  <c r="AP265" i="1"/>
  <c r="AP204" i="1"/>
  <c r="AP272" i="1"/>
  <c r="AP200" i="1"/>
  <c r="AP259" i="1"/>
  <c r="AP283" i="1"/>
  <c r="AP300" i="1"/>
  <c r="AP312" i="1"/>
  <c r="AP255" i="1"/>
  <c r="AP188" i="1"/>
  <c r="AP248" i="1"/>
  <c r="AP278" i="1"/>
  <c r="AP211" i="1"/>
  <c r="AP218" i="1"/>
  <c r="AP198" i="1"/>
  <c r="AP195" i="1"/>
  <c r="AP246" i="1"/>
  <c r="AP281" i="1"/>
  <c r="AP277" i="1"/>
  <c r="AP217" i="1"/>
  <c r="AP237" i="1"/>
  <c r="AP289" i="1"/>
  <c r="AP186" i="1"/>
  <c r="AP247" i="1"/>
  <c r="AP292" i="1"/>
  <c r="AP257" i="1"/>
  <c r="AP189" i="1"/>
  <c r="AP241" i="1"/>
  <c r="AP295" i="1"/>
  <c r="AP222" i="1"/>
  <c r="AP314" i="1"/>
  <c r="AP228" i="1"/>
  <c r="AP304" i="1"/>
  <c r="AP291" i="1"/>
  <c r="AP284" i="1"/>
  <c r="AP303" i="1"/>
  <c r="AP219" i="1"/>
  <c r="AP229" i="1"/>
  <c r="AP185" i="1"/>
  <c r="AP256" i="1"/>
  <c r="AP243" i="1"/>
  <c r="AP251" i="1"/>
  <c r="AP240" i="1"/>
  <c r="AP199" i="1"/>
  <c r="AP227" i="1"/>
  <c r="AP266" i="1"/>
  <c r="AP301" i="1"/>
  <c r="AP290" i="1"/>
  <c r="AP208" i="1"/>
  <c r="AP285" i="1"/>
  <c r="AP234" i="1"/>
  <c r="AP297" i="1"/>
  <c r="AP245" i="1"/>
  <c r="AP253" i="1"/>
  <c r="AP305" i="1"/>
  <c r="AP264" i="1"/>
  <c r="AP311" i="1"/>
  <c r="AP308" i="1"/>
  <c r="AP205" i="1"/>
  <c r="AP254" i="1"/>
  <c r="AP220" i="1"/>
  <c r="AP230" i="1"/>
  <c r="AP203" i="1"/>
  <c r="AP309" i="1"/>
  <c r="AP310" i="1"/>
  <c r="AP236" i="1"/>
  <c r="AP271" i="1"/>
  <c r="AP250" i="1"/>
  <c r="AP279" i="1"/>
  <c r="AP197" i="1"/>
  <c r="AP306" i="1"/>
  <c r="AP224" i="1"/>
  <c r="AP298" i="1"/>
  <c r="AP184" i="1"/>
  <c r="AP223" i="1"/>
  <c r="AP274" i="1"/>
  <c r="AP192" i="1"/>
  <c r="AP191" i="1"/>
  <c r="AP242" i="1"/>
  <c r="AP216" i="1"/>
  <c r="AP270" i="1"/>
  <c r="AP194" i="1"/>
  <c r="AP232" i="1"/>
  <c r="AP238" i="1"/>
  <c r="AP235" i="1"/>
  <c r="AP261" i="1"/>
  <c r="AP307" i="1"/>
  <c r="AP233" i="1"/>
  <c r="AP202" i="1"/>
  <c r="AP287" i="1"/>
  <c r="AP207" i="1"/>
  <c r="AP258" i="1"/>
  <c r="AP213" i="1"/>
  <c r="AP201" i="1"/>
  <c r="AP267" i="1"/>
  <c r="AP286" i="1"/>
  <c r="AP210" i="1"/>
  <c r="AP280" i="1"/>
  <c r="AP276" i="1"/>
  <c r="AP252" i="1"/>
  <c r="AP214" i="1"/>
  <c r="AP231" i="1"/>
  <c r="AP209" i="1"/>
  <c r="AP313" i="1"/>
  <c r="AP193" i="1"/>
  <c r="AP262" i="1"/>
  <c r="AP239" i="1"/>
  <c r="AP269" i="1"/>
  <c r="AP249" i="1"/>
  <c r="AP268" i="1"/>
  <c r="AP302" i="1"/>
  <c r="AP226" i="1"/>
  <c r="AP221" i="1"/>
  <c r="AP273" i="1"/>
  <c r="AP263" i="1"/>
  <c r="AP215" i="1"/>
  <c r="AP294" i="1"/>
  <c r="AP260" i="1"/>
  <c r="AP225" i="1"/>
  <c r="AP244" i="1"/>
  <c r="AP190" i="1"/>
  <c r="AP282" i="1"/>
  <c r="AP212" i="1"/>
  <c r="AP288" i="1"/>
  <c r="AP178" i="1"/>
  <c r="AP179" i="1"/>
  <c r="AP180" i="1"/>
  <c r="AP181" i="1"/>
  <c r="AP182" i="1"/>
  <c r="AP183" i="1"/>
  <c r="N379" i="5"/>
  <c r="R379" i="5" s="1"/>
  <c r="S379" i="5"/>
  <c r="L380" i="5"/>
  <c r="O380" i="5" s="1"/>
  <c r="T380" i="5"/>
  <c r="Q380" i="5"/>
  <c r="AM298" i="1"/>
  <c r="AR298" i="1"/>
  <c r="AU298" i="1" s="1"/>
  <c r="AR161" i="1"/>
  <c r="AU161" i="1" s="1"/>
  <c r="AM282" i="1"/>
  <c r="AR282" i="1"/>
  <c r="AU282" i="1" s="1"/>
  <c r="AR99" i="1"/>
  <c r="AU99" i="1" s="1"/>
  <c r="AM240" i="1"/>
  <c r="AR240" i="1"/>
  <c r="AU240" i="1" s="1"/>
  <c r="AR106" i="1"/>
  <c r="AU106" i="1" s="1"/>
  <c r="AM311" i="1"/>
  <c r="AR311" i="1"/>
  <c r="AU311" i="1" s="1"/>
  <c r="AR129" i="1"/>
  <c r="AU129" i="1" s="1"/>
  <c r="AM244" i="1"/>
  <c r="AR244" i="1"/>
  <c r="AU244" i="1" s="1"/>
  <c r="AR108" i="1"/>
  <c r="AU108" i="1" s="1"/>
  <c r="AR175" i="1"/>
  <c r="AU175" i="1" s="1"/>
  <c r="AR130" i="1"/>
  <c r="AU130" i="1" s="1"/>
  <c r="AR133" i="1"/>
  <c r="AU133" i="1" s="1"/>
  <c r="AR136" i="1"/>
  <c r="AU136" i="1" s="1"/>
  <c r="AM203" i="1"/>
  <c r="AR203" i="1"/>
  <c r="AU203" i="1" s="1"/>
  <c r="AR158" i="1"/>
  <c r="AU158" i="1" s="1"/>
  <c r="AR55" i="1"/>
  <c r="AU55" i="1" s="1"/>
  <c r="AM230" i="1"/>
  <c r="AR230" i="1"/>
  <c r="AU230" i="1" s="1"/>
  <c r="AR145" i="1"/>
  <c r="AU145" i="1" s="1"/>
  <c r="AR144" i="1"/>
  <c r="AU144" i="1" s="1"/>
  <c r="AM305" i="1"/>
  <c r="AR305" i="1"/>
  <c r="AU305" i="1" s="1"/>
  <c r="AR124" i="1"/>
  <c r="AU124" i="1" s="1"/>
  <c r="AR89" i="1"/>
  <c r="AU89" i="1" s="1"/>
  <c r="AM284" i="1"/>
  <c r="AR284" i="1"/>
  <c r="AU284" i="1" s="1"/>
  <c r="AM292" i="1"/>
  <c r="AR292" i="1"/>
  <c r="AU292" i="1" s="1"/>
  <c r="AM223" i="1"/>
  <c r="AR223" i="1"/>
  <c r="AU223" i="1" s="1"/>
  <c r="AR178" i="1"/>
  <c r="AU178" i="1" s="1"/>
  <c r="AR181" i="1"/>
  <c r="AU181" i="1" s="1"/>
  <c r="AR184" i="1"/>
  <c r="AU184" i="1" s="1"/>
  <c r="AM251" i="1"/>
  <c r="AR251" i="1"/>
  <c r="AU251" i="1" s="1"/>
  <c r="AM206" i="1"/>
  <c r="AR206" i="1"/>
  <c r="AU206" i="1" s="1"/>
  <c r="AR56" i="1"/>
  <c r="AU56" i="1" s="1"/>
  <c r="AM224" i="1"/>
  <c r="AR224" i="1"/>
  <c r="AU224" i="1" s="1"/>
  <c r="AR150" i="1"/>
  <c r="AU150" i="1" s="1"/>
  <c r="AR71" i="1"/>
  <c r="AU71" i="1" s="1"/>
  <c r="AM236" i="1"/>
  <c r="AR236" i="1"/>
  <c r="AU236" i="1" s="1"/>
  <c r="AR118" i="1"/>
  <c r="AU118" i="1" s="1"/>
  <c r="AM268" i="1"/>
  <c r="AR268" i="1"/>
  <c r="AU268" i="1" s="1"/>
  <c r="AM188" i="1"/>
  <c r="AR188" i="1"/>
  <c r="AU188" i="1" s="1"/>
  <c r="AR83" i="1"/>
  <c r="AU83" i="1" s="1"/>
  <c r="AM278" i="1"/>
  <c r="AR278" i="1"/>
  <c r="AU278" i="1" s="1"/>
  <c r="AM246" i="1"/>
  <c r="AR246" i="1"/>
  <c r="AU246" i="1" s="1"/>
  <c r="AR84" i="1"/>
  <c r="AU84" i="1" s="1"/>
  <c r="AM271" i="1"/>
  <c r="AR271" i="1"/>
  <c r="AU271" i="1" s="1"/>
  <c r="AM226" i="1"/>
  <c r="AR226" i="1"/>
  <c r="AU226" i="1" s="1"/>
  <c r="AM229" i="1"/>
  <c r="AR229" i="1"/>
  <c r="AU229" i="1" s="1"/>
  <c r="AM232" i="1"/>
  <c r="AR232" i="1"/>
  <c r="AU232" i="1" s="1"/>
  <c r="AM299" i="1"/>
  <c r="AR299" i="1"/>
  <c r="AU299" i="1" s="1"/>
  <c r="AM254" i="1"/>
  <c r="AR254" i="1"/>
  <c r="AU254" i="1" s="1"/>
  <c r="AR54" i="1"/>
  <c r="AU54" i="1" s="1"/>
  <c r="AM247" i="1"/>
  <c r="AR247" i="1"/>
  <c r="AU247" i="1" s="1"/>
  <c r="AR105" i="1"/>
  <c r="AU105" i="1" s="1"/>
  <c r="AM241" i="1"/>
  <c r="AR241" i="1"/>
  <c r="AU241" i="1" s="1"/>
  <c r="AR112" i="1"/>
  <c r="AU112" i="1" s="1"/>
  <c r="AM262" i="1"/>
  <c r="AR262" i="1"/>
  <c r="AU262" i="1" s="1"/>
  <c r="AR182" i="1"/>
  <c r="AU182" i="1" s="1"/>
  <c r="AM234" i="1"/>
  <c r="AR234" i="1"/>
  <c r="AU234" i="1" s="1"/>
  <c r="AR64" i="1"/>
  <c r="AU64" i="1" s="1"/>
  <c r="AM272" i="1"/>
  <c r="AR272" i="1"/>
  <c r="AU272" i="1" s="1"/>
  <c r="AM204" i="1"/>
  <c r="AR204" i="1"/>
  <c r="AU204" i="1" s="1"/>
  <c r="AR132" i="1"/>
  <c r="AU132" i="1" s="1"/>
  <c r="AR76" i="1"/>
  <c r="AU76" i="1" s="1"/>
  <c r="AR63" i="1"/>
  <c r="AU63" i="1" s="1"/>
  <c r="AM274" i="1"/>
  <c r="AR274" i="1"/>
  <c r="AU274" i="1" s="1"/>
  <c r="AM277" i="1"/>
  <c r="AR277" i="1"/>
  <c r="AU277" i="1" s="1"/>
  <c r="AM280" i="1"/>
  <c r="AR280" i="1"/>
  <c r="AU280" i="1" s="1"/>
  <c r="AR91" i="1"/>
  <c r="AU91" i="1" s="1"/>
  <c r="AM302" i="1"/>
  <c r="AR302" i="1"/>
  <c r="AU302" i="1" s="1"/>
  <c r="AM304" i="1"/>
  <c r="AR304" i="1"/>
  <c r="AU304" i="1" s="1"/>
  <c r="AR169" i="1"/>
  <c r="AU169" i="1" s="1"/>
  <c r="AM256" i="1"/>
  <c r="AR256" i="1"/>
  <c r="AU256" i="1" s="1"/>
  <c r="AR70" i="1"/>
  <c r="AU70" i="1" s="1"/>
  <c r="AR176" i="1"/>
  <c r="AU176" i="1" s="1"/>
  <c r="AR81" i="1"/>
  <c r="AU81" i="1" s="1"/>
  <c r="AR115" i="1"/>
  <c r="AU115" i="1" s="1"/>
  <c r="AM266" i="1"/>
  <c r="AR266" i="1"/>
  <c r="AU266" i="1" s="1"/>
  <c r="AM198" i="1"/>
  <c r="AR198" i="1"/>
  <c r="AU198" i="1" s="1"/>
  <c r="AR180" i="1"/>
  <c r="AU180" i="1" s="1"/>
  <c r="AR111" i="1"/>
  <c r="AU111" i="1" s="1"/>
  <c r="AR66" i="1"/>
  <c r="AU66" i="1" s="1"/>
  <c r="AR69" i="1"/>
  <c r="AU69" i="1" s="1"/>
  <c r="AR72" i="1"/>
  <c r="AU72" i="1" s="1"/>
  <c r="AR139" i="1"/>
  <c r="AU139" i="1" s="1"/>
  <c r="AR94" i="1"/>
  <c r="AU94" i="1" s="1"/>
  <c r="AR65" i="1"/>
  <c r="AU65" i="1" s="1"/>
  <c r="AR163" i="1"/>
  <c r="AU163" i="1" s="1"/>
  <c r="AR183" i="1"/>
  <c r="AU183" i="1" s="1"/>
  <c r="AM250" i="1"/>
  <c r="AR250" i="1"/>
  <c r="AU250" i="1" s="1"/>
  <c r="AR170" i="1"/>
  <c r="AU170" i="1" s="1"/>
  <c r="AR177" i="1"/>
  <c r="AU177" i="1" s="1"/>
  <c r="AR74" i="1"/>
  <c r="AU74" i="1" s="1"/>
  <c r="AM192" i="1"/>
  <c r="AR192" i="1"/>
  <c r="AU192" i="1" s="1"/>
  <c r="AM228" i="1"/>
  <c r="AR228" i="1"/>
  <c r="AU228" i="1" s="1"/>
  <c r="AR159" i="1"/>
  <c r="AU159" i="1" s="1"/>
  <c r="AR114" i="1"/>
  <c r="AU114" i="1" s="1"/>
  <c r="AR117" i="1"/>
  <c r="AU117" i="1" s="1"/>
  <c r="AR120" i="1"/>
  <c r="AU120" i="1" s="1"/>
  <c r="AM187" i="1"/>
  <c r="AR187" i="1"/>
  <c r="AU187" i="1" s="1"/>
  <c r="AR142" i="1"/>
  <c r="AU142" i="1" s="1"/>
  <c r="AM281" i="1"/>
  <c r="AR281" i="1"/>
  <c r="AU281" i="1" s="1"/>
  <c r="AR185" i="1"/>
  <c r="AU185" i="1" s="1"/>
  <c r="AR167" i="1"/>
  <c r="AU167" i="1" s="1"/>
  <c r="AM269" i="1"/>
  <c r="AR269" i="1"/>
  <c r="AU269" i="1" s="1"/>
  <c r="AR157" i="1"/>
  <c r="AU157" i="1" s="1"/>
  <c r="AM307" i="1"/>
  <c r="AR307" i="1"/>
  <c r="AU307" i="1" s="1"/>
  <c r="AM233" i="1"/>
  <c r="AR233" i="1"/>
  <c r="AU233" i="1" s="1"/>
  <c r="AM186" i="1"/>
  <c r="AR186" i="1"/>
  <c r="AU186" i="1" s="1"/>
  <c r="AR93" i="1"/>
  <c r="AU93" i="1" s="1"/>
  <c r="AM276" i="1"/>
  <c r="AR276" i="1"/>
  <c r="AU276" i="1" s="1"/>
  <c r="AM207" i="1"/>
  <c r="AR207" i="1"/>
  <c r="AU207" i="1" s="1"/>
  <c r="AR162" i="1"/>
  <c r="AU162" i="1" s="1"/>
  <c r="AR165" i="1"/>
  <c r="AU165" i="1" s="1"/>
  <c r="AR168" i="1"/>
  <c r="AU168" i="1" s="1"/>
  <c r="AM235" i="1"/>
  <c r="AR235" i="1"/>
  <c r="AU235" i="1" s="1"/>
  <c r="AM190" i="1"/>
  <c r="AR190" i="1"/>
  <c r="AU190" i="1" s="1"/>
  <c r="AR86" i="1"/>
  <c r="AU86" i="1" s="1"/>
  <c r="AR173" i="1"/>
  <c r="AU173" i="1" s="1"/>
  <c r="AR151" i="1"/>
  <c r="AU151" i="1" s="1"/>
  <c r="AM257" i="1"/>
  <c r="AR257" i="1"/>
  <c r="AU257" i="1" s="1"/>
  <c r="AR121" i="1"/>
  <c r="AU121" i="1" s="1"/>
  <c r="AM227" i="1"/>
  <c r="AR227" i="1"/>
  <c r="AU227" i="1" s="1"/>
  <c r="AM285" i="1"/>
  <c r="AR285" i="1"/>
  <c r="AU285" i="1" s="1"/>
  <c r="AM301" i="1"/>
  <c r="AR301" i="1"/>
  <c r="AU301" i="1" s="1"/>
  <c r="AR96" i="1"/>
  <c r="AU96" i="1" s="1"/>
  <c r="AR68" i="1"/>
  <c r="AU68" i="1" s="1"/>
  <c r="AM255" i="1"/>
  <c r="AR255" i="1"/>
  <c r="AU255" i="1" s="1"/>
  <c r="AM210" i="1"/>
  <c r="AR210" i="1"/>
  <c r="AU210" i="1" s="1"/>
  <c r="AM213" i="1"/>
  <c r="AR213" i="1"/>
  <c r="AU213" i="1" s="1"/>
  <c r="AM216" i="1"/>
  <c r="AR216" i="1"/>
  <c r="AU216" i="1" s="1"/>
  <c r="AM283" i="1"/>
  <c r="AR283" i="1"/>
  <c r="AU283" i="1" s="1"/>
  <c r="AM238" i="1"/>
  <c r="AR238" i="1"/>
  <c r="AU238" i="1" s="1"/>
  <c r="AM259" i="1"/>
  <c r="AR259" i="1"/>
  <c r="AU259" i="1" s="1"/>
  <c r="AR80" i="1"/>
  <c r="AU80" i="1" s="1"/>
  <c r="AM217" i="1"/>
  <c r="AR217" i="1"/>
  <c r="AU217" i="1" s="1"/>
  <c r="AM221" i="1"/>
  <c r="AR221" i="1"/>
  <c r="AU221" i="1" s="1"/>
  <c r="AR153" i="1"/>
  <c r="AU153" i="1" s="1"/>
  <c r="AR116" i="1"/>
  <c r="AU116" i="1" s="1"/>
  <c r="AM303" i="1"/>
  <c r="AR303" i="1"/>
  <c r="AU303" i="1" s="1"/>
  <c r="AM258" i="1"/>
  <c r="AR258" i="1"/>
  <c r="AU258" i="1" s="1"/>
  <c r="AM261" i="1"/>
  <c r="AR261" i="1"/>
  <c r="AU261" i="1" s="1"/>
  <c r="AM264" i="1"/>
  <c r="AR264" i="1"/>
  <c r="AU264" i="1" s="1"/>
  <c r="AR75" i="1"/>
  <c r="AU75" i="1" s="1"/>
  <c r="AM286" i="1"/>
  <c r="AR286" i="1"/>
  <c r="AU286" i="1" s="1"/>
  <c r="AR90" i="1"/>
  <c r="AU90" i="1" s="1"/>
  <c r="AM201" i="1"/>
  <c r="AR201" i="1"/>
  <c r="AU201" i="1" s="1"/>
  <c r="AM211" i="1"/>
  <c r="AR211" i="1"/>
  <c r="AU211" i="1" s="1"/>
  <c r="AR137" i="1"/>
  <c r="AU137" i="1" s="1"/>
  <c r="AM297" i="1"/>
  <c r="AR297" i="1"/>
  <c r="AU297" i="1" s="1"/>
  <c r="AM215" i="1"/>
  <c r="AR215" i="1"/>
  <c r="AU215" i="1" s="1"/>
  <c r="AR147" i="1"/>
  <c r="AU147" i="1" s="1"/>
  <c r="AR164" i="1"/>
  <c r="AU164" i="1" s="1"/>
  <c r="AR95" i="1"/>
  <c r="AU95" i="1" s="1"/>
  <c r="AM306" i="1"/>
  <c r="AR306" i="1"/>
  <c r="AU306" i="1" s="1"/>
  <c r="AM309" i="1"/>
  <c r="AR309" i="1"/>
  <c r="AU309" i="1" s="1"/>
  <c r="AM312" i="1"/>
  <c r="AR312" i="1"/>
  <c r="AU312" i="1" s="1"/>
  <c r="AR123" i="1"/>
  <c r="AU123" i="1" s="1"/>
  <c r="AR78" i="1"/>
  <c r="AU78" i="1" s="1"/>
  <c r="AR38" i="1"/>
  <c r="AU38" i="1" s="1"/>
  <c r="AV50" i="1" s="1"/>
  <c r="AM313" i="1"/>
  <c r="AR52" i="1"/>
  <c r="AU52" i="1" s="1"/>
  <c r="BR52" i="1" s="1"/>
  <c r="AR43" i="1"/>
  <c r="AU43" i="1" s="1"/>
  <c r="BJ43" i="1" s="1"/>
  <c r="AM51" i="1"/>
  <c r="AR67" i="1"/>
  <c r="AU67" i="1" s="1"/>
  <c r="AR156" i="1"/>
  <c r="AU156" i="1" s="1"/>
  <c r="AR122" i="1"/>
  <c r="AU122" i="1" s="1"/>
  <c r="AM225" i="1"/>
  <c r="AR225" i="1"/>
  <c r="AU225" i="1" s="1"/>
  <c r="AM205" i="1"/>
  <c r="AR205" i="1"/>
  <c r="AU205" i="1" s="1"/>
  <c r="AR131" i="1"/>
  <c r="AU131" i="1" s="1"/>
  <c r="AM279" i="1"/>
  <c r="AR279" i="1"/>
  <c r="AU279" i="1" s="1"/>
  <c r="AR141" i="1"/>
  <c r="AU141" i="1" s="1"/>
  <c r="AM212" i="1"/>
  <c r="AR212" i="1"/>
  <c r="AU212" i="1" s="1"/>
  <c r="AR143" i="1"/>
  <c r="AU143" i="1" s="1"/>
  <c r="AR98" i="1"/>
  <c r="AU98" i="1" s="1"/>
  <c r="AR101" i="1"/>
  <c r="AU101" i="1" s="1"/>
  <c r="AR104" i="1"/>
  <c r="AU104" i="1" s="1"/>
  <c r="AR171" i="1"/>
  <c r="AU171" i="1" s="1"/>
  <c r="AR126" i="1"/>
  <c r="AU126" i="1" s="1"/>
  <c r="AR138" i="1"/>
  <c r="AU138" i="1" s="1"/>
  <c r="AM202" i="1"/>
  <c r="AR202" i="1"/>
  <c r="AU202" i="1" s="1"/>
  <c r="AM249" i="1"/>
  <c r="AR249" i="1"/>
  <c r="AU249" i="1" s="1"/>
  <c r="AM199" i="1"/>
  <c r="AR199" i="1"/>
  <c r="AU199" i="1" s="1"/>
  <c r="AR125" i="1"/>
  <c r="AU125" i="1" s="1"/>
  <c r="AR109" i="1"/>
  <c r="AU109" i="1" s="1"/>
  <c r="AR135" i="1"/>
  <c r="AU135" i="1" s="1"/>
  <c r="AR160" i="1"/>
  <c r="AU160" i="1" s="1"/>
  <c r="AM260" i="1"/>
  <c r="AR260" i="1"/>
  <c r="AU260" i="1" s="1"/>
  <c r="AR61" i="1"/>
  <c r="AU61" i="1" s="1"/>
  <c r="AM191" i="1"/>
  <c r="AR191" i="1"/>
  <c r="AU191" i="1" s="1"/>
  <c r="AR146" i="1"/>
  <c r="AU146" i="1" s="1"/>
  <c r="AR149" i="1"/>
  <c r="AU149" i="1" s="1"/>
  <c r="AR152" i="1"/>
  <c r="AU152" i="1" s="1"/>
  <c r="AR92" i="1"/>
  <c r="AU92" i="1" s="1"/>
  <c r="AM219" i="1"/>
  <c r="AR219" i="1"/>
  <c r="AU219" i="1" s="1"/>
  <c r="AR174" i="1"/>
  <c r="AU174" i="1" s="1"/>
  <c r="AR58" i="1"/>
  <c r="AU58" i="1" s="1"/>
  <c r="AR128" i="1"/>
  <c r="AU128" i="1" s="1"/>
  <c r="AM208" i="1"/>
  <c r="AR208" i="1"/>
  <c r="AU208" i="1" s="1"/>
  <c r="AM253" i="1"/>
  <c r="AR253" i="1"/>
  <c r="AU253" i="1" s="1"/>
  <c r="AM243" i="1"/>
  <c r="AR243" i="1"/>
  <c r="AU243" i="1" s="1"/>
  <c r="AR102" i="1"/>
  <c r="AU102" i="1" s="1"/>
  <c r="AR119" i="1"/>
  <c r="AU119" i="1" s="1"/>
  <c r="AM189" i="1"/>
  <c r="AR189" i="1"/>
  <c r="AU189" i="1" s="1"/>
  <c r="AM289" i="1"/>
  <c r="AR289" i="1"/>
  <c r="AU289" i="1" s="1"/>
  <c r="AR77" i="1"/>
  <c r="AU77" i="1" s="1"/>
  <c r="AM308" i="1"/>
  <c r="AR308" i="1"/>
  <c r="AU308" i="1" s="1"/>
  <c r="AM239" i="1"/>
  <c r="AR239" i="1"/>
  <c r="AU239" i="1" s="1"/>
  <c r="AM194" i="1"/>
  <c r="AR194" i="1"/>
  <c r="AU194" i="1" s="1"/>
  <c r="AM197" i="1"/>
  <c r="AR197" i="1"/>
  <c r="AU197" i="1" s="1"/>
  <c r="AM200" i="1"/>
  <c r="AR200" i="1"/>
  <c r="AU200" i="1" s="1"/>
  <c r="AM267" i="1"/>
  <c r="AR267" i="1"/>
  <c r="AU267" i="1" s="1"/>
  <c r="AM222" i="1"/>
  <c r="AR222" i="1"/>
  <c r="AU222" i="1" s="1"/>
  <c r="AR40" i="1"/>
  <c r="AU40" i="1" s="1"/>
  <c r="AV52" i="1" s="1"/>
  <c r="AM263" i="1"/>
  <c r="AR263" i="1"/>
  <c r="AU263" i="1" s="1"/>
  <c r="AM310" i="1"/>
  <c r="AR310" i="1"/>
  <c r="AU310" i="1" s="1"/>
  <c r="AM220" i="1"/>
  <c r="AR220" i="1"/>
  <c r="AU220" i="1" s="1"/>
  <c r="AM214" i="1"/>
  <c r="AR214" i="1"/>
  <c r="AU214" i="1" s="1"/>
  <c r="AR140" i="1"/>
  <c r="AU140" i="1" s="1"/>
  <c r="AM237" i="1"/>
  <c r="AR237" i="1"/>
  <c r="AU237" i="1" s="1"/>
  <c r="AM300" i="1"/>
  <c r="AR300" i="1"/>
  <c r="AU300" i="1" s="1"/>
  <c r="AR172" i="1"/>
  <c r="AU172" i="1" s="1"/>
  <c r="AM295" i="1"/>
  <c r="AR295" i="1"/>
  <c r="AU295" i="1" s="1"/>
  <c r="AR100" i="1"/>
  <c r="AU100" i="1" s="1"/>
  <c r="AM287" i="1"/>
  <c r="AR287" i="1"/>
  <c r="AU287" i="1" s="1"/>
  <c r="AM242" i="1"/>
  <c r="AR242" i="1"/>
  <c r="AU242" i="1" s="1"/>
  <c r="AM245" i="1"/>
  <c r="AR245" i="1"/>
  <c r="AU245" i="1" s="1"/>
  <c r="AM248" i="1"/>
  <c r="AR248" i="1"/>
  <c r="AU248" i="1" s="1"/>
  <c r="AR60" i="1"/>
  <c r="AU60" i="1" s="1"/>
  <c r="AR59" i="1"/>
  <c r="AU59" i="1" s="1"/>
  <c r="AM270" i="1"/>
  <c r="AR270" i="1"/>
  <c r="AU270" i="1" s="1"/>
  <c r="AR134" i="1"/>
  <c r="AU134" i="1" s="1"/>
  <c r="AR73" i="1"/>
  <c r="AU73" i="1" s="1"/>
  <c r="AM231" i="1"/>
  <c r="AR231" i="1"/>
  <c r="AU231" i="1" s="1"/>
  <c r="AM294" i="1"/>
  <c r="AR294" i="1"/>
  <c r="AU294" i="1" s="1"/>
  <c r="AM273" i="1"/>
  <c r="AR273" i="1"/>
  <c r="AU273" i="1" s="1"/>
  <c r="AR166" i="1"/>
  <c r="AU166" i="1" s="1"/>
  <c r="AR154" i="1"/>
  <c r="AU154" i="1" s="1"/>
  <c r="AM209" i="1"/>
  <c r="AR209" i="1"/>
  <c r="AU209" i="1" s="1"/>
  <c r="AR148" i="1"/>
  <c r="AU148" i="1" s="1"/>
  <c r="AR79" i="1"/>
  <c r="AU79" i="1" s="1"/>
  <c r="AM290" i="1"/>
  <c r="AR290" i="1"/>
  <c r="AU290" i="1" s="1"/>
  <c r="AM293" i="1"/>
  <c r="AR293" i="1"/>
  <c r="AU293" i="1" s="1"/>
  <c r="AM296" i="1"/>
  <c r="AR296" i="1"/>
  <c r="AU296" i="1" s="1"/>
  <c r="AR107" i="1"/>
  <c r="AU107" i="1" s="1"/>
  <c r="AR62" i="1"/>
  <c r="AU62" i="1" s="1"/>
  <c r="AM195" i="1"/>
  <c r="AR195" i="1"/>
  <c r="AU195" i="1" s="1"/>
  <c r="AR57" i="1"/>
  <c r="AU57" i="1" s="1"/>
  <c r="AM265" i="1"/>
  <c r="AR265" i="1"/>
  <c r="AU265" i="1" s="1"/>
  <c r="AM275" i="1"/>
  <c r="AR275" i="1"/>
  <c r="AU275" i="1" s="1"/>
  <c r="AR97" i="1"/>
  <c r="AU97" i="1" s="1"/>
  <c r="AR179" i="1"/>
  <c r="AU179" i="1" s="1"/>
  <c r="AM218" i="1"/>
  <c r="AR218" i="1"/>
  <c r="AU218" i="1" s="1"/>
  <c r="AR103" i="1"/>
  <c r="AU103" i="1" s="1"/>
  <c r="AM288" i="1"/>
  <c r="AR288" i="1"/>
  <c r="AU288" i="1" s="1"/>
  <c r="AM193" i="1"/>
  <c r="AR193" i="1"/>
  <c r="AU193" i="1" s="1"/>
  <c r="AM291" i="1"/>
  <c r="AR291" i="1"/>
  <c r="AU291" i="1" s="1"/>
  <c r="AR113" i="1"/>
  <c r="AU113" i="1" s="1"/>
  <c r="AR87" i="1"/>
  <c r="AU87" i="1" s="1"/>
  <c r="AM252" i="1"/>
  <c r="AR252" i="1"/>
  <c r="AU252" i="1" s="1"/>
  <c r="AM196" i="1"/>
  <c r="AR196" i="1"/>
  <c r="AU196" i="1" s="1"/>
  <c r="AR127" i="1"/>
  <c r="AU127" i="1" s="1"/>
  <c r="AR82" i="1"/>
  <c r="AU82" i="1" s="1"/>
  <c r="AR85" i="1"/>
  <c r="AU85" i="1" s="1"/>
  <c r="AR88" i="1"/>
  <c r="AU88" i="1" s="1"/>
  <c r="AR155" i="1"/>
  <c r="AU155" i="1" s="1"/>
  <c r="AR110" i="1"/>
  <c r="AU110" i="1" s="1"/>
  <c r="AV55" i="1"/>
  <c r="AM57" i="1"/>
  <c r="AM36" i="1"/>
  <c r="AM32" i="1"/>
  <c r="AR41" i="1"/>
  <c r="AU41" i="1" s="1"/>
  <c r="BN41" i="1" s="1"/>
  <c r="AM54" i="1"/>
  <c r="AR34" i="1"/>
  <c r="AU34" i="1" s="1"/>
  <c r="AV46" i="1" s="1"/>
  <c r="AR37" i="1"/>
  <c r="AU37" i="1" s="1"/>
  <c r="BI37" i="1" s="1"/>
  <c r="AR51" i="1"/>
  <c r="AU51" i="1" s="1"/>
  <c r="AM55" i="1"/>
  <c r="AM314" i="1"/>
  <c r="AM35" i="1"/>
  <c r="AM41" i="1"/>
  <c r="AM39" i="1"/>
  <c r="AM58" i="1"/>
  <c r="AM56" i="1"/>
  <c r="AM53" i="1"/>
  <c r="AR42" i="1"/>
  <c r="AU42" i="1" s="1"/>
  <c r="AV54" i="1" s="1"/>
  <c r="AM43" i="1"/>
  <c r="AM38" i="1"/>
  <c r="AM44" i="1"/>
  <c r="AM47" i="1"/>
  <c r="AR48" i="1"/>
  <c r="AU48" i="1" s="1"/>
  <c r="BI48" i="1" s="1"/>
  <c r="AR314" i="1"/>
  <c r="AU314" i="1" s="1"/>
  <c r="BI314" i="1" s="1"/>
  <c r="AM37" i="1"/>
  <c r="AM52" i="1"/>
  <c r="AR46" i="1"/>
  <c r="AU46" i="1" s="1"/>
  <c r="AR44" i="1"/>
  <c r="AU44" i="1" s="1"/>
  <c r="AR313" i="1"/>
  <c r="AU313" i="1" s="1"/>
  <c r="BW313" i="1" s="1"/>
  <c r="AM42" i="1"/>
  <c r="BR43" i="1"/>
  <c r="AR49" i="1"/>
  <c r="AU49" i="1" s="1"/>
  <c r="AM48" i="1"/>
  <c r="AM46" i="1"/>
  <c r="AR35" i="1"/>
  <c r="AU35" i="1" s="1"/>
  <c r="BK35" i="1" s="1"/>
  <c r="AR36" i="1"/>
  <c r="AU36" i="1" s="1"/>
  <c r="BP36" i="1" s="1"/>
  <c r="AM50" i="1"/>
  <c r="AM33" i="1"/>
  <c r="AM40" i="1"/>
  <c r="AR50" i="1"/>
  <c r="AU50" i="1" s="1"/>
  <c r="AM34" i="1"/>
  <c r="AR45" i="1"/>
  <c r="AU45" i="1" s="1"/>
  <c r="BT43" i="1"/>
  <c r="AR53" i="1"/>
  <c r="AU53" i="1" s="1"/>
  <c r="AR47" i="1"/>
  <c r="AU47" i="1" s="1"/>
  <c r="AM49" i="1"/>
  <c r="AR39" i="1"/>
  <c r="AU39" i="1" s="1"/>
  <c r="AV51" i="1" s="1"/>
  <c r="BQ43" i="1"/>
  <c r="BS38" i="1"/>
  <c r="D9" i="3"/>
  <c r="E8" i="3"/>
  <c r="F8" i="3" s="1"/>
  <c r="AI26" i="1"/>
  <c r="AM26" i="1" s="1"/>
  <c r="AI27" i="1"/>
  <c r="AM27" i="1" s="1"/>
  <c r="AI28" i="1"/>
  <c r="AM28" i="1" s="1"/>
  <c r="AI29" i="1"/>
  <c r="AM29" i="1" s="1"/>
  <c r="L32" i="1"/>
  <c r="BI38" i="1" l="1"/>
  <c r="BL52" i="1"/>
  <c r="BQ38" i="1"/>
  <c r="AV64" i="1"/>
  <c r="BK52" i="1"/>
  <c r="BM52" i="1"/>
  <c r="BO52" i="1"/>
  <c r="BW52" i="1"/>
  <c r="BT52" i="1"/>
  <c r="BK38" i="1"/>
  <c r="BR38" i="1"/>
  <c r="BQ40" i="1"/>
  <c r="Q35" i="1"/>
  <c r="CF34" i="1"/>
  <c r="CG34" i="1" s="1"/>
  <c r="CH34" i="1" s="1"/>
  <c r="BS52" i="1"/>
  <c r="BT38" i="1"/>
  <c r="BO43" i="1"/>
  <c r="BW38" i="1"/>
  <c r="BM38" i="1"/>
  <c r="BJ52" i="1"/>
  <c r="BP52" i="1"/>
  <c r="BW43" i="1"/>
  <c r="BN38" i="1"/>
  <c r="BL38" i="1"/>
  <c r="BN43" i="1"/>
  <c r="BK43" i="1"/>
  <c r="BQ52" i="1"/>
  <c r="BN52" i="1"/>
  <c r="BI52" i="1"/>
  <c r="BO38" i="1"/>
  <c r="BO39" i="1"/>
  <c r="BN40" i="1"/>
  <c r="BR40" i="1"/>
  <c r="BI43" i="1"/>
  <c r="BS43" i="1"/>
  <c r="BW40" i="1"/>
  <c r="BK40" i="1"/>
  <c r="BJ38" i="1"/>
  <c r="BJ40" i="1"/>
  <c r="BM40" i="1"/>
  <c r="BL43" i="1"/>
  <c r="BP38" i="1"/>
  <c r="BM43" i="1"/>
  <c r="BO40" i="1"/>
  <c r="BP43" i="1"/>
  <c r="BP40" i="1"/>
  <c r="AN16" i="5"/>
  <c r="D22" i="5" s="1"/>
  <c r="AK16" i="5"/>
  <c r="BT48" i="1"/>
  <c r="Z16" i="5"/>
  <c r="AC16" i="5"/>
  <c r="C22" i="5" s="1"/>
  <c r="BG16" i="5"/>
  <c r="BJ16" i="5"/>
  <c r="F22" i="5" s="1"/>
  <c r="AY16" i="5"/>
  <c r="E22" i="5" s="1"/>
  <c r="AV16" i="5"/>
  <c r="BS40" i="1"/>
  <c r="BT40" i="1"/>
  <c r="BI40" i="1"/>
  <c r="BL40" i="1"/>
  <c r="S380" i="5"/>
  <c r="N380" i="5"/>
  <c r="R380" i="5" s="1"/>
  <c r="BI195" i="1"/>
  <c r="BS195" i="1"/>
  <c r="AV207" i="1"/>
  <c r="BJ195" i="1"/>
  <c r="BN195" i="1"/>
  <c r="BT195" i="1"/>
  <c r="BU197" i="1"/>
  <c r="BX197" i="1" s="1"/>
  <c r="BV206" i="1"/>
  <c r="BY206" i="1" s="1"/>
  <c r="BK195" i="1"/>
  <c r="BW195" i="1"/>
  <c r="BP195" i="1"/>
  <c r="BM195" i="1"/>
  <c r="BQ195" i="1"/>
  <c r="BO195" i="1"/>
  <c r="BR195" i="1"/>
  <c r="BL195" i="1"/>
  <c r="AV221" i="1"/>
  <c r="BN209" i="1"/>
  <c r="BV220" i="1"/>
  <c r="BY220" i="1" s="1"/>
  <c r="BW209" i="1"/>
  <c r="BO209" i="1"/>
  <c r="BL209" i="1"/>
  <c r="BM209" i="1"/>
  <c r="BJ209" i="1"/>
  <c r="BI209" i="1"/>
  <c r="BP209" i="1"/>
  <c r="BR209" i="1"/>
  <c r="BU211" i="1"/>
  <c r="BX211" i="1" s="1"/>
  <c r="BT209" i="1"/>
  <c r="BS209" i="1"/>
  <c r="BK209" i="1"/>
  <c r="BQ209" i="1"/>
  <c r="BP270" i="1"/>
  <c r="BQ270" i="1"/>
  <c r="BR270" i="1"/>
  <c r="BN270" i="1"/>
  <c r="AV282" i="1"/>
  <c r="BV281" i="1"/>
  <c r="BY281" i="1" s="1"/>
  <c r="BW270" i="1"/>
  <c r="BL270" i="1"/>
  <c r="BK270" i="1"/>
  <c r="BJ270" i="1"/>
  <c r="BM270" i="1"/>
  <c r="BI270" i="1"/>
  <c r="BT270" i="1"/>
  <c r="BU272" i="1"/>
  <c r="BX272" i="1" s="1"/>
  <c r="BS270" i="1"/>
  <c r="BO270" i="1"/>
  <c r="BW295" i="1"/>
  <c r="BT295" i="1"/>
  <c r="BI295" i="1"/>
  <c r="BJ295" i="1"/>
  <c r="BL295" i="1"/>
  <c r="BV306" i="1"/>
  <c r="BY306" i="1" s="1"/>
  <c r="BU297" i="1"/>
  <c r="BX297" i="1" s="1"/>
  <c r="BP295" i="1"/>
  <c r="BN295" i="1"/>
  <c r="BM295" i="1"/>
  <c r="AV307" i="1"/>
  <c r="BR295" i="1"/>
  <c r="BK295" i="1"/>
  <c r="BS295" i="1"/>
  <c r="BQ295" i="1"/>
  <c r="BO295" i="1"/>
  <c r="BJ263" i="1"/>
  <c r="BL263" i="1"/>
  <c r="BM263" i="1"/>
  <c r="BN263" i="1"/>
  <c r="BO263" i="1"/>
  <c r="BP263" i="1"/>
  <c r="BK263" i="1"/>
  <c r="BV274" i="1"/>
  <c r="BY274" i="1" s="1"/>
  <c r="BW263" i="1"/>
  <c r="AV275" i="1"/>
  <c r="BU265" i="1"/>
  <c r="BX265" i="1" s="1"/>
  <c r="BI263" i="1"/>
  <c r="BT263" i="1"/>
  <c r="BS263" i="1"/>
  <c r="BQ263" i="1"/>
  <c r="BR263" i="1"/>
  <c r="BL191" i="1"/>
  <c r="AV203" i="1"/>
  <c r="BN191" i="1"/>
  <c r="BS191" i="1"/>
  <c r="BU193" i="1"/>
  <c r="BX193" i="1" s="1"/>
  <c r="BV202" i="1"/>
  <c r="BY202" i="1" s="1"/>
  <c r="BW191" i="1"/>
  <c r="BQ191" i="1"/>
  <c r="BO191" i="1"/>
  <c r="BT191" i="1"/>
  <c r="BJ191" i="1"/>
  <c r="BP191" i="1"/>
  <c r="BM191" i="1"/>
  <c r="BI191" i="1"/>
  <c r="BK191" i="1"/>
  <c r="BR191" i="1"/>
  <c r="AV261" i="1"/>
  <c r="BN249" i="1"/>
  <c r="BU251" i="1"/>
  <c r="BX251" i="1" s="1"/>
  <c r="BV260" i="1"/>
  <c r="BY260" i="1" s="1"/>
  <c r="BO249" i="1"/>
  <c r="BW249" i="1"/>
  <c r="BK249" i="1"/>
  <c r="BL249" i="1"/>
  <c r="BM249" i="1"/>
  <c r="BI249" i="1"/>
  <c r="BP249" i="1"/>
  <c r="BS249" i="1"/>
  <c r="BQ249" i="1"/>
  <c r="BT249" i="1"/>
  <c r="BR249" i="1"/>
  <c r="BJ249" i="1"/>
  <c r="BQ143" i="1"/>
  <c r="BP143" i="1"/>
  <c r="BO143" i="1"/>
  <c r="BV154" i="1"/>
  <c r="BY154" i="1" s="1"/>
  <c r="BW143" i="1"/>
  <c r="BU145" i="1"/>
  <c r="BX145" i="1" s="1"/>
  <c r="BI143" i="1"/>
  <c r="BJ143" i="1"/>
  <c r="BK143" i="1"/>
  <c r="AV155" i="1"/>
  <c r="BR143" i="1"/>
  <c r="BT143" i="1"/>
  <c r="BN143" i="1"/>
  <c r="BM143" i="1"/>
  <c r="BS143" i="1"/>
  <c r="BL143" i="1"/>
  <c r="BP156" i="1"/>
  <c r="BV167" i="1"/>
  <c r="BY167" i="1" s="1"/>
  <c r="BW156" i="1"/>
  <c r="BU158" i="1"/>
  <c r="BX158" i="1" s="1"/>
  <c r="BR156" i="1"/>
  <c r="AV168" i="1"/>
  <c r="BQ156" i="1"/>
  <c r="BM156" i="1"/>
  <c r="BL156" i="1"/>
  <c r="BS156" i="1"/>
  <c r="BO156" i="1"/>
  <c r="BN156" i="1"/>
  <c r="BK156" i="1"/>
  <c r="BI156" i="1"/>
  <c r="BT156" i="1"/>
  <c r="BJ156" i="1"/>
  <c r="BP254" i="1"/>
  <c r="BQ254" i="1"/>
  <c r="BN254" i="1"/>
  <c r="BR254" i="1"/>
  <c r="BS254" i="1"/>
  <c r="BO254" i="1"/>
  <c r="BV265" i="1"/>
  <c r="BY265" i="1" s="1"/>
  <c r="BM254" i="1"/>
  <c r="BJ254" i="1"/>
  <c r="AV266" i="1"/>
  <c r="BU256" i="1"/>
  <c r="BX256" i="1" s="1"/>
  <c r="BK254" i="1"/>
  <c r="BL254" i="1"/>
  <c r="BT254" i="1"/>
  <c r="BI254" i="1"/>
  <c r="BW254" i="1"/>
  <c r="BK278" i="1"/>
  <c r="BM278" i="1"/>
  <c r="BN278" i="1"/>
  <c r="BL278" i="1"/>
  <c r="BI278" i="1"/>
  <c r="BJ278" i="1"/>
  <c r="BR278" i="1"/>
  <c r="AV290" i="1"/>
  <c r="BW278" i="1"/>
  <c r="BT278" i="1"/>
  <c r="BV289" i="1"/>
  <c r="BY289" i="1" s="1"/>
  <c r="BO278" i="1"/>
  <c r="BQ278" i="1"/>
  <c r="BU280" i="1"/>
  <c r="BX280" i="1" s="1"/>
  <c r="BP278" i="1"/>
  <c r="BS278" i="1"/>
  <c r="BM224" i="1"/>
  <c r="BN224" i="1"/>
  <c r="BO224" i="1"/>
  <c r="BK224" i="1"/>
  <c r="BR224" i="1"/>
  <c r="BQ224" i="1"/>
  <c r="BP224" i="1"/>
  <c r="BL224" i="1"/>
  <c r="BJ224" i="1"/>
  <c r="BV235" i="1"/>
  <c r="BY235" i="1" s="1"/>
  <c r="BT224" i="1"/>
  <c r="BI224" i="1"/>
  <c r="BU226" i="1"/>
  <c r="BX226" i="1" s="1"/>
  <c r="AV236" i="1"/>
  <c r="BW224" i="1"/>
  <c r="BS224" i="1"/>
  <c r="BS158" i="1"/>
  <c r="BI158" i="1"/>
  <c r="BT158" i="1"/>
  <c r="AV170" i="1"/>
  <c r="BW158" i="1"/>
  <c r="BU160" i="1"/>
  <c r="BX160" i="1" s="1"/>
  <c r="BV169" i="1"/>
  <c r="BY169" i="1" s="1"/>
  <c r="BR158" i="1"/>
  <c r="BQ158" i="1"/>
  <c r="BN158" i="1"/>
  <c r="BM158" i="1"/>
  <c r="BK158" i="1"/>
  <c r="BP158" i="1"/>
  <c r="BJ158" i="1"/>
  <c r="BO158" i="1"/>
  <c r="BL158" i="1"/>
  <c r="AV141" i="1"/>
  <c r="BU131" i="1"/>
  <c r="BX131" i="1" s="1"/>
  <c r="BV140" i="1"/>
  <c r="BY140" i="1" s="1"/>
  <c r="BW129" i="1"/>
  <c r="BP129" i="1"/>
  <c r="BI129" i="1"/>
  <c r="BJ129" i="1"/>
  <c r="BS129" i="1"/>
  <c r="BL129" i="1"/>
  <c r="BO129" i="1"/>
  <c r="BM129" i="1"/>
  <c r="BT129" i="1"/>
  <c r="BN129" i="1"/>
  <c r="BQ129" i="1"/>
  <c r="BR129" i="1"/>
  <c r="BK129" i="1"/>
  <c r="BP82" i="1"/>
  <c r="BQ82" i="1"/>
  <c r="BR82" i="1"/>
  <c r="BK82" i="1"/>
  <c r="BM82" i="1"/>
  <c r="AV94" i="1"/>
  <c r="BU84" i="1"/>
  <c r="BX84" i="1" s="1"/>
  <c r="BV93" i="1"/>
  <c r="BY93" i="1" s="1"/>
  <c r="BW82" i="1"/>
  <c r="BN82" i="1"/>
  <c r="BO82" i="1"/>
  <c r="BJ82" i="1"/>
  <c r="BI82" i="1"/>
  <c r="BS82" i="1"/>
  <c r="BL82" i="1"/>
  <c r="BT82" i="1"/>
  <c r="BL288" i="1"/>
  <c r="BM288" i="1"/>
  <c r="BN288" i="1"/>
  <c r="BO288" i="1"/>
  <c r="BP288" i="1"/>
  <c r="AV300" i="1"/>
  <c r="BJ288" i="1"/>
  <c r="BU290" i="1"/>
  <c r="BX290" i="1" s="1"/>
  <c r="BV299" i="1"/>
  <c r="BY299" i="1" s="1"/>
  <c r="BW288" i="1"/>
  <c r="BK288" i="1"/>
  <c r="BR288" i="1"/>
  <c r="BT288" i="1"/>
  <c r="BS288" i="1"/>
  <c r="BQ288" i="1"/>
  <c r="BI288" i="1"/>
  <c r="BI77" i="1"/>
  <c r="AV89" i="1"/>
  <c r="BS77" i="1"/>
  <c r="BL77" i="1"/>
  <c r="BT77" i="1"/>
  <c r="BO77" i="1"/>
  <c r="BJ77" i="1"/>
  <c r="BU79" i="1"/>
  <c r="BX79" i="1" s="1"/>
  <c r="BK77" i="1"/>
  <c r="BP77" i="1"/>
  <c r="BQ77" i="1"/>
  <c r="BR77" i="1"/>
  <c r="BN77" i="1"/>
  <c r="BM77" i="1"/>
  <c r="BV88" i="1"/>
  <c r="BY88" i="1" s="1"/>
  <c r="BW77" i="1"/>
  <c r="BK128" i="1"/>
  <c r="BL128" i="1"/>
  <c r="BV139" i="1"/>
  <c r="BY139" i="1" s="1"/>
  <c r="BW128" i="1"/>
  <c r="BU130" i="1"/>
  <c r="BX130" i="1" s="1"/>
  <c r="AV140" i="1"/>
  <c r="BO128" i="1"/>
  <c r="BP128" i="1"/>
  <c r="BQ128" i="1"/>
  <c r="BR128" i="1"/>
  <c r="BS128" i="1"/>
  <c r="BT128" i="1"/>
  <c r="BM128" i="1"/>
  <c r="BN128" i="1"/>
  <c r="BJ128" i="1"/>
  <c r="BI128" i="1"/>
  <c r="BM306" i="1"/>
  <c r="BI306" i="1"/>
  <c r="BN306" i="1"/>
  <c r="BU308" i="1"/>
  <c r="BX308" i="1" s="1"/>
  <c r="BO306" i="1"/>
  <c r="BR306" i="1"/>
  <c r="BQ306" i="1"/>
  <c r="BK306" i="1"/>
  <c r="BW306" i="1"/>
  <c r="BP306" i="1"/>
  <c r="BL306" i="1"/>
  <c r="BS306" i="1"/>
  <c r="BT306" i="1"/>
  <c r="BJ306" i="1"/>
  <c r="AV213" i="1"/>
  <c r="BV212" i="1"/>
  <c r="BY212" i="1" s="1"/>
  <c r="BW201" i="1"/>
  <c r="BU203" i="1"/>
  <c r="BX203" i="1" s="1"/>
  <c r="BL201" i="1"/>
  <c r="BM201" i="1"/>
  <c r="BK201" i="1"/>
  <c r="BP201" i="1"/>
  <c r="BN201" i="1"/>
  <c r="BO201" i="1"/>
  <c r="BS201" i="1"/>
  <c r="BJ201" i="1"/>
  <c r="BI201" i="1"/>
  <c r="BQ201" i="1"/>
  <c r="BT201" i="1"/>
  <c r="BR201" i="1"/>
  <c r="BK116" i="1"/>
  <c r="BJ116" i="1"/>
  <c r="AV128" i="1"/>
  <c r="BV127" i="1"/>
  <c r="BY127" i="1" s="1"/>
  <c r="BW116" i="1"/>
  <c r="BU118" i="1"/>
  <c r="BX118" i="1" s="1"/>
  <c r="BT116" i="1"/>
  <c r="BI116" i="1"/>
  <c r="BR116" i="1"/>
  <c r="BP116" i="1"/>
  <c r="BN116" i="1"/>
  <c r="BO116" i="1"/>
  <c r="BS116" i="1"/>
  <c r="BL116" i="1"/>
  <c r="BM116" i="1"/>
  <c r="BQ116" i="1"/>
  <c r="BI216" i="1"/>
  <c r="BT216" i="1"/>
  <c r="AV228" i="1"/>
  <c r="BW216" i="1"/>
  <c r="BV227" i="1"/>
  <c r="BY227" i="1" s="1"/>
  <c r="BU218" i="1"/>
  <c r="BX218" i="1" s="1"/>
  <c r="BM216" i="1"/>
  <c r="BO216" i="1"/>
  <c r="BP216" i="1"/>
  <c r="BN216" i="1"/>
  <c r="BJ216" i="1"/>
  <c r="BS216" i="1"/>
  <c r="BL216" i="1"/>
  <c r="BQ216" i="1"/>
  <c r="BR216" i="1"/>
  <c r="BK216" i="1"/>
  <c r="BL227" i="1"/>
  <c r="BM227" i="1"/>
  <c r="BP227" i="1"/>
  <c r="BS227" i="1"/>
  <c r="BT227" i="1"/>
  <c r="BQ227" i="1"/>
  <c r="BR227" i="1"/>
  <c r="BI227" i="1"/>
  <c r="BJ227" i="1"/>
  <c r="BW227" i="1"/>
  <c r="BO227" i="1"/>
  <c r="BV238" i="1"/>
  <c r="BY238" i="1" s="1"/>
  <c r="BN227" i="1"/>
  <c r="BK227" i="1"/>
  <c r="AV239" i="1"/>
  <c r="BU229" i="1"/>
  <c r="BX229" i="1" s="1"/>
  <c r="AV180" i="1"/>
  <c r="BU170" i="1"/>
  <c r="BX170" i="1" s="1"/>
  <c r="BW168" i="1"/>
  <c r="BN168" i="1"/>
  <c r="BS168" i="1"/>
  <c r="BT168" i="1"/>
  <c r="BL168" i="1"/>
  <c r="BK168" i="1"/>
  <c r="BI168" i="1"/>
  <c r="BM168" i="1"/>
  <c r="BQ168" i="1"/>
  <c r="BV179" i="1"/>
  <c r="BY179" i="1" s="1"/>
  <c r="BJ168" i="1"/>
  <c r="BP168" i="1"/>
  <c r="BR168" i="1"/>
  <c r="BO168" i="1"/>
  <c r="BS307" i="1"/>
  <c r="BJ307" i="1"/>
  <c r="BI307" i="1"/>
  <c r="BU309" i="1"/>
  <c r="BX309" i="1" s="1"/>
  <c r="BR307" i="1"/>
  <c r="BQ307" i="1"/>
  <c r="BT307" i="1"/>
  <c r="BP307" i="1"/>
  <c r="BO307" i="1"/>
  <c r="BW307" i="1"/>
  <c r="BN307" i="1"/>
  <c r="BM307" i="1"/>
  <c r="BL307" i="1"/>
  <c r="BK307" i="1"/>
  <c r="BU122" i="1"/>
  <c r="BX122" i="1" s="1"/>
  <c r="BK120" i="1"/>
  <c r="BL120" i="1"/>
  <c r="BM120" i="1"/>
  <c r="BN120" i="1"/>
  <c r="BO120" i="1"/>
  <c r="BP120" i="1"/>
  <c r="BW120" i="1"/>
  <c r="AV132" i="1"/>
  <c r="BV131" i="1"/>
  <c r="BY131" i="1" s="1"/>
  <c r="BS120" i="1"/>
  <c r="BQ120" i="1"/>
  <c r="BI120" i="1"/>
  <c r="BR120" i="1"/>
  <c r="BJ120" i="1"/>
  <c r="BT120" i="1"/>
  <c r="BW170" i="1"/>
  <c r="BO170" i="1"/>
  <c r="BU172" i="1"/>
  <c r="BX172" i="1" s="1"/>
  <c r="BN170" i="1"/>
  <c r="BP170" i="1"/>
  <c r="BQ170" i="1"/>
  <c r="BR170" i="1"/>
  <c r="BM170" i="1"/>
  <c r="BS170" i="1"/>
  <c r="BT170" i="1"/>
  <c r="AV182" i="1"/>
  <c r="BV181" i="1"/>
  <c r="BY181" i="1" s="1"/>
  <c r="BL170" i="1"/>
  <c r="BK170" i="1"/>
  <c r="BJ170" i="1"/>
  <c r="BI170" i="1"/>
  <c r="BL69" i="1"/>
  <c r="BT69" i="1"/>
  <c r="AV81" i="1"/>
  <c r="BV80" i="1"/>
  <c r="BY80" i="1" s="1"/>
  <c r="BW69" i="1"/>
  <c r="BU71" i="1"/>
  <c r="BX71" i="1" s="1"/>
  <c r="BI69" i="1"/>
  <c r="BK69" i="1"/>
  <c r="BN69" i="1"/>
  <c r="BM69" i="1"/>
  <c r="BJ69" i="1"/>
  <c r="BR69" i="1"/>
  <c r="BO69" i="1"/>
  <c r="BP69" i="1"/>
  <c r="BS69" i="1"/>
  <c r="BQ69" i="1"/>
  <c r="BO176" i="1"/>
  <c r="BP176" i="1"/>
  <c r="AV188" i="1"/>
  <c r="BU178" i="1"/>
  <c r="BX178" i="1" s="1"/>
  <c r="BW176" i="1"/>
  <c r="BQ176" i="1"/>
  <c r="BK176" i="1"/>
  <c r="BR176" i="1"/>
  <c r="BV187" i="1"/>
  <c r="BY187" i="1" s="1"/>
  <c r="BN176" i="1"/>
  <c r="BJ176" i="1"/>
  <c r="BT176" i="1"/>
  <c r="BM176" i="1"/>
  <c r="BL176" i="1"/>
  <c r="BI176" i="1"/>
  <c r="BS176" i="1"/>
  <c r="BP277" i="1"/>
  <c r="BT277" i="1"/>
  <c r="BR277" i="1"/>
  <c r="BS277" i="1"/>
  <c r="BL277" i="1"/>
  <c r="BI277" i="1"/>
  <c r="BJ277" i="1"/>
  <c r="BK277" i="1"/>
  <c r="AV289" i="1"/>
  <c r="BU279" i="1"/>
  <c r="BX279" i="1" s="1"/>
  <c r="BV288" i="1"/>
  <c r="BY288" i="1" s="1"/>
  <c r="BW277" i="1"/>
  <c r="BM277" i="1"/>
  <c r="BN277" i="1"/>
  <c r="BO277" i="1"/>
  <c r="BQ277" i="1"/>
  <c r="BQ234" i="1"/>
  <c r="BR234" i="1"/>
  <c r="BT234" i="1"/>
  <c r="BP234" i="1"/>
  <c r="BJ234" i="1"/>
  <c r="AV246" i="1"/>
  <c r="BM234" i="1"/>
  <c r="BU236" i="1"/>
  <c r="BX236" i="1" s="1"/>
  <c r="BV245" i="1"/>
  <c r="BY245" i="1" s="1"/>
  <c r="BN234" i="1"/>
  <c r="BK234" i="1"/>
  <c r="BW234" i="1"/>
  <c r="BI234" i="1"/>
  <c r="BS234" i="1"/>
  <c r="BL234" i="1"/>
  <c r="BO234" i="1"/>
  <c r="AV296" i="1"/>
  <c r="BL284" i="1"/>
  <c r="BS284" i="1"/>
  <c r="BP284" i="1"/>
  <c r="BJ284" i="1"/>
  <c r="BR284" i="1"/>
  <c r="BT284" i="1"/>
  <c r="BK284" i="1"/>
  <c r="BO284" i="1"/>
  <c r="BQ284" i="1"/>
  <c r="BI284" i="1"/>
  <c r="BU286" i="1"/>
  <c r="BX286" i="1" s="1"/>
  <c r="BN284" i="1"/>
  <c r="BW284" i="1"/>
  <c r="BV295" i="1"/>
  <c r="BY295" i="1" s="1"/>
  <c r="BM284" i="1"/>
  <c r="BI62" i="1"/>
  <c r="BJ62" i="1"/>
  <c r="BR62" i="1"/>
  <c r="BK62" i="1"/>
  <c r="BL62" i="1"/>
  <c r="BT62" i="1"/>
  <c r="BN62" i="1"/>
  <c r="BP62" i="1"/>
  <c r="AV74" i="1"/>
  <c r="BS62" i="1"/>
  <c r="BO62" i="1"/>
  <c r="BM62" i="1"/>
  <c r="BU64" i="1"/>
  <c r="BX64" i="1" s="1"/>
  <c r="BV73" i="1"/>
  <c r="BY73" i="1" s="1"/>
  <c r="BW62" i="1"/>
  <c r="BQ62" i="1"/>
  <c r="BI154" i="1"/>
  <c r="BK154" i="1"/>
  <c r="BJ154" i="1"/>
  <c r="AV166" i="1"/>
  <c r="BL154" i="1"/>
  <c r="BO154" i="1"/>
  <c r="BT154" i="1"/>
  <c r="BS154" i="1"/>
  <c r="BM154" i="1"/>
  <c r="BQ154" i="1"/>
  <c r="BP154" i="1"/>
  <c r="BR154" i="1"/>
  <c r="BN154" i="1"/>
  <c r="BW154" i="1"/>
  <c r="BU156" i="1"/>
  <c r="BX156" i="1" s="1"/>
  <c r="BV165" i="1"/>
  <c r="BY165" i="1" s="1"/>
  <c r="AV71" i="1"/>
  <c r="BP59" i="1"/>
  <c r="BW59" i="1"/>
  <c r="BO59" i="1"/>
  <c r="BV70" i="1"/>
  <c r="BY70" i="1" s="1"/>
  <c r="BU61" i="1"/>
  <c r="BX61" i="1" s="1"/>
  <c r="BT59" i="1"/>
  <c r="BN59" i="1"/>
  <c r="BM59" i="1"/>
  <c r="BJ59" i="1"/>
  <c r="BI59" i="1"/>
  <c r="BL59" i="1"/>
  <c r="BQ59" i="1"/>
  <c r="BK59" i="1"/>
  <c r="BS59" i="1"/>
  <c r="BR59" i="1"/>
  <c r="BP172" i="1"/>
  <c r="BU174" i="1"/>
  <c r="BX174" i="1" s="1"/>
  <c r="BW172" i="1"/>
  <c r="BV183" i="1"/>
  <c r="BY183" i="1" s="1"/>
  <c r="BM172" i="1"/>
  <c r="AV184" i="1"/>
  <c r="BO172" i="1"/>
  <c r="BT172" i="1"/>
  <c r="BK172" i="1"/>
  <c r="BJ172" i="1"/>
  <c r="BI172" i="1"/>
  <c r="BL172" i="1"/>
  <c r="BS172" i="1"/>
  <c r="BR172" i="1"/>
  <c r="BN172" i="1"/>
  <c r="BQ172" i="1"/>
  <c r="AV73" i="1"/>
  <c r="BV72" i="1"/>
  <c r="BY72" i="1" s="1"/>
  <c r="BU63" i="1"/>
  <c r="BX63" i="1" s="1"/>
  <c r="BK61" i="1"/>
  <c r="BL61" i="1"/>
  <c r="BT61" i="1"/>
  <c r="BI61" i="1"/>
  <c r="BW61" i="1"/>
  <c r="BQ61" i="1"/>
  <c r="BJ61" i="1"/>
  <c r="BS61" i="1"/>
  <c r="BM61" i="1"/>
  <c r="BP61" i="1"/>
  <c r="BR61" i="1"/>
  <c r="BN61" i="1"/>
  <c r="BO61" i="1"/>
  <c r="AV214" i="1"/>
  <c r="BV213" i="1"/>
  <c r="BY213" i="1" s="1"/>
  <c r="BU204" i="1"/>
  <c r="BX204" i="1" s="1"/>
  <c r="BW202" i="1"/>
  <c r="BM202" i="1"/>
  <c r="BI202" i="1"/>
  <c r="BO202" i="1"/>
  <c r="BJ202" i="1"/>
  <c r="BP202" i="1"/>
  <c r="BN202" i="1"/>
  <c r="BK202" i="1"/>
  <c r="BR202" i="1"/>
  <c r="BT202" i="1"/>
  <c r="BL202" i="1"/>
  <c r="BS202" i="1"/>
  <c r="BQ202" i="1"/>
  <c r="BV223" i="1"/>
  <c r="BY223" i="1" s="1"/>
  <c r="BL212" i="1"/>
  <c r="BN212" i="1"/>
  <c r="BI212" i="1"/>
  <c r="BJ212" i="1"/>
  <c r="BM212" i="1"/>
  <c r="BK212" i="1"/>
  <c r="BU214" i="1"/>
  <c r="BX214" i="1" s="1"/>
  <c r="BT212" i="1"/>
  <c r="AV224" i="1"/>
  <c r="BW212" i="1"/>
  <c r="BQ212" i="1"/>
  <c r="BS212" i="1"/>
  <c r="BO212" i="1"/>
  <c r="BP212" i="1"/>
  <c r="BR212" i="1"/>
  <c r="AV79" i="1"/>
  <c r="BU69" i="1"/>
  <c r="BX69" i="1" s="1"/>
  <c r="BV78" i="1"/>
  <c r="BY78" i="1" s="1"/>
  <c r="BW67" i="1"/>
  <c r="BI67" i="1"/>
  <c r="BJ67" i="1"/>
  <c r="BK67" i="1"/>
  <c r="BL67" i="1"/>
  <c r="BN67" i="1"/>
  <c r="BM67" i="1"/>
  <c r="BQ67" i="1"/>
  <c r="BP67" i="1"/>
  <c r="BT67" i="1"/>
  <c r="BR67" i="1"/>
  <c r="BS67" i="1"/>
  <c r="BO67" i="1"/>
  <c r="BR299" i="1"/>
  <c r="BL299" i="1"/>
  <c r="BN299" i="1"/>
  <c r="BI299" i="1"/>
  <c r="AV311" i="1"/>
  <c r="BK299" i="1"/>
  <c r="BV310" i="1"/>
  <c r="BY310" i="1" s="1"/>
  <c r="BW299" i="1"/>
  <c r="BM299" i="1"/>
  <c r="BS299" i="1"/>
  <c r="BQ299" i="1"/>
  <c r="BJ299" i="1"/>
  <c r="BU301" i="1"/>
  <c r="BX301" i="1" s="1"/>
  <c r="BP299" i="1"/>
  <c r="BT299" i="1"/>
  <c r="BO299" i="1"/>
  <c r="AV95" i="1"/>
  <c r="BU85" i="1"/>
  <c r="BX85" i="1" s="1"/>
  <c r="BV94" i="1"/>
  <c r="BY94" i="1" s="1"/>
  <c r="BW83" i="1"/>
  <c r="BI83" i="1"/>
  <c r="BJ83" i="1"/>
  <c r="BK83" i="1"/>
  <c r="BL83" i="1"/>
  <c r="BN83" i="1"/>
  <c r="BS83" i="1"/>
  <c r="BT83" i="1"/>
  <c r="BP83" i="1"/>
  <c r="BM83" i="1"/>
  <c r="BR83" i="1"/>
  <c r="BQ83" i="1"/>
  <c r="BO83" i="1"/>
  <c r="BU58" i="1"/>
  <c r="BX58" i="1" s="1"/>
  <c r="AV68" i="1"/>
  <c r="BW56" i="1"/>
  <c r="BS56" i="1"/>
  <c r="BN56" i="1"/>
  <c r="BK56" i="1"/>
  <c r="BO56" i="1"/>
  <c r="BI56" i="1"/>
  <c r="BT56" i="1"/>
  <c r="BQ56" i="1"/>
  <c r="BP56" i="1"/>
  <c r="BR56" i="1"/>
  <c r="BJ56" i="1"/>
  <c r="BM56" i="1"/>
  <c r="BL56" i="1"/>
  <c r="BV67" i="1"/>
  <c r="BY67" i="1" s="1"/>
  <c r="BP203" i="1"/>
  <c r="AV215" i="1"/>
  <c r="BN203" i="1"/>
  <c r="BO203" i="1"/>
  <c r="BM203" i="1"/>
  <c r="BK203" i="1"/>
  <c r="BI203" i="1"/>
  <c r="BL203" i="1"/>
  <c r="BJ203" i="1"/>
  <c r="BU205" i="1"/>
  <c r="BX205" i="1" s="1"/>
  <c r="BW203" i="1"/>
  <c r="BV214" i="1"/>
  <c r="BY214" i="1" s="1"/>
  <c r="BQ203" i="1"/>
  <c r="BT203" i="1"/>
  <c r="BR203" i="1"/>
  <c r="BS203" i="1"/>
  <c r="BW311" i="1"/>
  <c r="BT311" i="1"/>
  <c r="BQ311" i="1"/>
  <c r="BS311" i="1"/>
  <c r="BN311" i="1"/>
  <c r="BM311" i="1"/>
  <c r="BP311" i="1"/>
  <c r="BJ311" i="1"/>
  <c r="BK311" i="1"/>
  <c r="BO311" i="1"/>
  <c r="BI311" i="1"/>
  <c r="BR311" i="1"/>
  <c r="BL311" i="1"/>
  <c r="BK127" i="1"/>
  <c r="BU129" i="1"/>
  <c r="BX129" i="1" s="1"/>
  <c r="BV138" i="1"/>
  <c r="BY138" i="1" s="1"/>
  <c r="BI127" i="1"/>
  <c r="BL127" i="1"/>
  <c r="BM127" i="1"/>
  <c r="BN127" i="1"/>
  <c r="AV139" i="1"/>
  <c r="BW127" i="1"/>
  <c r="BT127" i="1"/>
  <c r="BO127" i="1"/>
  <c r="BJ127" i="1"/>
  <c r="BR127" i="1"/>
  <c r="BP127" i="1"/>
  <c r="BS127" i="1"/>
  <c r="BQ127" i="1"/>
  <c r="BW103" i="1"/>
  <c r="BU105" i="1"/>
  <c r="BX105" i="1" s="1"/>
  <c r="BV114" i="1"/>
  <c r="BY114" i="1" s="1"/>
  <c r="BI103" i="1"/>
  <c r="BJ103" i="1"/>
  <c r="BK103" i="1"/>
  <c r="BN103" i="1"/>
  <c r="AV115" i="1"/>
  <c r="BP103" i="1"/>
  <c r="BL103" i="1"/>
  <c r="BO103" i="1"/>
  <c r="BM103" i="1"/>
  <c r="BT103" i="1"/>
  <c r="BQ103" i="1"/>
  <c r="BS103" i="1"/>
  <c r="BR103" i="1"/>
  <c r="AV234" i="1"/>
  <c r="BU224" i="1"/>
  <c r="BX224" i="1" s="1"/>
  <c r="BV233" i="1"/>
  <c r="BY233" i="1" s="1"/>
  <c r="BO222" i="1"/>
  <c r="BW222" i="1"/>
  <c r="BN222" i="1"/>
  <c r="BK222" i="1"/>
  <c r="BP222" i="1"/>
  <c r="BR222" i="1"/>
  <c r="BT222" i="1"/>
  <c r="BM222" i="1"/>
  <c r="BL222" i="1"/>
  <c r="BS222" i="1"/>
  <c r="BJ222" i="1"/>
  <c r="BQ222" i="1"/>
  <c r="BI222" i="1"/>
  <c r="AV301" i="1"/>
  <c r="BN289" i="1"/>
  <c r="BM289" i="1"/>
  <c r="BL289" i="1"/>
  <c r="BQ289" i="1"/>
  <c r="BT289" i="1"/>
  <c r="BK289" i="1"/>
  <c r="BO289" i="1"/>
  <c r="BP289" i="1"/>
  <c r="BR289" i="1"/>
  <c r="BS289" i="1"/>
  <c r="BI289" i="1"/>
  <c r="BJ289" i="1"/>
  <c r="BU291" i="1"/>
  <c r="BX291" i="1" s="1"/>
  <c r="BV300" i="1"/>
  <c r="BY300" i="1" s="1"/>
  <c r="BW289" i="1"/>
  <c r="BW58" i="1"/>
  <c r="AV70" i="1"/>
  <c r="BS58" i="1"/>
  <c r="BQ58" i="1"/>
  <c r="BP58" i="1"/>
  <c r="BO58" i="1"/>
  <c r="BL58" i="1"/>
  <c r="BI58" i="1"/>
  <c r="BR58" i="1"/>
  <c r="BM58" i="1"/>
  <c r="BJ58" i="1"/>
  <c r="BN58" i="1"/>
  <c r="BT58" i="1"/>
  <c r="BK58" i="1"/>
  <c r="BV69" i="1"/>
  <c r="BY69" i="1" s="1"/>
  <c r="BU60" i="1"/>
  <c r="BX60" i="1" s="1"/>
  <c r="AV107" i="1"/>
  <c r="BW95" i="1"/>
  <c r="BU97" i="1"/>
  <c r="BX97" i="1" s="1"/>
  <c r="BV106" i="1"/>
  <c r="BY106" i="1" s="1"/>
  <c r="BI95" i="1"/>
  <c r="BS95" i="1"/>
  <c r="BT95" i="1"/>
  <c r="BN95" i="1"/>
  <c r="BR95" i="1"/>
  <c r="BJ95" i="1"/>
  <c r="BQ95" i="1"/>
  <c r="BL95" i="1"/>
  <c r="BP95" i="1"/>
  <c r="BK95" i="1"/>
  <c r="BO95" i="1"/>
  <c r="BM95" i="1"/>
  <c r="AV102" i="1"/>
  <c r="BU92" i="1"/>
  <c r="BX92" i="1" s="1"/>
  <c r="BV101" i="1"/>
  <c r="BY101" i="1" s="1"/>
  <c r="BW90" i="1"/>
  <c r="BT90" i="1"/>
  <c r="BM90" i="1"/>
  <c r="BQ90" i="1"/>
  <c r="BN90" i="1"/>
  <c r="BK90" i="1"/>
  <c r="BP90" i="1"/>
  <c r="BR90" i="1"/>
  <c r="BJ90" i="1"/>
  <c r="BL90" i="1"/>
  <c r="BS90" i="1"/>
  <c r="BI90" i="1"/>
  <c r="BO90" i="1"/>
  <c r="BR153" i="1"/>
  <c r="BQ153" i="1"/>
  <c r="BP153" i="1"/>
  <c r="BS153" i="1"/>
  <c r="AV165" i="1"/>
  <c r="BU155" i="1"/>
  <c r="BX155" i="1" s="1"/>
  <c r="BV164" i="1"/>
  <c r="BY164" i="1" s="1"/>
  <c r="BW153" i="1"/>
  <c r="BI153" i="1"/>
  <c r="BK153" i="1"/>
  <c r="BL153" i="1"/>
  <c r="BN153" i="1"/>
  <c r="BO153" i="1"/>
  <c r="BM153" i="1"/>
  <c r="BT153" i="1"/>
  <c r="BJ153" i="1"/>
  <c r="BV224" i="1"/>
  <c r="BY224" i="1" s="1"/>
  <c r="BW213" i="1"/>
  <c r="BU215" i="1"/>
  <c r="BX215" i="1" s="1"/>
  <c r="BI213" i="1"/>
  <c r="BM213" i="1"/>
  <c r="BP213" i="1"/>
  <c r="BN213" i="1"/>
  <c r="BJ213" i="1"/>
  <c r="BL213" i="1"/>
  <c r="AV225" i="1"/>
  <c r="BK213" i="1"/>
  <c r="BO213" i="1"/>
  <c r="BT213" i="1"/>
  <c r="BQ213" i="1"/>
  <c r="BR213" i="1"/>
  <c r="BS213" i="1"/>
  <c r="BU123" i="1"/>
  <c r="BX123" i="1" s="1"/>
  <c r="BV132" i="1"/>
  <c r="BY132" i="1" s="1"/>
  <c r="BW121" i="1"/>
  <c r="BI121" i="1"/>
  <c r="BJ121" i="1"/>
  <c r="BK121" i="1"/>
  <c r="BT121" i="1"/>
  <c r="BM121" i="1"/>
  <c r="AV133" i="1"/>
  <c r="BL121" i="1"/>
  <c r="BO121" i="1"/>
  <c r="BR121" i="1"/>
  <c r="BQ121" i="1"/>
  <c r="BS121" i="1"/>
  <c r="BP121" i="1"/>
  <c r="BN121" i="1"/>
  <c r="BL165" i="1"/>
  <c r="BI165" i="1"/>
  <c r="BK165" i="1"/>
  <c r="BM165" i="1"/>
  <c r="BN165" i="1"/>
  <c r="BO165" i="1"/>
  <c r="BP165" i="1"/>
  <c r="BT165" i="1"/>
  <c r="BJ165" i="1"/>
  <c r="BQ165" i="1"/>
  <c r="BR165" i="1"/>
  <c r="AV177" i="1"/>
  <c r="BU167" i="1"/>
  <c r="BX167" i="1" s="1"/>
  <c r="BW165" i="1"/>
  <c r="BV176" i="1"/>
  <c r="BY176" i="1" s="1"/>
  <c r="BS165" i="1"/>
  <c r="BI157" i="1"/>
  <c r="AV169" i="1"/>
  <c r="BP157" i="1"/>
  <c r="BT157" i="1"/>
  <c r="BU159" i="1"/>
  <c r="BX159" i="1" s="1"/>
  <c r="BR157" i="1"/>
  <c r="BV168" i="1"/>
  <c r="BY168" i="1" s="1"/>
  <c r="BW157" i="1"/>
  <c r="BS157" i="1"/>
  <c r="BQ157" i="1"/>
  <c r="BO157" i="1"/>
  <c r="BK157" i="1"/>
  <c r="BJ157" i="1"/>
  <c r="BL157" i="1"/>
  <c r="BM157" i="1"/>
  <c r="BN157" i="1"/>
  <c r="AV129" i="1"/>
  <c r="BU119" i="1"/>
  <c r="BX119" i="1" s="1"/>
  <c r="BV128" i="1"/>
  <c r="BY128" i="1" s="1"/>
  <c r="BW117" i="1"/>
  <c r="BI117" i="1"/>
  <c r="BN117" i="1"/>
  <c r="BK117" i="1"/>
  <c r="BO117" i="1"/>
  <c r="BL117" i="1"/>
  <c r="BM117" i="1"/>
  <c r="BR117" i="1"/>
  <c r="BS117" i="1"/>
  <c r="BJ117" i="1"/>
  <c r="BT117" i="1"/>
  <c r="BP117" i="1"/>
  <c r="BQ117" i="1"/>
  <c r="BW250" i="1"/>
  <c r="BN250" i="1"/>
  <c r="BP250" i="1"/>
  <c r="BR250" i="1"/>
  <c r="BM250" i="1"/>
  <c r="BS250" i="1"/>
  <c r="BQ250" i="1"/>
  <c r="AV262" i="1"/>
  <c r="BT250" i="1"/>
  <c r="BU252" i="1"/>
  <c r="BX252" i="1" s="1"/>
  <c r="BV261" i="1"/>
  <c r="BY261" i="1" s="1"/>
  <c r="BO250" i="1"/>
  <c r="BL250" i="1"/>
  <c r="BJ250" i="1"/>
  <c r="BI250" i="1"/>
  <c r="BK250" i="1"/>
  <c r="BT66" i="1"/>
  <c r="AV78" i="1"/>
  <c r="BU68" i="1"/>
  <c r="BX68" i="1" s="1"/>
  <c r="BV77" i="1"/>
  <c r="BY77" i="1" s="1"/>
  <c r="BW66" i="1"/>
  <c r="BM66" i="1"/>
  <c r="BO66" i="1"/>
  <c r="BQ66" i="1"/>
  <c r="BR66" i="1"/>
  <c r="BS66" i="1"/>
  <c r="BN66" i="1"/>
  <c r="BL66" i="1"/>
  <c r="BJ66" i="1"/>
  <c r="BK66" i="1"/>
  <c r="BI66" i="1"/>
  <c r="BP66" i="1"/>
  <c r="AV82" i="1"/>
  <c r="BU72" i="1"/>
  <c r="BX72" i="1" s="1"/>
  <c r="BK70" i="1"/>
  <c r="BV81" i="1"/>
  <c r="BY81" i="1" s="1"/>
  <c r="BW70" i="1"/>
  <c r="BQ70" i="1"/>
  <c r="BJ70" i="1"/>
  <c r="BL70" i="1"/>
  <c r="BP70" i="1"/>
  <c r="BM70" i="1"/>
  <c r="BI70" i="1"/>
  <c r="BR70" i="1"/>
  <c r="BT70" i="1"/>
  <c r="BO70" i="1"/>
  <c r="BN70" i="1"/>
  <c r="BS70" i="1"/>
  <c r="BR274" i="1"/>
  <c r="BS274" i="1"/>
  <c r="BO274" i="1"/>
  <c r="BQ274" i="1"/>
  <c r="BP274" i="1"/>
  <c r="BW274" i="1"/>
  <c r="BU276" i="1"/>
  <c r="BX276" i="1" s="1"/>
  <c r="BJ274" i="1"/>
  <c r="BK274" i="1"/>
  <c r="BI274" i="1"/>
  <c r="BL274" i="1"/>
  <c r="BM274" i="1"/>
  <c r="BN274" i="1"/>
  <c r="BV285" i="1"/>
  <c r="BY285" i="1" s="1"/>
  <c r="AV286" i="1"/>
  <c r="BT274" i="1"/>
  <c r="BR182" i="1"/>
  <c r="BP182" i="1"/>
  <c r="BT182" i="1"/>
  <c r="BO182" i="1"/>
  <c r="BS182" i="1"/>
  <c r="BQ182" i="1"/>
  <c r="BN182" i="1"/>
  <c r="BV193" i="1"/>
  <c r="BY193" i="1" s="1"/>
  <c r="BW182" i="1"/>
  <c r="BI182" i="1"/>
  <c r="BK182" i="1"/>
  <c r="BU184" i="1"/>
  <c r="BX184" i="1" s="1"/>
  <c r="AV194" i="1"/>
  <c r="BL182" i="1"/>
  <c r="BM182" i="1"/>
  <c r="BJ182" i="1"/>
  <c r="BS206" i="1"/>
  <c r="AV218" i="1"/>
  <c r="BV217" i="1"/>
  <c r="BY217" i="1" s="1"/>
  <c r="BU208" i="1"/>
  <c r="BX208" i="1" s="1"/>
  <c r="BW206" i="1"/>
  <c r="BQ206" i="1"/>
  <c r="BT206" i="1"/>
  <c r="BI206" i="1"/>
  <c r="BJ206" i="1"/>
  <c r="BR206" i="1"/>
  <c r="BM206" i="1"/>
  <c r="BO206" i="1"/>
  <c r="BN206" i="1"/>
  <c r="BK206" i="1"/>
  <c r="BP206" i="1"/>
  <c r="BL206" i="1"/>
  <c r="AV101" i="1"/>
  <c r="BV100" i="1"/>
  <c r="BY100" i="1" s="1"/>
  <c r="BW89" i="1"/>
  <c r="BU91" i="1"/>
  <c r="BX91" i="1" s="1"/>
  <c r="BK89" i="1"/>
  <c r="BL89" i="1"/>
  <c r="BN89" i="1"/>
  <c r="BI89" i="1"/>
  <c r="BJ89" i="1"/>
  <c r="BT89" i="1"/>
  <c r="BR89" i="1"/>
  <c r="BP89" i="1"/>
  <c r="BO89" i="1"/>
  <c r="BS89" i="1"/>
  <c r="BM89" i="1"/>
  <c r="BQ89" i="1"/>
  <c r="AV119" i="1"/>
  <c r="BQ107" i="1"/>
  <c r="BP107" i="1"/>
  <c r="BW107" i="1"/>
  <c r="BU109" i="1"/>
  <c r="BX109" i="1" s="1"/>
  <c r="BV118" i="1"/>
  <c r="BY118" i="1" s="1"/>
  <c r="BI107" i="1"/>
  <c r="BN107" i="1"/>
  <c r="BL107" i="1"/>
  <c r="BO107" i="1"/>
  <c r="BK107" i="1"/>
  <c r="BM107" i="1"/>
  <c r="BR107" i="1"/>
  <c r="BT107" i="1"/>
  <c r="BJ107" i="1"/>
  <c r="BS107" i="1"/>
  <c r="BP166" i="1"/>
  <c r="BT166" i="1"/>
  <c r="BI166" i="1"/>
  <c r="BL166" i="1"/>
  <c r="BU168" i="1"/>
  <c r="BX168" i="1" s="1"/>
  <c r="BV177" i="1"/>
  <c r="BY177" i="1" s="1"/>
  <c r="BO166" i="1"/>
  <c r="BN166" i="1"/>
  <c r="BJ166" i="1"/>
  <c r="BS166" i="1"/>
  <c r="BK166" i="1"/>
  <c r="BW166" i="1"/>
  <c r="BM166" i="1"/>
  <c r="BQ166" i="1"/>
  <c r="AV178" i="1"/>
  <c r="BR166" i="1"/>
  <c r="AV72" i="1"/>
  <c r="BT60" i="1"/>
  <c r="BS60" i="1"/>
  <c r="BW60" i="1"/>
  <c r="BU62" i="1"/>
  <c r="BX62" i="1" s="1"/>
  <c r="BV71" i="1"/>
  <c r="BY71" i="1" s="1"/>
  <c r="BQ60" i="1"/>
  <c r="BL60" i="1"/>
  <c r="BM60" i="1"/>
  <c r="BN60" i="1"/>
  <c r="BR60" i="1"/>
  <c r="BP60" i="1"/>
  <c r="BJ60" i="1"/>
  <c r="BO60" i="1"/>
  <c r="BK60" i="1"/>
  <c r="BI60" i="1"/>
  <c r="BU302" i="1"/>
  <c r="BX302" i="1" s="1"/>
  <c r="BW300" i="1"/>
  <c r="BJ300" i="1"/>
  <c r="BK300" i="1"/>
  <c r="BV311" i="1"/>
  <c r="BY311" i="1" s="1"/>
  <c r="AV312" i="1"/>
  <c r="BI300" i="1"/>
  <c r="BQ300" i="1"/>
  <c r="BR300" i="1"/>
  <c r="BM300" i="1"/>
  <c r="BN300" i="1"/>
  <c r="BL300" i="1"/>
  <c r="BT300" i="1"/>
  <c r="BP300" i="1"/>
  <c r="BS300" i="1"/>
  <c r="BO300" i="1"/>
  <c r="BU176" i="1"/>
  <c r="BX176" i="1" s="1"/>
  <c r="BI174" i="1"/>
  <c r="BJ174" i="1"/>
  <c r="AV186" i="1"/>
  <c r="BT174" i="1"/>
  <c r="BV185" i="1"/>
  <c r="BY185" i="1" s="1"/>
  <c r="BW174" i="1"/>
  <c r="BO174" i="1"/>
  <c r="BS174" i="1"/>
  <c r="BL174" i="1"/>
  <c r="BM174" i="1"/>
  <c r="BQ174" i="1"/>
  <c r="BN174" i="1"/>
  <c r="BK174" i="1"/>
  <c r="BP174" i="1"/>
  <c r="BR174" i="1"/>
  <c r="BM260" i="1"/>
  <c r="BS260" i="1"/>
  <c r="BL260" i="1"/>
  <c r="BO260" i="1"/>
  <c r="BI260" i="1"/>
  <c r="BJ260" i="1"/>
  <c r="BQ260" i="1"/>
  <c r="BK260" i="1"/>
  <c r="BT260" i="1"/>
  <c r="AV272" i="1"/>
  <c r="BN260" i="1"/>
  <c r="BV271" i="1"/>
  <c r="BY271" i="1" s="1"/>
  <c r="BU262" i="1"/>
  <c r="BX262" i="1" s="1"/>
  <c r="BW260" i="1"/>
  <c r="BR260" i="1"/>
  <c r="BP260" i="1"/>
  <c r="BJ138" i="1"/>
  <c r="BK138" i="1"/>
  <c r="BM138" i="1"/>
  <c r="BN138" i="1"/>
  <c r="BO138" i="1"/>
  <c r="BI138" i="1"/>
  <c r="BU140" i="1"/>
  <c r="BX140" i="1" s="1"/>
  <c r="BV149" i="1"/>
  <c r="BY149" i="1" s="1"/>
  <c r="BS138" i="1"/>
  <c r="BQ138" i="1"/>
  <c r="BP138" i="1"/>
  <c r="AV150" i="1"/>
  <c r="BT138" i="1"/>
  <c r="BR138" i="1"/>
  <c r="BW138" i="1"/>
  <c r="BL138" i="1"/>
  <c r="BJ141" i="1"/>
  <c r="BU143" i="1"/>
  <c r="BX143" i="1" s="1"/>
  <c r="BV152" i="1"/>
  <c r="BY152" i="1" s="1"/>
  <c r="BW141" i="1"/>
  <c r="BI141" i="1"/>
  <c r="BT141" i="1"/>
  <c r="AV153" i="1"/>
  <c r="BM141" i="1"/>
  <c r="BN141" i="1"/>
  <c r="BK141" i="1"/>
  <c r="BL141" i="1"/>
  <c r="BO141" i="1"/>
  <c r="BS141" i="1"/>
  <c r="BQ141" i="1"/>
  <c r="BR141" i="1"/>
  <c r="BP141" i="1"/>
  <c r="BS232" i="1"/>
  <c r="BK232" i="1"/>
  <c r="BR232" i="1"/>
  <c r="BW232" i="1"/>
  <c r="BP232" i="1"/>
  <c r="BM232" i="1"/>
  <c r="BU234" i="1"/>
  <c r="BX234" i="1" s="1"/>
  <c r="BQ232" i="1"/>
  <c r="BO232" i="1"/>
  <c r="BT232" i="1"/>
  <c r="BI232" i="1"/>
  <c r="BL232" i="1"/>
  <c r="BJ232" i="1"/>
  <c r="AV244" i="1"/>
  <c r="BV243" i="1"/>
  <c r="BY243" i="1" s="1"/>
  <c r="BN232" i="1"/>
  <c r="BO188" i="1"/>
  <c r="AV200" i="1"/>
  <c r="BV199" i="1"/>
  <c r="BY199" i="1" s="1"/>
  <c r="BI188" i="1"/>
  <c r="BT188" i="1"/>
  <c r="BM188" i="1"/>
  <c r="BN188" i="1"/>
  <c r="BL188" i="1"/>
  <c r="BK188" i="1"/>
  <c r="BJ188" i="1"/>
  <c r="BP188" i="1"/>
  <c r="BU190" i="1"/>
  <c r="BX190" i="1" s="1"/>
  <c r="BS188" i="1"/>
  <c r="BW188" i="1"/>
  <c r="BQ188" i="1"/>
  <c r="BR188" i="1"/>
  <c r="BJ136" i="1"/>
  <c r="BQ136" i="1"/>
  <c r="AV148" i="1"/>
  <c r="BT136" i="1"/>
  <c r="BV147" i="1"/>
  <c r="BY147" i="1" s="1"/>
  <c r="BW136" i="1"/>
  <c r="BU138" i="1"/>
  <c r="BX138" i="1" s="1"/>
  <c r="BK136" i="1"/>
  <c r="BL136" i="1"/>
  <c r="BM136" i="1"/>
  <c r="BS136" i="1"/>
  <c r="BN136" i="1"/>
  <c r="BR136" i="1"/>
  <c r="BI136" i="1"/>
  <c r="BP136" i="1"/>
  <c r="BO136" i="1"/>
  <c r="BV117" i="1"/>
  <c r="BY117" i="1" s="1"/>
  <c r="BW106" i="1"/>
  <c r="BM106" i="1"/>
  <c r="BR106" i="1"/>
  <c r="BS106" i="1"/>
  <c r="BT106" i="1"/>
  <c r="AV118" i="1"/>
  <c r="BU108" i="1"/>
  <c r="BX108" i="1" s="1"/>
  <c r="BL106" i="1"/>
  <c r="BP106" i="1"/>
  <c r="BI106" i="1"/>
  <c r="BK106" i="1"/>
  <c r="BJ106" i="1"/>
  <c r="BQ106" i="1"/>
  <c r="BO106" i="1"/>
  <c r="BN106" i="1"/>
  <c r="BI196" i="1"/>
  <c r="BS196" i="1"/>
  <c r="BT196" i="1"/>
  <c r="BV207" i="1"/>
  <c r="BY207" i="1" s="1"/>
  <c r="BJ196" i="1"/>
  <c r="BK196" i="1"/>
  <c r="BP196" i="1"/>
  <c r="BN196" i="1"/>
  <c r="BQ196" i="1"/>
  <c r="BR196" i="1"/>
  <c r="BO196" i="1"/>
  <c r="BU198" i="1"/>
  <c r="BX198" i="1" s="1"/>
  <c r="BM196" i="1"/>
  <c r="AV208" i="1"/>
  <c r="BL196" i="1"/>
  <c r="BW196" i="1"/>
  <c r="BO218" i="1"/>
  <c r="AV230" i="1"/>
  <c r="BU220" i="1"/>
  <c r="BX220" i="1" s="1"/>
  <c r="BV229" i="1"/>
  <c r="BY229" i="1" s="1"/>
  <c r="BW218" i="1"/>
  <c r="BN218" i="1"/>
  <c r="BM218" i="1"/>
  <c r="BI218" i="1"/>
  <c r="BJ218" i="1"/>
  <c r="BK218" i="1"/>
  <c r="BL218" i="1"/>
  <c r="BP218" i="1"/>
  <c r="BS218" i="1"/>
  <c r="BR218" i="1"/>
  <c r="BQ218" i="1"/>
  <c r="BT218" i="1"/>
  <c r="BJ267" i="1"/>
  <c r="BL267" i="1"/>
  <c r="BM267" i="1"/>
  <c r="BN267" i="1"/>
  <c r="BW267" i="1"/>
  <c r="BU269" i="1"/>
  <c r="BX269" i="1" s="1"/>
  <c r="BV278" i="1"/>
  <c r="BY278" i="1" s="1"/>
  <c r="BO267" i="1"/>
  <c r="BP267" i="1"/>
  <c r="AV279" i="1"/>
  <c r="BR267" i="1"/>
  <c r="BT267" i="1"/>
  <c r="BS267" i="1"/>
  <c r="BK267" i="1"/>
  <c r="BQ267" i="1"/>
  <c r="BI267" i="1"/>
  <c r="BO189" i="1"/>
  <c r="AV201" i="1"/>
  <c r="BJ189" i="1"/>
  <c r="BW189" i="1"/>
  <c r="BV200" i="1"/>
  <c r="BY200" i="1" s="1"/>
  <c r="BT189" i="1"/>
  <c r="BS189" i="1"/>
  <c r="BU191" i="1"/>
  <c r="BX191" i="1" s="1"/>
  <c r="BK189" i="1"/>
  <c r="BQ189" i="1"/>
  <c r="BN189" i="1"/>
  <c r="BP189" i="1"/>
  <c r="BI189" i="1"/>
  <c r="BL189" i="1"/>
  <c r="BM189" i="1"/>
  <c r="BR189" i="1"/>
  <c r="BT164" i="1"/>
  <c r="BS164" i="1"/>
  <c r="AV176" i="1"/>
  <c r="BU166" i="1"/>
  <c r="BX166" i="1" s="1"/>
  <c r="BV175" i="1"/>
  <c r="BY175" i="1" s="1"/>
  <c r="BW164" i="1"/>
  <c r="BJ164" i="1"/>
  <c r="BI164" i="1"/>
  <c r="BL164" i="1"/>
  <c r="BR164" i="1"/>
  <c r="BP164" i="1"/>
  <c r="BN164" i="1"/>
  <c r="BQ164" i="1"/>
  <c r="BK164" i="1"/>
  <c r="BM164" i="1"/>
  <c r="BO164" i="1"/>
  <c r="BJ286" i="1"/>
  <c r="BK286" i="1"/>
  <c r="BS286" i="1"/>
  <c r="BT286" i="1"/>
  <c r="BU288" i="1"/>
  <c r="BX288" i="1" s="1"/>
  <c r="BP286" i="1"/>
  <c r="BV297" i="1"/>
  <c r="BY297" i="1" s="1"/>
  <c r="BO286" i="1"/>
  <c r="BL286" i="1"/>
  <c r="BR286" i="1"/>
  <c r="BM286" i="1"/>
  <c r="BN286" i="1"/>
  <c r="BQ286" i="1"/>
  <c r="BI286" i="1"/>
  <c r="AV298" i="1"/>
  <c r="BW286" i="1"/>
  <c r="BV232" i="1"/>
  <c r="BY232" i="1" s="1"/>
  <c r="BW221" i="1"/>
  <c r="BI221" i="1"/>
  <c r="BL221" i="1"/>
  <c r="BK221" i="1"/>
  <c r="BO221" i="1"/>
  <c r="BP221" i="1"/>
  <c r="BR221" i="1"/>
  <c r="AV233" i="1"/>
  <c r="BU223" i="1"/>
  <c r="BX223" i="1" s="1"/>
  <c r="BS221" i="1"/>
  <c r="BQ221" i="1"/>
  <c r="BJ221" i="1"/>
  <c r="BT221" i="1"/>
  <c r="BN221" i="1"/>
  <c r="BM221" i="1"/>
  <c r="AV222" i="1"/>
  <c r="BP210" i="1"/>
  <c r="BW210" i="1"/>
  <c r="BR210" i="1"/>
  <c r="BI210" i="1"/>
  <c r="BS210" i="1"/>
  <c r="BN210" i="1"/>
  <c r="BL210" i="1"/>
  <c r="BJ210" i="1"/>
  <c r="BT210" i="1"/>
  <c r="BV221" i="1"/>
  <c r="BY221" i="1" s="1"/>
  <c r="BU212" i="1"/>
  <c r="BX212" i="1" s="1"/>
  <c r="BQ210" i="1"/>
  <c r="BK210" i="1"/>
  <c r="BM210" i="1"/>
  <c r="BO210" i="1"/>
  <c r="BR257" i="1"/>
  <c r="BU259" i="1"/>
  <c r="BX259" i="1" s="1"/>
  <c r="BV268" i="1"/>
  <c r="BY268" i="1" s="1"/>
  <c r="BS257" i="1"/>
  <c r="BP257" i="1"/>
  <c r="BQ257" i="1"/>
  <c r="BI257" i="1"/>
  <c r="BW257" i="1"/>
  <c r="AV269" i="1"/>
  <c r="BT257" i="1"/>
  <c r="BN257" i="1"/>
  <c r="BK257" i="1"/>
  <c r="BO257" i="1"/>
  <c r="BL257" i="1"/>
  <c r="BJ257" i="1"/>
  <c r="BM257" i="1"/>
  <c r="BP162" i="1"/>
  <c r="BS162" i="1"/>
  <c r="BT162" i="1"/>
  <c r="AV174" i="1"/>
  <c r="BQ162" i="1"/>
  <c r="BW162" i="1"/>
  <c r="BU164" i="1"/>
  <c r="BX164" i="1" s="1"/>
  <c r="BV173" i="1"/>
  <c r="BY173" i="1" s="1"/>
  <c r="BM162" i="1"/>
  <c r="BO162" i="1"/>
  <c r="BN162" i="1"/>
  <c r="BK162" i="1"/>
  <c r="BJ162" i="1"/>
  <c r="BR162" i="1"/>
  <c r="BL162" i="1"/>
  <c r="BI162" i="1"/>
  <c r="BM269" i="1"/>
  <c r="BN269" i="1"/>
  <c r="AV281" i="1"/>
  <c r="BO269" i="1"/>
  <c r="BP269" i="1"/>
  <c r="BT269" i="1"/>
  <c r="BQ269" i="1"/>
  <c r="BR269" i="1"/>
  <c r="BS269" i="1"/>
  <c r="BL269" i="1"/>
  <c r="BU271" i="1"/>
  <c r="BX271" i="1" s="1"/>
  <c r="BK269" i="1"/>
  <c r="BJ269" i="1"/>
  <c r="BV280" i="1"/>
  <c r="BY280" i="1" s="1"/>
  <c r="BW269" i="1"/>
  <c r="BI269" i="1"/>
  <c r="AV126" i="1"/>
  <c r="BU116" i="1"/>
  <c r="BX116" i="1" s="1"/>
  <c r="BV125" i="1"/>
  <c r="BY125" i="1" s="1"/>
  <c r="BW114" i="1"/>
  <c r="BJ114" i="1"/>
  <c r="BK114" i="1"/>
  <c r="BL114" i="1"/>
  <c r="BM114" i="1"/>
  <c r="BN114" i="1"/>
  <c r="BO114" i="1"/>
  <c r="BQ114" i="1"/>
  <c r="BR114" i="1"/>
  <c r="BS114" i="1"/>
  <c r="BT114" i="1"/>
  <c r="BP114" i="1"/>
  <c r="BI114" i="1"/>
  <c r="BT183" i="1"/>
  <c r="BR183" i="1"/>
  <c r="BQ183" i="1"/>
  <c r="BS183" i="1"/>
  <c r="BV194" i="1"/>
  <c r="BY194" i="1" s="1"/>
  <c r="BU185" i="1"/>
  <c r="BX185" i="1" s="1"/>
  <c r="BP183" i="1"/>
  <c r="BW183" i="1"/>
  <c r="AV195" i="1"/>
  <c r="BK183" i="1"/>
  <c r="BL183" i="1"/>
  <c r="BM183" i="1"/>
  <c r="BI183" i="1"/>
  <c r="BN183" i="1"/>
  <c r="BJ183" i="1"/>
  <c r="BO183" i="1"/>
  <c r="BO111" i="1"/>
  <c r="AV123" i="1"/>
  <c r="BW111" i="1"/>
  <c r="BU113" i="1"/>
  <c r="BX113" i="1" s="1"/>
  <c r="BV122" i="1"/>
  <c r="BY122" i="1" s="1"/>
  <c r="BI111" i="1"/>
  <c r="BJ111" i="1"/>
  <c r="BM111" i="1"/>
  <c r="BT111" i="1"/>
  <c r="BL111" i="1"/>
  <c r="BS111" i="1"/>
  <c r="BK111" i="1"/>
  <c r="BQ111" i="1"/>
  <c r="BP111" i="1"/>
  <c r="BN111" i="1"/>
  <c r="BR111" i="1"/>
  <c r="BM256" i="1"/>
  <c r="BP256" i="1"/>
  <c r="BN256" i="1"/>
  <c r="BQ256" i="1"/>
  <c r="BS256" i="1"/>
  <c r="BT256" i="1"/>
  <c r="BR256" i="1"/>
  <c r="BO256" i="1"/>
  <c r="AV268" i="1"/>
  <c r="BV267" i="1"/>
  <c r="BY267" i="1" s="1"/>
  <c r="BK256" i="1"/>
  <c r="BL256" i="1"/>
  <c r="BI256" i="1"/>
  <c r="BU258" i="1"/>
  <c r="BX258" i="1" s="1"/>
  <c r="BJ256" i="1"/>
  <c r="BW256" i="1"/>
  <c r="BM63" i="1"/>
  <c r="BL63" i="1"/>
  <c r="BJ63" i="1"/>
  <c r="BN63" i="1"/>
  <c r="BO63" i="1"/>
  <c r="BT63" i="1"/>
  <c r="BK63" i="1"/>
  <c r="BS63" i="1"/>
  <c r="BR63" i="1"/>
  <c r="BP63" i="1"/>
  <c r="BQ63" i="1"/>
  <c r="AV75" i="1"/>
  <c r="BU65" i="1"/>
  <c r="BX65" i="1" s="1"/>
  <c r="BV74" i="1"/>
  <c r="BY74" i="1" s="1"/>
  <c r="BW63" i="1"/>
  <c r="BI63" i="1"/>
  <c r="BQ262" i="1"/>
  <c r="BJ262" i="1"/>
  <c r="BT262" i="1"/>
  <c r="BK262" i="1"/>
  <c r="BS262" i="1"/>
  <c r="BP262" i="1"/>
  <c r="BI262" i="1"/>
  <c r="BR262" i="1"/>
  <c r="BV273" i="1"/>
  <c r="BY273" i="1" s="1"/>
  <c r="BO262" i="1"/>
  <c r="AV274" i="1"/>
  <c r="BL262" i="1"/>
  <c r="BU264" i="1"/>
  <c r="BX264" i="1" s="1"/>
  <c r="BW262" i="1"/>
  <c r="BM262" i="1"/>
  <c r="BN262" i="1"/>
  <c r="BI251" i="1"/>
  <c r="BM251" i="1"/>
  <c r="BS251" i="1"/>
  <c r="BT251" i="1"/>
  <c r="BO251" i="1"/>
  <c r="BQ251" i="1"/>
  <c r="BR251" i="1"/>
  <c r="BV262" i="1"/>
  <c r="BY262" i="1" s="1"/>
  <c r="BU253" i="1"/>
  <c r="BX253" i="1" s="1"/>
  <c r="BP251" i="1"/>
  <c r="BK251" i="1"/>
  <c r="BL251" i="1"/>
  <c r="BN251" i="1"/>
  <c r="BJ251" i="1"/>
  <c r="AV263" i="1"/>
  <c r="BW251" i="1"/>
  <c r="BW124" i="1"/>
  <c r="BU126" i="1"/>
  <c r="BX126" i="1" s="1"/>
  <c r="BM124" i="1"/>
  <c r="BK124" i="1"/>
  <c r="BL124" i="1"/>
  <c r="BQ124" i="1"/>
  <c r="BR124" i="1"/>
  <c r="BT124" i="1"/>
  <c r="AV136" i="1"/>
  <c r="BV135" i="1"/>
  <c r="BY135" i="1" s="1"/>
  <c r="BS124" i="1"/>
  <c r="BO124" i="1"/>
  <c r="BP124" i="1"/>
  <c r="BN124" i="1"/>
  <c r="BI124" i="1"/>
  <c r="BJ124" i="1"/>
  <c r="BL296" i="1"/>
  <c r="BV307" i="1"/>
  <c r="BY307" i="1" s="1"/>
  <c r="BN296" i="1"/>
  <c r="BM296" i="1"/>
  <c r="BI296" i="1"/>
  <c r="AV308" i="1"/>
  <c r="BU298" i="1"/>
  <c r="BX298" i="1" s="1"/>
  <c r="BW296" i="1"/>
  <c r="BJ296" i="1"/>
  <c r="BK296" i="1"/>
  <c r="BO296" i="1"/>
  <c r="BP296" i="1"/>
  <c r="BS296" i="1"/>
  <c r="BT296" i="1"/>
  <c r="BQ296" i="1"/>
  <c r="BR296" i="1"/>
  <c r="BQ273" i="1"/>
  <c r="BS273" i="1"/>
  <c r="BT273" i="1"/>
  <c r="BV284" i="1"/>
  <c r="BY284" i="1" s="1"/>
  <c r="BW273" i="1"/>
  <c r="BN273" i="1"/>
  <c r="AV285" i="1"/>
  <c r="BR273" i="1"/>
  <c r="BI273" i="1"/>
  <c r="BU275" i="1"/>
  <c r="BX275" i="1" s="1"/>
  <c r="BO273" i="1"/>
  <c r="BP273" i="1"/>
  <c r="BM273" i="1"/>
  <c r="BK273" i="1"/>
  <c r="BJ273" i="1"/>
  <c r="BL273" i="1"/>
  <c r="BQ248" i="1"/>
  <c r="AV260" i="1"/>
  <c r="BV259" i="1"/>
  <c r="BY259" i="1" s="1"/>
  <c r="BP248" i="1"/>
  <c r="BN248" i="1"/>
  <c r="BL248" i="1"/>
  <c r="BR248" i="1"/>
  <c r="BJ248" i="1"/>
  <c r="BI248" i="1"/>
  <c r="BW248" i="1"/>
  <c r="BK248" i="1"/>
  <c r="BO248" i="1"/>
  <c r="BS248" i="1"/>
  <c r="BT248" i="1"/>
  <c r="BU250" i="1"/>
  <c r="BX250" i="1" s="1"/>
  <c r="BM248" i="1"/>
  <c r="BK237" i="1"/>
  <c r="AV249" i="1"/>
  <c r="BI237" i="1"/>
  <c r="BL237" i="1"/>
  <c r="BJ237" i="1"/>
  <c r="BW237" i="1"/>
  <c r="BT237" i="1"/>
  <c r="BN237" i="1"/>
  <c r="BR237" i="1"/>
  <c r="BM237" i="1"/>
  <c r="BO237" i="1"/>
  <c r="BQ237" i="1"/>
  <c r="BP237" i="1"/>
  <c r="BS237" i="1"/>
  <c r="BV248" i="1"/>
  <c r="BY248" i="1" s="1"/>
  <c r="BU239" i="1"/>
  <c r="BX239" i="1" s="1"/>
  <c r="AV231" i="1"/>
  <c r="BK219" i="1"/>
  <c r="BQ219" i="1"/>
  <c r="BS219" i="1"/>
  <c r="BR219" i="1"/>
  <c r="BN219" i="1"/>
  <c r="BL219" i="1"/>
  <c r="BW219" i="1"/>
  <c r="BM219" i="1"/>
  <c r="BV230" i="1"/>
  <c r="BY230" i="1" s="1"/>
  <c r="BJ219" i="1"/>
  <c r="BP219" i="1"/>
  <c r="BU221" i="1"/>
  <c r="BX221" i="1" s="1"/>
  <c r="BT219" i="1"/>
  <c r="BO219" i="1"/>
  <c r="BI219" i="1"/>
  <c r="BT160" i="1"/>
  <c r="BJ160" i="1"/>
  <c r="BI160" i="1"/>
  <c r="BL160" i="1"/>
  <c r="BK160" i="1"/>
  <c r="BN160" i="1"/>
  <c r="BM160" i="1"/>
  <c r="BV171" i="1"/>
  <c r="BY171" i="1" s="1"/>
  <c r="BW160" i="1"/>
  <c r="BQ160" i="1"/>
  <c r="BS160" i="1"/>
  <c r="BP160" i="1"/>
  <c r="BO160" i="1"/>
  <c r="BR160" i="1"/>
  <c r="AV172" i="1"/>
  <c r="BU162" i="1"/>
  <c r="BX162" i="1" s="1"/>
  <c r="BI126" i="1"/>
  <c r="BN126" i="1"/>
  <c r="BT126" i="1"/>
  <c r="BM126" i="1"/>
  <c r="BP126" i="1"/>
  <c r="BS126" i="1"/>
  <c r="BQ126" i="1"/>
  <c r="BO126" i="1"/>
  <c r="BR126" i="1"/>
  <c r="BK126" i="1"/>
  <c r="BL126" i="1"/>
  <c r="AV138" i="1"/>
  <c r="BU128" i="1"/>
  <c r="BX128" i="1" s="1"/>
  <c r="BV137" i="1"/>
  <c r="BY137" i="1" s="1"/>
  <c r="BW126" i="1"/>
  <c r="BJ126" i="1"/>
  <c r="BT279" i="1"/>
  <c r="BN279" i="1"/>
  <c r="BP279" i="1"/>
  <c r="BR279" i="1"/>
  <c r="BS279" i="1"/>
  <c r="BJ279" i="1"/>
  <c r="BI279" i="1"/>
  <c r="BK279" i="1"/>
  <c r="BL279" i="1"/>
  <c r="BU281" i="1"/>
  <c r="BX281" i="1" s="1"/>
  <c r="AV291" i="1"/>
  <c r="BQ279" i="1"/>
  <c r="BV290" i="1"/>
  <c r="BY290" i="1" s="1"/>
  <c r="BW279" i="1"/>
  <c r="BM279" i="1"/>
  <c r="BO279" i="1"/>
  <c r="BQ229" i="1"/>
  <c r="AV241" i="1"/>
  <c r="BV240" i="1"/>
  <c r="BY240" i="1" s="1"/>
  <c r="BW229" i="1"/>
  <c r="BM229" i="1"/>
  <c r="BU231" i="1"/>
  <c r="BX231" i="1" s="1"/>
  <c r="BO229" i="1"/>
  <c r="BN229" i="1"/>
  <c r="BS229" i="1"/>
  <c r="BP229" i="1"/>
  <c r="BL229" i="1"/>
  <c r="BR229" i="1"/>
  <c r="BI229" i="1"/>
  <c r="BK229" i="1"/>
  <c r="BJ229" i="1"/>
  <c r="BT229" i="1"/>
  <c r="AV280" i="1"/>
  <c r="BM268" i="1"/>
  <c r="BO268" i="1"/>
  <c r="BR268" i="1"/>
  <c r="BT268" i="1"/>
  <c r="BS268" i="1"/>
  <c r="BP268" i="1"/>
  <c r="BN268" i="1"/>
  <c r="BJ268" i="1"/>
  <c r="BI268" i="1"/>
  <c r="BQ268" i="1"/>
  <c r="BK268" i="1"/>
  <c r="BV279" i="1"/>
  <c r="BY279" i="1" s="1"/>
  <c r="BW268" i="1"/>
  <c r="BU270" i="1"/>
  <c r="BX270" i="1" s="1"/>
  <c r="BL268" i="1"/>
  <c r="AV145" i="1"/>
  <c r="BU135" i="1"/>
  <c r="BX135" i="1" s="1"/>
  <c r="BV144" i="1"/>
  <c r="BY144" i="1" s="1"/>
  <c r="BW133" i="1"/>
  <c r="BI133" i="1"/>
  <c r="BM133" i="1"/>
  <c r="BL133" i="1"/>
  <c r="BR133" i="1"/>
  <c r="BT133" i="1"/>
  <c r="BQ133" i="1"/>
  <c r="BK133" i="1"/>
  <c r="BS133" i="1"/>
  <c r="BO133" i="1"/>
  <c r="BJ133" i="1"/>
  <c r="BP133" i="1"/>
  <c r="BN133" i="1"/>
  <c r="BS240" i="1"/>
  <c r="BN240" i="1"/>
  <c r="BK240" i="1"/>
  <c r="BL240" i="1"/>
  <c r="BR240" i="1"/>
  <c r="BP240" i="1"/>
  <c r="BM240" i="1"/>
  <c r="BI240" i="1"/>
  <c r="BU242" i="1"/>
  <c r="BX242" i="1" s="1"/>
  <c r="BQ240" i="1"/>
  <c r="AV252" i="1"/>
  <c r="BV251" i="1"/>
  <c r="BY251" i="1" s="1"/>
  <c r="BW240" i="1"/>
  <c r="BT240" i="1"/>
  <c r="BO240" i="1"/>
  <c r="BJ240" i="1"/>
  <c r="BM252" i="1"/>
  <c r="BQ252" i="1"/>
  <c r="AV264" i="1"/>
  <c r="BR252" i="1"/>
  <c r="BS252" i="1"/>
  <c r="BP252" i="1"/>
  <c r="BW252" i="1"/>
  <c r="BT252" i="1"/>
  <c r="BN252" i="1"/>
  <c r="BU254" i="1"/>
  <c r="BX254" i="1" s="1"/>
  <c r="BO252" i="1"/>
  <c r="BV263" i="1"/>
  <c r="BY263" i="1" s="1"/>
  <c r="BJ252" i="1"/>
  <c r="BK252" i="1"/>
  <c r="BL252" i="1"/>
  <c r="BI252" i="1"/>
  <c r="AV191" i="1"/>
  <c r="BV190" i="1"/>
  <c r="BY190" i="1" s="1"/>
  <c r="BU181" i="1"/>
  <c r="BX181" i="1" s="1"/>
  <c r="BW179" i="1"/>
  <c r="BP179" i="1"/>
  <c r="BQ179" i="1"/>
  <c r="BL179" i="1"/>
  <c r="BI179" i="1"/>
  <c r="BJ179" i="1"/>
  <c r="BN179" i="1"/>
  <c r="BM179" i="1"/>
  <c r="BS179" i="1"/>
  <c r="BT179" i="1"/>
  <c r="BR179" i="1"/>
  <c r="BO179" i="1"/>
  <c r="BK179" i="1"/>
  <c r="BK200" i="1"/>
  <c r="BL200" i="1"/>
  <c r="BI200" i="1"/>
  <c r="BJ200" i="1"/>
  <c r="BM200" i="1"/>
  <c r="BU202" i="1"/>
  <c r="BX202" i="1" s="1"/>
  <c r="BN200" i="1"/>
  <c r="BV211" i="1"/>
  <c r="BY211" i="1" s="1"/>
  <c r="BT200" i="1"/>
  <c r="AV212" i="1"/>
  <c r="BW200" i="1"/>
  <c r="BP200" i="1"/>
  <c r="BQ200" i="1"/>
  <c r="BO200" i="1"/>
  <c r="BS200" i="1"/>
  <c r="BR200" i="1"/>
  <c r="AV131" i="1"/>
  <c r="BN119" i="1"/>
  <c r="BS119" i="1"/>
  <c r="BT119" i="1"/>
  <c r="BK119" i="1"/>
  <c r="BW119" i="1"/>
  <c r="BU121" i="1"/>
  <c r="BX121" i="1" s="1"/>
  <c r="BV130" i="1"/>
  <c r="BY130" i="1" s="1"/>
  <c r="BI119" i="1"/>
  <c r="BJ119" i="1"/>
  <c r="BM119" i="1"/>
  <c r="BQ119" i="1"/>
  <c r="BL119" i="1"/>
  <c r="BO119" i="1"/>
  <c r="BR119" i="1"/>
  <c r="BP119" i="1"/>
  <c r="BO147" i="1"/>
  <c r="BK147" i="1"/>
  <c r="AV159" i="1"/>
  <c r="BN147" i="1"/>
  <c r="BP147" i="1"/>
  <c r="BV158" i="1"/>
  <c r="BY158" i="1" s="1"/>
  <c r="BW147" i="1"/>
  <c r="BU149" i="1"/>
  <c r="BX149" i="1" s="1"/>
  <c r="BI147" i="1"/>
  <c r="BL147" i="1"/>
  <c r="BM147" i="1"/>
  <c r="BJ147" i="1"/>
  <c r="BS147" i="1"/>
  <c r="BT147" i="1"/>
  <c r="BR147" i="1"/>
  <c r="BQ147" i="1"/>
  <c r="BJ75" i="1"/>
  <c r="AV87" i="1"/>
  <c r="BR75" i="1"/>
  <c r="BU77" i="1"/>
  <c r="BX77" i="1" s="1"/>
  <c r="BV86" i="1"/>
  <c r="BY86" i="1" s="1"/>
  <c r="BO75" i="1"/>
  <c r="BW75" i="1"/>
  <c r="BK75" i="1"/>
  <c r="BL75" i="1"/>
  <c r="BI75" i="1"/>
  <c r="BT75" i="1"/>
  <c r="BQ75" i="1"/>
  <c r="BS75" i="1"/>
  <c r="BP75" i="1"/>
  <c r="BM75" i="1"/>
  <c r="BN75" i="1"/>
  <c r="BM217" i="1"/>
  <c r="BJ217" i="1"/>
  <c r="AV229" i="1"/>
  <c r="BV228" i="1"/>
  <c r="BY228" i="1" s="1"/>
  <c r="BW217" i="1"/>
  <c r="BP217" i="1"/>
  <c r="BU219" i="1"/>
  <c r="BX219" i="1" s="1"/>
  <c r="BI217" i="1"/>
  <c r="BK217" i="1"/>
  <c r="BL217" i="1"/>
  <c r="BS217" i="1"/>
  <c r="BR217" i="1"/>
  <c r="BO217" i="1"/>
  <c r="BQ217" i="1"/>
  <c r="BT217" i="1"/>
  <c r="BN217" i="1"/>
  <c r="BJ255" i="1"/>
  <c r="BK255" i="1"/>
  <c r="BI255" i="1"/>
  <c r="BO255" i="1"/>
  <c r="BP255" i="1"/>
  <c r="BR255" i="1"/>
  <c r="BT255" i="1"/>
  <c r="BS255" i="1"/>
  <c r="BQ255" i="1"/>
  <c r="BW255" i="1"/>
  <c r="BU257" i="1"/>
  <c r="BX257" i="1" s="1"/>
  <c r="BV266" i="1"/>
  <c r="BY266" i="1" s="1"/>
  <c r="BN255" i="1"/>
  <c r="AV267" i="1"/>
  <c r="BM255" i="1"/>
  <c r="BL255" i="1"/>
  <c r="BV162" i="1"/>
  <c r="BY162" i="1" s="1"/>
  <c r="BW151" i="1"/>
  <c r="BU153" i="1"/>
  <c r="BX153" i="1" s="1"/>
  <c r="BN151" i="1"/>
  <c r="BO151" i="1"/>
  <c r="BI151" i="1"/>
  <c r="AV163" i="1"/>
  <c r="BM151" i="1"/>
  <c r="BP151" i="1"/>
  <c r="BQ151" i="1"/>
  <c r="BR151" i="1"/>
  <c r="BT151" i="1"/>
  <c r="BJ151" i="1"/>
  <c r="BK151" i="1"/>
  <c r="BS151" i="1"/>
  <c r="BL151" i="1"/>
  <c r="BL207" i="1"/>
  <c r="BO207" i="1"/>
  <c r="BI207" i="1"/>
  <c r="BJ207" i="1"/>
  <c r="BK207" i="1"/>
  <c r="BP207" i="1"/>
  <c r="BT207" i="1"/>
  <c r="BS207" i="1"/>
  <c r="BQ207" i="1"/>
  <c r="AV219" i="1"/>
  <c r="BM207" i="1"/>
  <c r="BU209" i="1"/>
  <c r="BX209" i="1" s="1"/>
  <c r="BV218" i="1"/>
  <c r="BY218" i="1" s="1"/>
  <c r="BW207" i="1"/>
  <c r="BR207" i="1"/>
  <c r="BN207" i="1"/>
  <c r="AV179" i="1"/>
  <c r="BO167" i="1"/>
  <c r="BJ167" i="1"/>
  <c r="BK167" i="1"/>
  <c r="BI167" i="1"/>
  <c r="BN167" i="1"/>
  <c r="BL167" i="1"/>
  <c r="BP167" i="1"/>
  <c r="BV178" i="1"/>
  <c r="BY178" i="1" s="1"/>
  <c r="BR167" i="1"/>
  <c r="BQ167" i="1"/>
  <c r="BW167" i="1"/>
  <c r="BU169" i="1"/>
  <c r="BX169" i="1" s="1"/>
  <c r="BM167" i="1"/>
  <c r="BS167" i="1"/>
  <c r="BT167" i="1"/>
  <c r="BI159" i="1"/>
  <c r="BU161" i="1"/>
  <c r="BX161" i="1" s="1"/>
  <c r="BK159" i="1"/>
  <c r="BJ159" i="1"/>
  <c r="BT159" i="1"/>
  <c r="AV171" i="1"/>
  <c r="BV170" i="1"/>
  <c r="BY170" i="1" s="1"/>
  <c r="BZ170" i="1" s="1"/>
  <c r="CA170" i="1" s="1"/>
  <c r="BW159" i="1"/>
  <c r="BS159" i="1"/>
  <c r="BO159" i="1"/>
  <c r="BM159" i="1"/>
  <c r="BN159" i="1"/>
  <c r="BL159" i="1"/>
  <c r="BR159" i="1"/>
  <c r="BQ159" i="1"/>
  <c r="BP159" i="1"/>
  <c r="BJ163" i="1"/>
  <c r="BI163" i="1"/>
  <c r="BL163" i="1"/>
  <c r="BM163" i="1"/>
  <c r="BN163" i="1"/>
  <c r="BO163" i="1"/>
  <c r="BK163" i="1"/>
  <c r="BP163" i="1"/>
  <c r="BQ163" i="1"/>
  <c r="BS163" i="1"/>
  <c r="BT163" i="1"/>
  <c r="AV175" i="1"/>
  <c r="BV174" i="1"/>
  <c r="BY174" i="1" s="1"/>
  <c r="BW163" i="1"/>
  <c r="BU165" i="1"/>
  <c r="BX165" i="1" s="1"/>
  <c r="BR163" i="1"/>
  <c r="BO180" i="1"/>
  <c r="BQ180" i="1"/>
  <c r="BP180" i="1"/>
  <c r="BI180" i="1"/>
  <c r="BK180" i="1"/>
  <c r="BR180" i="1"/>
  <c r="BV191" i="1"/>
  <c r="BY191" i="1" s="1"/>
  <c r="BS180" i="1"/>
  <c r="BT180" i="1"/>
  <c r="BM180" i="1"/>
  <c r="BJ180" i="1"/>
  <c r="AV192" i="1"/>
  <c r="BN180" i="1"/>
  <c r="BU182" i="1"/>
  <c r="BX182" i="1" s="1"/>
  <c r="BW180" i="1"/>
  <c r="BL180" i="1"/>
  <c r="BO169" i="1"/>
  <c r="BK169" i="1"/>
  <c r="BJ169" i="1"/>
  <c r="AV181" i="1"/>
  <c r="BU171" i="1"/>
  <c r="BX171" i="1" s="1"/>
  <c r="BW169" i="1"/>
  <c r="BV180" i="1"/>
  <c r="BY180" i="1" s="1"/>
  <c r="BI169" i="1"/>
  <c r="BL169" i="1"/>
  <c r="BM169" i="1"/>
  <c r="BN169" i="1"/>
  <c r="BP169" i="1"/>
  <c r="BQ169" i="1"/>
  <c r="BT169" i="1"/>
  <c r="BR169" i="1"/>
  <c r="BS169" i="1"/>
  <c r="AV88" i="1"/>
  <c r="BT76" i="1"/>
  <c r="BW76" i="1"/>
  <c r="BU78" i="1"/>
  <c r="BX78" i="1" s="1"/>
  <c r="BS76" i="1"/>
  <c r="BV87" i="1"/>
  <c r="BY87" i="1" s="1"/>
  <c r="BQ76" i="1"/>
  <c r="BN76" i="1"/>
  <c r="BR76" i="1"/>
  <c r="BM76" i="1"/>
  <c r="BK76" i="1"/>
  <c r="BL76" i="1"/>
  <c r="BO76" i="1"/>
  <c r="BI76" i="1"/>
  <c r="BJ76" i="1"/>
  <c r="BP76" i="1"/>
  <c r="BW112" i="1"/>
  <c r="BU114" i="1"/>
  <c r="BX114" i="1" s="1"/>
  <c r="BR112" i="1"/>
  <c r="BS112" i="1"/>
  <c r="AV124" i="1"/>
  <c r="BV123" i="1"/>
  <c r="BY123" i="1" s="1"/>
  <c r="BI112" i="1"/>
  <c r="BO112" i="1"/>
  <c r="BJ112" i="1"/>
  <c r="BT112" i="1"/>
  <c r="BL112" i="1"/>
  <c r="BN112" i="1"/>
  <c r="BK112" i="1"/>
  <c r="BQ112" i="1"/>
  <c r="BM112" i="1"/>
  <c r="BP112" i="1"/>
  <c r="BM184" i="1"/>
  <c r="BT184" i="1"/>
  <c r="BS184" i="1"/>
  <c r="BR184" i="1"/>
  <c r="BU186" i="1"/>
  <c r="BX186" i="1" s="1"/>
  <c r="BQ184" i="1"/>
  <c r="BV195" i="1"/>
  <c r="BY195" i="1" s="1"/>
  <c r="BW184" i="1"/>
  <c r="AV196" i="1"/>
  <c r="BI184" i="1"/>
  <c r="BL184" i="1"/>
  <c r="BJ184" i="1"/>
  <c r="BN184" i="1"/>
  <c r="BO184" i="1"/>
  <c r="BK184" i="1"/>
  <c r="BP184" i="1"/>
  <c r="BS305" i="1"/>
  <c r="BT305" i="1"/>
  <c r="BI305" i="1"/>
  <c r="BK305" i="1"/>
  <c r="BJ305" i="1"/>
  <c r="BO305" i="1"/>
  <c r="BQ305" i="1"/>
  <c r="BR305" i="1"/>
  <c r="BW305" i="1"/>
  <c r="BU307" i="1"/>
  <c r="BX307" i="1" s="1"/>
  <c r="BP305" i="1"/>
  <c r="BN305" i="1"/>
  <c r="BM305" i="1"/>
  <c r="BL305" i="1"/>
  <c r="AV306" i="1"/>
  <c r="BW294" i="1"/>
  <c r="BV305" i="1"/>
  <c r="BY305" i="1" s="1"/>
  <c r="BU296" i="1"/>
  <c r="BX296" i="1" s="1"/>
  <c r="BJ294" i="1"/>
  <c r="BK294" i="1"/>
  <c r="BL294" i="1"/>
  <c r="BM294" i="1"/>
  <c r="BN294" i="1"/>
  <c r="BP294" i="1"/>
  <c r="BQ294" i="1"/>
  <c r="BO294" i="1"/>
  <c r="BI294" i="1"/>
  <c r="BS294" i="1"/>
  <c r="BR294" i="1"/>
  <c r="BT294" i="1"/>
  <c r="BI245" i="1"/>
  <c r="BS245" i="1"/>
  <c r="BO245" i="1"/>
  <c r="BT245" i="1"/>
  <c r="BQ245" i="1"/>
  <c r="BN245" i="1"/>
  <c r="BR245" i="1"/>
  <c r="BK245" i="1"/>
  <c r="BJ245" i="1"/>
  <c r="BM245" i="1"/>
  <c r="AV257" i="1"/>
  <c r="BU247" i="1"/>
  <c r="BX247" i="1" s="1"/>
  <c r="BV256" i="1"/>
  <c r="BY256" i="1" s="1"/>
  <c r="BW245" i="1"/>
  <c r="BP245" i="1"/>
  <c r="BL245" i="1"/>
  <c r="BV151" i="1"/>
  <c r="BY151" i="1" s="1"/>
  <c r="BW140" i="1"/>
  <c r="BU142" i="1"/>
  <c r="BX142" i="1" s="1"/>
  <c r="BI140" i="1"/>
  <c r="AV152" i="1"/>
  <c r="BJ140" i="1"/>
  <c r="BK140" i="1"/>
  <c r="BT140" i="1"/>
  <c r="BR140" i="1"/>
  <c r="BQ140" i="1"/>
  <c r="BL140" i="1"/>
  <c r="BO140" i="1"/>
  <c r="BP140" i="1"/>
  <c r="BS140" i="1"/>
  <c r="BN140" i="1"/>
  <c r="BM140" i="1"/>
  <c r="BL92" i="1"/>
  <c r="AV104" i="1"/>
  <c r="BT92" i="1"/>
  <c r="BQ92" i="1"/>
  <c r="BR92" i="1"/>
  <c r="BS92" i="1"/>
  <c r="BW92" i="1"/>
  <c r="BU94" i="1"/>
  <c r="BX94" i="1" s="1"/>
  <c r="BV103" i="1"/>
  <c r="BY103" i="1" s="1"/>
  <c r="BK92" i="1"/>
  <c r="BN92" i="1"/>
  <c r="BO92" i="1"/>
  <c r="BJ92" i="1"/>
  <c r="BP92" i="1"/>
  <c r="BI92" i="1"/>
  <c r="BM92" i="1"/>
  <c r="BV146" i="1"/>
  <c r="BY146" i="1" s="1"/>
  <c r="BW135" i="1"/>
  <c r="BU137" i="1"/>
  <c r="BX137" i="1" s="1"/>
  <c r="BI135" i="1"/>
  <c r="BN135" i="1"/>
  <c r="BO135" i="1"/>
  <c r="AV147" i="1"/>
  <c r="BS135" i="1"/>
  <c r="BM135" i="1"/>
  <c r="BT135" i="1"/>
  <c r="BK135" i="1"/>
  <c r="BR135" i="1"/>
  <c r="BQ135" i="1"/>
  <c r="BP135" i="1"/>
  <c r="BL135" i="1"/>
  <c r="BJ135" i="1"/>
  <c r="BM171" i="1"/>
  <c r="BV182" i="1"/>
  <c r="BY182" i="1" s="1"/>
  <c r="BW171" i="1"/>
  <c r="BU173" i="1"/>
  <c r="BX173" i="1" s="1"/>
  <c r="BI171" i="1"/>
  <c r="BK171" i="1"/>
  <c r="BL171" i="1"/>
  <c r="BN171" i="1"/>
  <c r="BO171" i="1"/>
  <c r="AV183" i="1"/>
  <c r="BJ171" i="1"/>
  <c r="BQ171" i="1"/>
  <c r="BP171" i="1"/>
  <c r="BT171" i="1"/>
  <c r="BR171" i="1"/>
  <c r="BS171" i="1"/>
  <c r="BK131" i="1"/>
  <c r="BJ131" i="1"/>
  <c r="AV143" i="1"/>
  <c r="BW131" i="1"/>
  <c r="BU133" i="1"/>
  <c r="BX133" i="1" s="1"/>
  <c r="BV142" i="1"/>
  <c r="BY142" i="1" s="1"/>
  <c r="BI131" i="1"/>
  <c r="BQ131" i="1"/>
  <c r="BT131" i="1"/>
  <c r="BP131" i="1"/>
  <c r="BM131" i="1"/>
  <c r="BN131" i="1"/>
  <c r="BS131" i="1"/>
  <c r="BR131" i="1"/>
  <c r="BO131" i="1"/>
  <c r="BL131" i="1"/>
  <c r="BR226" i="1"/>
  <c r="BS226" i="1"/>
  <c r="BV237" i="1"/>
  <c r="BY237" i="1" s="1"/>
  <c r="AV238" i="1"/>
  <c r="BT226" i="1"/>
  <c r="BP226" i="1"/>
  <c r="BO226" i="1"/>
  <c r="BL226" i="1"/>
  <c r="BI226" i="1"/>
  <c r="BN226" i="1"/>
  <c r="BK226" i="1"/>
  <c r="BU228" i="1"/>
  <c r="BX228" i="1" s="1"/>
  <c r="BW226" i="1"/>
  <c r="BJ226" i="1"/>
  <c r="BM226" i="1"/>
  <c r="BQ226" i="1"/>
  <c r="BT118" i="1"/>
  <c r="BR118" i="1"/>
  <c r="AV130" i="1"/>
  <c r="BO118" i="1"/>
  <c r="BU120" i="1"/>
  <c r="BX120" i="1" s="1"/>
  <c r="BP118" i="1"/>
  <c r="BV129" i="1"/>
  <c r="BY129" i="1" s="1"/>
  <c r="BW118" i="1"/>
  <c r="BQ118" i="1"/>
  <c r="BS118" i="1"/>
  <c r="BM118" i="1"/>
  <c r="BI118" i="1"/>
  <c r="BJ118" i="1"/>
  <c r="BK118" i="1"/>
  <c r="BN118" i="1"/>
  <c r="BL118" i="1"/>
  <c r="BI130" i="1"/>
  <c r="BU132" i="1"/>
  <c r="BX132" i="1" s="1"/>
  <c r="BV141" i="1"/>
  <c r="BY141" i="1" s="1"/>
  <c r="BW130" i="1"/>
  <c r="BK130" i="1"/>
  <c r="AV142" i="1"/>
  <c r="BP130" i="1"/>
  <c r="BS130" i="1"/>
  <c r="BT130" i="1"/>
  <c r="BL130" i="1"/>
  <c r="BN130" i="1"/>
  <c r="BQ130" i="1"/>
  <c r="BJ130" i="1"/>
  <c r="BR130" i="1"/>
  <c r="BO130" i="1"/>
  <c r="BM130" i="1"/>
  <c r="BW99" i="1"/>
  <c r="BI99" i="1"/>
  <c r="BJ99" i="1"/>
  <c r="BL99" i="1"/>
  <c r="AV111" i="1"/>
  <c r="BV110" i="1"/>
  <c r="BY110" i="1" s="1"/>
  <c r="BU101" i="1"/>
  <c r="BX101" i="1" s="1"/>
  <c r="BS99" i="1"/>
  <c r="BN99" i="1"/>
  <c r="BM99" i="1"/>
  <c r="BO99" i="1"/>
  <c r="BP99" i="1"/>
  <c r="BQ99" i="1"/>
  <c r="BK99" i="1"/>
  <c r="BT99" i="1"/>
  <c r="BR99" i="1"/>
  <c r="BS37" i="1"/>
  <c r="BO37" i="1"/>
  <c r="AV122" i="1"/>
  <c r="BR110" i="1"/>
  <c r="BU112" i="1"/>
  <c r="BX112" i="1" s="1"/>
  <c r="BJ110" i="1"/>
  <c r="BV121" i="1"/>
  <c r="BY121" i="1" s="1"/>
  <c r="BQ110" i="1"/>
  <c r="BW110" i="1"/>
  <c r="BI110" i="1"/>
  <c r="BK110" i="1"/>
  <c r="BL110" i="1"/>
  <c r="BM110" i="1"/>
  <c r="BN110" i="1"/>
  <c r="BO110" i="1"/>
  <c r="BS110" i="1"/>
  <c r="BT110" i="1"/>
  <c r="BP110" i="1"/>
  <c r="BK87" i="1"/>
  <c r="AV99" i="1"/>
  <c r="BI87" i="1"/>
  <c r="BW87" i="1"/>
  <c r="BU89" i="1"/>
  <c r="BX89" i="1" s="1"/>
  <c r="BV98" i="1"/>
  <c r="BY98" i="1" s="1"/>
  <c r="BL87" i="1"/>
  <c r="BN87" i="1"/>
  <c r="BT87" i="1"/>
  <c r="BR87" i="1"/>
  <c r="BP87" i="1"/>
  <c r="BM87" i="1"/>
  <c r="BO87" i="1"/>
  <c r="BS87" i="1"/>
  <c r="BQ87" i="1"/>
  <c r="BJ87" i="1"/>
  <c r="BU99" i="1"/>
  <c r="BX99" i="1" s="1"/>
  <c r="BI97" i="1"/>
  <c r="BJ97" i="1"/>
  <c r="BL97" i="1"/>
  <c r="BN97" i="1"/>
  <c r="BS97" i="1"/>
  <c r="AV109" i="1"/>
  <c r="BV108" i="1"/>
  <c r="BY108" i="1" s="1"/>
  <c r="BW97" i="1"/>
  <c r="BK97" i="1"/>
  <c r="BM97" i="1"/>
  <c r="BR97" i="1"/>
  <c r="BT97" i="1"/>
  <c r="BO97" i="1"/>
  <c r="BP97" i="1"/>
  <c r="BQ97" i="1"/>
  <c r="AV209" i="1"/>
  <c r="BV208" i="1"/>
  <c r="BY208" i="1" s="1"/>
  <c r="BW197" i="1"/>
  <c r="BK197" i="1"/>
  <c r="BU199" i="1"/>
  <c r="BX199" i="1" s="1"/>
  <c r="BI197" i="1"/>
  <c r="BM197" i="1"/>
  <c r="BN197" i="1"/>
  <c r="BL197" i="1"/>
  <c r="BJ197" i="1"/>
  <c r="BS197" i="1"/>
  <c r="BQ197" i="1"/>
  <c r="BT197" i="1"/>
  <c r="BP197" i="1"/>
  <c r="BR197" i="1"/>
  <c r="BO197" i="1"/>
  <c r="BL102" i="1"/>
  <c r="AV114" i="1"/>
  <c r="BU104" i="1"/>
  <c r="BX104" i="1" s="1"/>
  <c r="BP102" i="1"/>
  <c r="BV113" i="1"/>
  <c r="BY113" i="1" s="1"/>
  <c r="BR102" i="1"/>
  <c r="BI102" i="1"/>
  <c r="BS102" i="1"/>
  <c r="BT102" i="1"/>
  <c r="BK102" i="1"/>
  <c r="BW102" i="1"/>
  <c r="BM102" i="1"/>
  <c r="BN102" i="1"/>
  <c r="BO102" i="1"/>
  <c r="BQ102" i="1"/>
  <c r="BJ102" i="1"/>
  <c r="BM78" i="1"/>
  <c r="BN78" i="1"/>
  <c r="BL78" i="1"/>
  <c r="BI78" i="1"/>
  <c r="BJ78" i="1"/>
  <c r="BK78" i="1"/>
  <c r="AV90" i="1"/>
  <c r="BU80" i="1"/>
  <c r="BX80" i="1" s="1"/>
  <c r="BR78" i="1"/>
  <c r="BT78" i="1"/>
  <c r="BV89" i="1"/>
  <c r="BY89" i="1" s="1"/>
  <c r="BW78" i="1"/>
  <c r="BP78" i="1"/>
  <c r="BQ78" i="1"/>
  <c r="BS78" i="1"/>
  <c r="BO78" i="1"/>
  <c r="BU217" i="1"/>
  <c r="BX217" i="1" s="1"/>
  <c r="BV226" i="1"/>
  <c r="BY226" i="1" s="1"/>
  <c r="BW215" i="1"/>
  <c r="BI215" i="1"/>
  <c r="BK215" i="1"/>
  <c r="BN215" i="1"/>
  <c r="BO215" i="1"/>
  <c r="AV227" i="1"/>
  <c r="BP215" i="1"/>
  <c r="BJ215" i="1"/>
  <c r="BT215" i="1"/>
  <c r="BQ215" i="1"/>
  <c r="BM215" i="1"/>
  <c r="BL215" i="1"/>
  <c r="BR215" i="1"/>
  <c r="BS215" i="1"/>
  <c r="BM264" i="1"/>
  <c r="BT264" i="1"/>
  <c r="BW264" i="1"/>
  <c r="BS264" i="1"/>
  <c r="BI264" i="1"/>
  <c r="BO264" i="1"/>
  <c r="BJ264" i="1"/>
  <c r="AV276" i="1"/>
  <c r="BV275" i="1"/>
  <c r="BY275" i="1" s="1"/>
  <c r="BU266" i="1"/>
  <c r="BX266" i="1" s="1"/>
  <c r="BR264" i="1"/>
  <c r="BP264" i="1"/>
  <c r="BN264" i="1"/>
  <c r="BK264" i="1"/>
  <c r="BL264" i="1"/>
  <c r="BQ264" i="1"/>
  <c r="AV92" i="1"/>
  <c r="BW80" i="1"/>
  <c r="BU82" i="1"/>
  <c r="BX82" i="1" s="1"/>
  <c r="BV91" i="1"/>
  <c r="BY91" i="1" s="1"/>
  <c r="BR80" i="1"/>
  <c r="BT80" i="1"/>
  <c r="BS80" i="1"/>
  <c r="BN80" i="1"/>
  <c r="BM80" i="1"/>
  <c r="BJ80" i="1"/>
  <c r="BI80" i="1"/>
  <c r="BO80" i="1"/>
  <c r="BK80" i="1"/>
  <c r="BQ80" i="1"/>
  <c r="BL80" i="1"/>
  <c r="BP80" i="1"/>
  <c r="BK68" i="1"/>
  <c r="BN68" i="1"/>
  <c r="BL68" i="1"/>
  <c r="BO68" i="1"/>
  <c r="BQ68" i="1"/>
  <c r="BR68" i="1"/>
  <c r="BU70" i="1"/>
  <c r="BX70" i="1" s="1"/>
  <c r="BV79" i="1"/>
  <c r="BY79" i="1" s="1"/>
  <c r="BP68" i="1"/>
  <c r="BI68" i="1"/>
  <c r="BJ68" i="1"/>
  <c r="AV80" i="1"/>
  <c r="BW68" i="1"/>
  <c r="BS68" i="1"/>
  <c r="BM68" i="1"/>
  <c r="BT68" i="1"/>
  <c r="AV185" i="1"/>
  <c r="BL173" i="1"/>
  <c r="BS173" i="1"/>
  <c r="BO173" i="1"/>
  <c r="BR173" i="1"/>
  <c r="BW173" i="1"/>
  <c r="BU175" i="1"/>
  <c r="BX175" i="1" s="1"/>
  <c r="BI173" i="1"/>
  <c r="BM173" i="1"/>
  <c r="BV184" i="1"/>
  <c r="BY184" i="1" s="1"/>
  <c r="BK173" i="1"/>
  <c r="BJ173" i="1"/>
  <c r="BP173" i="1"/>
  <c r="BT173" i="1"/>
  <c r="BN173" i="1"/>
  <c r="BQ173" i="1"/>
  <c r="BJ276" i="1"/>
  <c r="BN276" i="1"/>
  <c r="BP276" i="1"/>
  <c r="BI276" i="1"/>
  <c r="BM276" i="1"/>
  <c r="BO276" i="1"/>
  <c r="BK276" i="1"/>
  <c r="BU278" i="1"/>
  <c r="BX278" i="1" s="1"/>
  <c r="BT276" i="1"/>
  <c r="BR276" i="1"/>
  <c r="BQ276" i="1"/>
  <c r="BL276" i="1"/>
  <c r="BS276" i="1"/>
  <c r="AV288" i="1"/>
  <c r="BV287" i="1"/>
  <c r="BY287" i="1" s="1"/>
  <c r="BW276" i="1"/>
  <c r="BI185" i="1"/>
  <c r="BN185" i="1"/>
  <c r="AV197" i="1"/>
  <c r="BW185" i="1"/>
  <c r="BV196" i="1"/>
  <c r="BY196" i="1" s="1"/>
  <c r="BU187" i="1"/>
  <c r="BX187" i="1" s="1"/>
  <c r="BL185" i="1"/>
  <c r="BJ185" i="1"/>
  <c r="BO185" i="1"/>
  <c r="BM185" i="1"/>
  <c r="BQ185" i="1"/>
  <c r="BK185" i="1"/>
  <c r="BS185" i="1"/>
  <c r="BR185" i="1"/>
  <c r="BT185" i="1"/>
  <c r="BP185" i="1"/>
  <c r="BS228" i="1"/>
  <c r="BP228" i="1"/>
  <c r="BT228" i="1"/>
  <c r="BR228" i="1"/>
  <c r="AV240" i="1"/>
  <c r="BU230" i="1"/>
  <c r="BX230" i="1" s="1"/>
  <c r="BQ228" i="1"/>
  <c r="BO228" i="1"/>
  <c r="BV239" i="1"/>
  <c r="BY239" i="1" s="1"/>
  <c r="BW228" i="1"/>
  <c r="BL228" i="1"/>
  <c r="BM228" i="1"/>
  <c r="BN228" i="1"/>
  <c r="BI228" i="1"/>
  <c r="BK228" i="1"/>
  <c r="BJ228" i="1"/>
  <c r="BV76" i="1"/>
  <c r="BY76" i="1" s="1"/>
  <c r="BW65" i="1"/>
  <c r="BU67" i="1"/>
  <c r="BX67" i="1" s="1"/>
  <c r="BI65" i="1"/>
  <c r="BL65" i="1"/>
  <c r="BS65" i="1"/>
  <c r="BT65" i="1"/>
  <c r="AV77" i="1"/>
  <c r="BR65" i="1"/>
  <c r="BM65" i="1"/>
  <c r="BO65" i="1"/>
  <c r="BK65" i="1"/>
  <c r="BN65" i="1"/>
  <c r="BQ65" i="1"/>
  <c r="BJ65" i="1"/>
  <c r="BP65" i="1"/>
  <c r="BS198" i="1"/>
  <c r="BK198" i="1"/>
  <c r="BL198" i="1"/>
  <c r="BJ198" i="1"/>
  <c r="BM198" i="1"/>
  <c r="BR198" i="1"/>
  <c r="BN198" i="1"/>
  <c r="BI198" i="1"/>
  <c r="AV210" i="1"/>
  <c r="BV209" i="1"/>
  <c r="BY209" i="1" s="1"/>
  <c r="BW198" i="1"/>
  <c r="BU200" i="1"/>
  <c r="BX200" i="1" s="1"/>
  <c r="BP198" i="1"/>
  <c r="BQ198" i="1"/>
  <c r="BO198" i="1"/>
  <c r="BT198" i="1"/>
  <c r="BK304" i="1"/>
  <c r="BN304" i="1"/>
  <c r="BI304" i="1"/>
  <c r="BT304" i="1"/>
  <c r="BU306" i="1"/>
  <c r="BX306" i="1" s="1"/>
  <c r="BW304" i="1"/>
  <c r="BO304" i="1"/>
  <c r="BP304" i="1"/>
  <c r="BS304" i="1"/>
  <c r="BR304" i="1"/>
  <c r="BL304" i="1"/>
  <c r="BQ304" i="1"/>
  <c r="BM304" i="1"/>
  <c r="BJ304" i="1"/>
  <c r="BK132" i="1"/>
  <c r="AV144" i="1"/>
  <c r="BV143" i="1"/>
  <c r="BY143" i="1" s="1"/>
  <c r="BZ143" i="1" s="1"/>
  <c r="CA143" i="1" s="1"/>
  <c r="BW132" i="1"/>
  <c r="BU134" i="1"/>
  <c r="BX134" i="1" s="1"/>
  <c r="BL132" i="1"/>
  <c r="BN132" i="1"/>
  <c r="BM132" i="1"/>
  <c r="BQ132" i="1"/>
  <c r="BS132" i="1"/>
  <c r="BP132" i="1"/>
  <c r="BJ132" i="1"/>
  <c r="BR132" i="1"/>
  <c r="BT132" i="1"/>
  <c r="BI132" i="1"/>
  <c r="BO132" i="1"/>
  <c r="BV252" i="1"/>
  <c r="BY252" i="1" s="1"/>
  <c r="BW241" i="1"/>
  <c r="BU243" i="1"/>
  <c r="BX243" i="1" s="1"/>
  <c r="BI241" i="1"/>
  <c r="BM241" i="1"/>
  <c r="AV253" i="1"/>
  <c r="BN241" i="1"/>
  <c r="BO241" i="1"/>
  <c r="BP241" i="1"/>
  <c r="BR241" i="1"/>
  <c r="BQ241" i="1"/>
  <c r="BS241" i="1"/>
  <c r="BT241" i="1"/>
  <c r="BL241" i="1"/>
  <c r="BJ241" i="1"/>
  <c r="BK241" i="1"/>
  <c r="BM181" i="1"/>
  <c r="BI181" i="1"/>
  <c r="BL181" i="1"/>
  <c r="BS181" i="1"/>
  <c r="BP181" i="1"/>
  <c r="BK181" i="1"/>
  <c r="BT181" i="1"/>
  <c r="BQ181" i="1"/>
  <c r="AV193" i="1"/>
  <c r="BJ181" i="1"/>
  <c r="BR181" i="1"/>
  <c r="BO181" i="1"/>
  <c r="BW181" i="1"/>
  <c r="BU183" i="1"/>
  <c r="BX183" i="1" s="1"/>
  <c r="BV192" i="1"/>
  <c r="BY192" i="1" s="1"/>
  <c r="BN181" i="1"/>
  <c r="BT144" i="1"/>
  <c r="BK144" i="1"/>
  <c r="BN144" i="1"/>
  <c r="BP144" i="1"/>
  <c r="BQ144" i="1"/>
  <c r="BR144" i="1"/>
  <c r="BS144" i="1"/>
  <c r="BO144" i="1"/>
  <c r="BU146" i="1"/>
  <c r="BX146" i="1" s="1"/>
  <c r="BM144" i="1"/>
  <c r="BJ144" i="1"/>
  <c r="BI144" i="1"/>
  <c r="AV156" i="1"/>
  <c r="BV155" i="1"/>
  <c r="BY155" i="1" s="1"/>
  <c r="BL144" i="1"/>
  <c r="BW144" i="1"/>
  <c r="BR290" i="1"/>
  <c r="BT290" i="1"/>
  <c r="BQ290" i="1"/>
  <c r="BP290" i="1"/>
  <c r="BS290" i="1"/>
  <c r="BJ290" i="1"/>
  <c r="BK290" i="1"/>
  <c r="BL290" i="1"/>
  <c r="BM290" i="1"/>
  <c r="AV302" i="1"/>
  <c r="BN290" i="1"/>
  <c r="BU292" i="1"/>
  <c r="BX292" i="1" s="1"/>
  <c r="BW290" i="1"/>
  <c r="BV301" i="1"/>
  <c r="BY301" i="1" s="1"/>
  <c r="BI290" i="1"/>
  <c r="BO290" i="1"/>
  <c r="BS231" i="1"/>
  <c r="BQ231" i="1"/>
  <c r="BR231" i="1"/>
  <c r="BW231" i="1"/>
  <c r="BU233" i="1"/>
  <c r="BX233" i="1" s="1"/>
  <c r="BV242" i="1"/>
  <c r="BY242" i="1" s="1"/>
  <c r="BI231" i="1"/>
  <c r="BP231" i="1"/>
  <c r="AV243" i="1"/>
  <c r="BN231" i="1"/>
  <c r="BK231" i="1"/>
  <c r="BT231" i="1"/>
  <c r="BM231" i="1"/>
  <c r="BJ231" i="1"/>
  <c r="BL231" i="1"/>
  <c r="BO231" i="1"/>
  <c r="BK242" i="1"/>
  <c r="BL242" i="1"/>
  <c r="BU244" i="1"/>
  <c r="BX244" i="1" s="1"/>
  <c r="BW242" i="1"/>
  <c r="BO242" i="1"/>
  <c r="BV253" i="1"/>
  <c r="BY253" i="1" s="1"/>
  <c r="BN242" i="1"/>
  <c r="BP242" i="1"/>
  <c r="BM242" i="1"/>
  <c r="BQ242" i="1"/>
  <c r="BR242" i="1"/>
  <c r="BS242" i="1"/>
  <c r="BJ242" i="1"/>
  <c r="BI242" i="1"/>
  <c r="BT242" i="1"/>
  <c r="AV254" i="1"/>
  <c r="AV226" i="1"/>
  <c r="BN214" i="1"/>
  <c r="BU216" i="1"/>
  <c r="BX216" i="1" s="1"/>
  <c r="BV225" i="1"/>
  <c r="BY225" i="1" s="1"/>
  <c r="BW214" i="1"/>
  <c r="BP214" i="1"/>
  <c r="BQ214" i="1"/>
  <c r="BR214" i="1"/>
  <c r="BS214" i="1"/>
  <c r="BT214" i="1"/>
  <c r="BM214" i="1"/>
  <c r="BO214" i="1"/>
  <c r="BL214" i="1"/>
  <c r="BK214" i="1"/>
  <c r="BI214" i="1"/>
  <c r="BJ214" i="1"/>
  <c r="BO152" i="1"/>
  <c r="BM152" i="1"/>
  <c r="BN152" i="1"/>
  <c r="AV164" i="1"/>
  <c r="BU154" i="1"/>
  <c r="BX154" i="1" s="1"/>
  <c r="BV163" i="1"/>
  <c r="BY163" i="1" s="1"/>
  <c r="BW152" i="1"/>
  <c r="BP152" i="1"/>
  <c r="BI152" i="1"/>
  <c r="BK152" i="1"/>
  <c r="BJ152" i="1"/>
  <c r="BQ152" i="1"/>
  <c r="BL152" i="1"/>
  <c r="BR152" i="1"/>
  <c r="BS152" i="1"/>
  <c r="BT152" i="1"/>
  <c r="BV120" i="1"/>
  <c r="BY120" i="1" s="1"/>
  <c r="BW109" i="1"/>
  <c r="BU111" i="1"/>
  <c r="BX111" i="1" s="1"/>
  <c r="BI109" i="1"/>
  <c r="BJ109" i="1"/>
  <c r="BK109" i="1"/>
  <c r="BO109" i="1"/>
  <c r="BP109" i="1"/>
  <c r="BQ109" i="1"/>
  <c r="BL109" i="1"/>
  <c r="BM109" i="1"/>
  <c r="BN109" i="1"/>
  <c r="AV121" i="1"/>
  <c r="BS109" i="1"/>
  <c r="BT109" i="1"/>
  <c r="BR109" i="1"/>
  <c r="AV116" i="1"/>
  <c r="BV115" i="1"/>
  <c r="BY115" i="1" s="1"/>
  <c r="BW104" i="1"/>
  <c r="BO104" i="1"/>
  <c r="BQ104" i="1"/>
  <c r="BU106" i="1"/>
  <c r="BX106" i="1" s="1"/>
  <c r="BJ104" i="1"/>
  <c r="BK104" i="1"/>
  <c r="BP104" i="1"/>
  <c r="BM104" i="1"/>
  <c r="BN104" i="1"/>
  <c r="BL104" i="1"/>
  <c r="BI104" i="1"/>
  <c r="BS104" i="1"/>
  <c r="BT104" i="1"/>
  <c r="BR104" i="1"/>
  <c r="BU207" i="1"/>
  <c r="BX207" i="1" s="1"/>
  <c r="AV217" i="1"/>
  <c r="BO205" i="1"/>
  <c r="BR205" i="1"/>
  <c r="BQ205" i="1"/>
  <c r="BP205" i="1"/>
  <c r="BW205" i="1"/>
  <c r="BV216" i="1"/>
  <c r="BY216" i="1" s="1"/>
  <c r="BS205" i="1"/>
  <c r="BN205" i="1"/>
  <c r="BM205" i="1"/>
  <c r="BI205" i="1"/>
  <c r="BK205" i="1"/>
  <c r="BJ205" i="1"/>
  <c r="BL205" i="1"/>
  <c r="BT205" i="1"/>
  <c r="BJ271" i="1"/>
  <c r="BL271" i="1"/>
  <c r="BT271" i="1"/>
  <c r="BU273" i="1"/>
  <c r="BX273" i="1" s="1"/>
  <c r="BR271" i="1"/>
  <c r="BQ271" i="1"/>
  <c r="BS271" i="1"/>
  <c r="AV283" i="1"/>
  <c r="BV282" i="1"/>
  <c r="BY282" i="1" s="1"/>
  <c r="BI271" i="1"/>
  <c r="BW271" i="1"/>
  <c r="BM271" i="1"/>
  <c r="BN271" i="1"/>
  <c r="BO271" i="1"/>
  <c r="BP271" i="1"/>
  <c r="BK271" i="1"/>
  <c r="BQ236" i="1"/>
  <c r="BO236" i="1"/>
  <c r="BT236" i="1"/>
  <c r="BS236" i="1"/>
  <c r="BJ236" i="1"/>
  <c r="BR236" i="1"/>
  <c r="BV247" i="1"/>
  <c r="BY247" i="1" s="1"/>
  <c r="BL236" i="1"/>
  <c r="BP236" i="1"/>
  <c r="BW236" i="1"/>
  <c r="BU238" i="1"/>
  <c r="BX238" i="1" s="1"/>
  <c r="BK236" i="1"/>
  <c r="BI236" i="1"/>
  <c r="AV248" i="1"/>
  <c r="BM236" i="1"/>
  <c r="BN236" i="1"/>
  <c r="BM175" i="1"/>
  <c r="BL175" i="1"/>
  <c r="AV187" i="1"/>
  <c r="BV186" i="1"/>
  <c r="BY186" i="1" s="1"/>
  <c r="BW175" i="1"/>
  <c r="BI175" i="1"/>
  <c r="BN175" i="1"/>
  <c r="BU177" i="1"/>
  <c r="BX177" i="1" s="1"/>
  <c r="BS175" i="1"/>
  <c r="BP175" i="1"/>
  <c r="BK175" i="1"/>
  <c r="BJ175" i="1"/>
  <c r="BQ175" i="1"/>
  <c r="BR175" i="1"/>
  <c r="BO175" i="1"/>
  <c r="BT175" i="1"/>
  <c r="BJ282" i="1"/>
  <c r="BM282" i="1"/>
  <c r="BT282" i="1"/>
  <c r="BK282" i="1"/>
  <c r="BN282" i="1"/>
  <c r="BI282" i="1"/>
  <c r="BL282" i="1"/>
  <c r="BO282" i="1"/>
  <c r="BP282" i="1"/>
  <c r="BR282" i="1"/>
  <c r="BS282" i="1"/>
  <c r="BW282" i="1"/>
  <c r="BV293" i="1"/>
  <c r="BY293" i="1" s="1"/>
  <c r="BU284" i="1"/>
  <c r="BX284" i="1" s="1"/>
  <c r="AV294" i="1"/>
  <c r="BQ282" i="1"/>
  <c r="BV166" i="1"/>
  <c r="BY166" i="1" s="1"/>
  <c r="BW155" i="1"/>
  <c r="BI155" i="1"/>
  <c r="BL155" i="1"/>
  <c r="BK155" i="1"/>
  <c r="BM155" i="1"/>
  <c r="BN155" i="1"/>
  <c r="AV167" i="1"/>
  <c r="BU157" i="1"/>
  <c r="BX157" i="1" s="1"/>
  <c r="BO155" i="1"/>
  <c r="BP155" i="1"/>
  <c r="BS155" i="1"/>
  <c r="BQ155" i="1"/>
  <c r="BR155" i="1"/>
  <c r="BT155" i="1"/>
  <c r="BJ155" i="1"/>
  <c r="AV125" i="1"/>
  <c r="BV124" i="1"/>
  <c r="BY124" i="1" s="1"/>
  <c r="BW113" i="1"/>
  <c r="BU115" i="1"/>
  <c r="BX115" i="1" s="1"/>
  <c r="BL113" i="1"/>
  <c r="BN113" i="1"/>
  <c r="BM113" i="1"/>
  <c r="BT113" i="1"/>
  <c r="BP113" i="1"/>
  <c r="BR113" i="1"/>
  <c r="BI113" i="1"/>
  <c r="BK113" i="1"/>
  <c r="BS113" i="1"/>
  <c r="BO113" i="1"/>
  <c r="BQ113" i="1"/>
  <c r="BJ113" i="1"/>
  <c r="BT275" i="1"/>
  <c r="AV287" i="1"/>
  <c r="BV286" i="1"/>
  <c r="BY286" i="1" s="1"/>
  <c r="BZ286" i="1" s="1"/>
  <c r="CA286" i="1" s="1"/>
  <c r="BW275" i="1"/>
  <c r="BU277" i="1"/>
  <c r="BX277" i="1" s="1"/>
  <c r="BM275" i="1"/>
  <c r="BN275" i="1"/>
  <c r="BP275" i="1"/>
  <c r="BR275" i="1"/>
  <c r="BS275" i="1"/>
  <c r="BL275" i="1"/>
  <c r="BO275" i="1"/>
  <c r="BQ275" i="1"/>
  <c r="BJ275" i="1"/>
  <c r="BK275" i="1"/>
  <c r="BI275" i="1"/>
  <c r="BV205" i="1"/>
  <c r="BY205" i="1" s="1"/>
  <c r="BU196" i="1"/>
  <c r="BX196" i="1" s="1"/>
  <c r="BW194" i="1"/>
  <c r="BS194" i="1"/>
  <c r="BR194" i="1"/>
  <c r="BT194" i="1"/>
  <c r="AV206" i="1"/>
  <c r="BI194" i="1"/>
  <c r="BL194" i="1"/>
  <c r="BN194" i="1"/>
  <c r="BQ194" i="1"/>
  <c r="BJ194" i="1"/>
  <c r="BM194" i="1"/>
  <c r="BO194" i="1"/>
  <c r="BK194" i="1"/>
  <c r="BP194" i="1"/>
  <c r="BO243" i="1"/>
  <c r="BM243" i="1"/>
  <c r="BN243" i="1"/>
  <c r="BL243" i="1"/>
  <c r="BP243" i="1"/>
  <c r="BK243" i="1"/>
  <c r="BQ243" i="1"/>
  <c r="AV255" i="1"/>
  <c r="BW243" i="1"/>
  <c r="BR243" i="1"/>
  <c r="BV254" i="1"/>
  <c r="BY254" i="1" s="1"/>
  <c r="BU245" i="1"/>
  <c r="BX245" i="1" s="1"/>
  <c r="BT243" i="1"/>
  <c r="BI243" i="1"/>
  <c r="BS243" i="1"/>
  <c r="BJ243" i="1"/>
  <c r="AV135" i="1"/>
  <c r="BN123" i="1"/>
  <c r="BU125" i="1"/>
  <c r="BX125" i="1" s="1"/>
  <c r="BV134" i="1"/>
  <c r="BY134" i="1" s="1"/>
  <c r="BI123" i="1"/>
  <c r="BK123" i="1"/>
  <c r="BL123" i="1"/>
  <c r="BM123" i="1"/>
  <c r="BJ123" i="1"/>
  <c r="BT123" i="1"/>
  <c r="BS123" i="1"/>
  <c r="BQ123" i="1"/>
  <c r="BO123" i="1"/>
  <c r="BP123" i="1"/>
  <c r="BR123" i="1"/>
  <c r="BW123" i="1"/>
  <c r="BM297" i="1"/>
  <c r="AV309" i="1"/>
  <c r="BU299" i="1"/>
  <c r="BX299" i="1" s="1"/>
  <c r="BV308" i="1"/>
  <c r="BY308" i="1" s="1"/>
  <c r="BW297" i="1"/>
  <c r="BI297" i="1"/>
  <c r="BN297" i="1"/>
  <c r="BK297" i="1"/>
  <c r="BO297" i="1"/>
  <c r="BL297" i="1"/>
  <c r="BJ297" i="1"/>
  <c r="BT297" i="1"/>
  <c r="BP297" i="1"/>
  <c r="BR297" i="1"/>
  <c r="BS297" i="1"/>
  <c r="BQ297" i="1"/>
  <c r="BO261" i="1"/>
  <c r="BK261" i="1"/>
  <c r="BL261" i="1"/>
  <c r="BM261" i="1"/>
  <c r="BN261" i="1"/>
  <c r="BJ261" i="1"/>
  <c r="BI261" i="1"/>
  <c r="BT261" i="1"/>
  <c r="BV272" i="1"/>
  <c r="BY272" i="1" s="1"/>
  <c r="BS261" i="1"/>
  <c r="BQ261" i="1"/>
  <c r="BR261" i="1"/>
  <c r="AV273" i="1"/>
  <c r="BU263" i="1"/>
  <c r="BX263" i="1" s="1"/>
  <c r="BW261" i="1"/>
  <c r="BP261" i="1"/>
  <c r="BK259" i="1"/>
  <c r="AV271" i="1"/>
  <c r="BW259" i="1"/>
  <c r="BU261" i="1"/>
  <c r="BX261" i="1" s="1"/>
  <c r="BV270" i="1"/>
  <c r="BY270" i="1" s="1"/>
  <c r="BP259" i="1"/>
  <c r="BI259" i="1"/>
  <c r="BM259" i="1"/>
  <c r="BL259" i="1"/>
  <c r="BT259" i="1"/>
  <c r="BJ259" i="1"/>
  <c r="BO259" i="1"/>
  <c r="BS259" i="1"/>
  <c r="BN259" i="1"/>
  <c r="BR259" i="1"/>
  <c r="BQ259" i="1"/>
  <c r="AV108" i="1"/>
  <c r="BW96" i="1"/>
  <c r="BU98" i="1"/>
  <c r="BX98" i="1" s="1"/>
  <c r="BV107" i="1"/>
  <c r="BY107" i="1" s="1"/>
  <c r="BQ96" i="1"/>
  <c r="BR96" i="1"/>
  <c r="BS96" i="1"/>
  <c r="BJ96" i="1"/>
  <c r="BT96" i="1"/>
  <c r="BL96" i="1"/>
  <c r="BN96" i="1"/>
  <c r="BO96" i="1"/>
  <c r="BK96" i="1"/>
  <c r="BI96" i="1"/>
  <c r="BP96" i="1"/>
  <c r="BM96" i="1"/>
  <c r="BP86" i="1"/>
  <c r="BQ86" i="1"/>
  <c r="BR86" i="1"/>
  <c r="AV98" i="1"/>
  <c r="BU88" i="1"/>
  <c r="BX88" i="1" s="1"/>
  <c r="BV97" i="1"/>
  <c r="BY97" i="1" s="1"/>
  <c r="BW86" i="1"/>
  <c r="BT86" i="1"/>
  <c r="BN86" i="1"/>
  <c r="BI86" i="1"/>
  <c r="BL86" i="1"/>
  <c r="BM86" i="1"/>
  <c r="BJ86" i="1"/>
  <c r="BO86" i="1"/>
  <c r="BS86" i="1"/>
  <c r="BK86" i="1"/>
  <c r="AV105" i="1"/>
  <c r="BR93" i="1"/>
  <c r="BV104" i="1"/>
  <c r="BY104" i="1" s="1"/>
  <c r="BW93" i="1"/>
  <c r="BU95" i="1"/>
  <c r="BX95" i="1" s="1"/>
  <c r="BN93" i="1"/>
  <c r="BQ93" i="1"/>
  <c r="BI93" i="1"/>
  <c r="BT93" i="1"/>
  <c r="BJ93" i="1"/>
  <c r="BL93" i="1"/>
  <c r="BS93" i="1"/>
  <c r="BO93" i="1"/>
  <c r="BM93" i="1"/>
  <c r="BP93" i="1"/>
  <c r="BK93" i="1"/>
  <c r="BS281" i="1"/>
  <c r="AV293" i="1"/>
  <c r="BU283" i="1"/>
  <c r="BX283" i="1" s="1"/>
  <c r="BT281" i="1"/>
  <c r="BW281" i="1"/>
  <c r="BI281" i="1"/>
  <c r="BN281" i="1"/>
  <c r="BV292" i="1"/>
  <c r="BY292" i="1" s="1"/>
  <c r="BR281" i="1"/>
  <c r="BJ281" i="1"/>
  <c r="BQ281" i="1"/>
  <c r="BP281" i="1"/>
  <c r="BO281" i="1"/>
  <c r="BL281" i="1"/>
  <c r="BK281" i="1"/>
  <c r="BM281" i="1"/>
  <c r="BL192" i="1"/>
  <c r="BM192" i="1"/>
  <c r="BK192" i="1"/>
  <c r="BJ192" i="1"/>
  <c r="AV204" i="1"/>
  <c r="BU194" i="1"/>
  <c r="BX194" i="1" s="1"/>
  <c r="BW192" i="1"/>
  <c r="BV203" i="1"/>
  <c r="BY203" i="1" s="1"/>
  <c r="BZ203" i="1" s="1"/>
  <c r="CA203" i="1" s="1"/>
  <c r="BO192" i="1"/>
  <c r="BR192" i="1"/>
  <c r="BP192" i="1"/>
  <c r="BN192" i="1"/>
  <c r="BS192" i="1"/>
  <c r="BQ192" i="1"/>
  <c r="BI192" i="1"/>
  <c r="BT192" i="1"/>
  <c r="BU96" i="1"/>
  <c r="BX96" i="1" s="1"/>
  <c r="BV105" i="1"/>
  <c r="BY105" i="1" s="1"/>
  <c r="BW94" i="1"/>
  <c r="AV106" i="1"/>
  <c r="BO94" i="1"/>
  <c r="BM94" i="1"/>
  <c r="BJ94" i="1"/>
  <c r="BT94" i="1"/>
  <c r="BL94" i="1"/>
  <c r="BN94" i="1"/>
  <c r="BS94" i="1"/>
  <c r="BR94" i="1"/>
  <c r="BP94" i="1"/>
  <c r="BK94" i="1"/>
  <c r="BQ94" i="1"/>
  <c r="BI94" i="1"/>
  <c r="BJ266" i="1"/>
  <c r="AV278" i="1"/>
  <c r="BW266" i="1"/>
  <c r="BU268" i="1"/>
  <c r="BX268" i="1" s="1"/>
  <c r="BV277" i="1"/>
  <c r="BY277" i="1" s="1"/>
  <c r="BZ277" i="1" s="1"/>
  <c r="CA277" i="1" s="1"/>
  <c r="BI266" i="1"/>
  <c r="BN266" i="1"/>
  <c r="BP266" i="1"/>
  <c r="BQ266" i="1"/>
  <c r="BR266" i="1"/>
  <c r="BS266" i="1"/>
  <c r="BT266" i="1"/>
  <c r="BM266" i="1"/>
  <c r="BK266" i="1"/>
  <c r="BL266" i="1"/>
  <c r="BO266" i="1"/>
  <c r="BU304" i="1"/>
  <c r="BX304" i="1" s="1"/>
  <c r="BJ302" i="1"/>
  <c r="BK302" i="1"/>
  <c r="BL302" i="1"/>
  <c r="BM302" i="1"/>
  <c r="BN302" i="1"/>
  <c r="BW302" i="1"/>
  <c r="BI302" i="1"/>
  <c r="BP302" i="1"/>
  <c r="BQ302" i="1"/>
  <c r="BT302" i="1"/>
  <c r="BS302" i="1"/>
  <c r="BO302" i="1"/>
  <c r="BR302" i="1"/>
  <c r="BU206" i="1"/>
  <c r="BX206" i="1" s="1"/>
  <c r="BV215" i="1"/>
  <c r="BY215" i="1" s="1"/>
  <c r="BT204" i="1"/>
  <c r="BN204" i="1"/>
  <c r="BM204" i="1"/>
  <c r="BL204" i="1"/>
  <c r="BQ204" i="1"/>
  <c r="BR204" i="1"/>
  <c r="BO204" i="1"/>
  <c r="BW204" i="1"/>
  <c r="BS204" i="1"/>
  <c r="AV216" i="1"/>
  <c r="BJ204" i="1"/>
  <c r="BK204" i="1"/>
  <c r="BP204" i="1"/>
  <c r="BI204" i="1"/>
  <c r="AV117" i="1"/>
  <c r="BV116" i="1"/>
  <c r="BY116" i="1" s="1"/>
  <c r="BW105" i="1"/>
  <c r="BU107" i="1"/>
  <c r="BX107" i="1" s="1"/>
  <c r="BI105" i="1"/>
  <c r="BJ105" i="1"/>
  <c r="BK105" i="1"/>
  <c r="BL105" i="1"/>
  <c r="BN105" i="1"/>
  <c r="BO105" i="1"/>
  <c r="BS105" i="1"/>
  <c r="BQ105" i="1"/>
  <c r="BP105" i="1"/>
  <c r="BM105" i="1"/>
  <c r="BT105" i="1"/>
  <c r="BR105" i="1"/>
  <c r="BV189" i="1"/>
  <c r="BY189" i="1" s="1"/>
  <c r="BW178" i="1"/>
  <c r="BU180" i="1"/>
  <c r="BX180" i="1" s="1"/>
  <c r="BT178" i="1"/>
  <c r="BS178" i="1"/>
  <c r="AV190" i="1"/>
  <c r="BQ178" i="1"/>
  <c r="BR178" i="1"/>
  <c r="BP178" i="1"/>
  <c r="BJ178" i="1"/>
  <c r="BM178" i="1"/>
  <c r="BO178" i="1"/>
  <c r="BL178" i="1"/>
  <c r="BI178" i="1"/>
  <c r="BK178" i="1"/>
  <c r="BN178" i="1"/>
  <c r="AV157" i="1"/>
  <c r="BO145" i="1"/>
  <c r="BJ145" i="1"/>
  <c r="BL145" i="1"/>
  <c r="BM145" i="1"/>
  <c r="BN145" i="1"/>
  <c r="BU147" i="1"/>
  <c r="BX147" i="1" s="1"/>
  <c r="BV156" i="1"/>
  <c r="BY156" i="1" s="1"/>
  <c r="BW145" i="1"/>
  <c r="BI145" i="1"/>
  <c r="BK145" i="1"/>
  <c r="BQ145" i="1"/>
  <c r="BS145" i="1"/>
  <c r="BP145" i="1"/>
  <c r="BT145" i="1"/>
  <c r="BR145" i="1"/>
  <c r="BU81" i="1"/>
  <c r="BX81" i="1" s="1"/>
  <c r="BV90" i="1"/>
  <c r="BY90" i="1" s="1"/>
  <c r="BI79" i="1"/>
  <c r="BQ79" i="1"/>
  <c r="AV91" i="1"/>
  <c r="BW79" i="1"/>
  <c r="BP79" i="1"/>
  <c r="BL79" i="1"/>
  <c r="BN79" i="1"/>
  <c r="BT79" i="1"/>
  <c r="BS79" i="1"/>
  <c r="BR79" i="1"/>
  <c r="BJ79" i="1"/>
  <c r="BK79" i="1"/>
  <c r="BO79" i="1"/>
  <c r="BM79" i="1"/>
  <c r="BS73" i="1"/>
  <c r="BO73" i="1"/>
  <c r="AV85" i="1"/>
  <c r="BV84" i="1"/>
  <c r="BY84" i="1" s="1"/>
  <c r="BW73" i="1"/>
  <c r="BU75" i="1"/>
  <c r="BX75" i="1" s="1"/>
  <c r="BT73" i="1"/>
  <c r="BI73" i="1"/>
  <c r="BP73" i="1"/>
  <c r="BR73" i="1"/>
  <c r="BL73" i="1"/>
  <c r="BQ73" i="1"/>
  <c r="BK73" i="1"/>
  <c r="BJ73" i="1"/>
  <c r="BM73" i="1"/>
  <c r="BN73" i="1"/>
  <c r="BP287" i="1"/>
  <c r="BM287" i="1"/>
  <c r="BQ287" i="1"/>
  <c r="AV299" i="1"/>
  <c r="BV298" i="1"/>
  <c r="BY298" i="1" s="1"/>
  <c r="BL287" i="1"/>
  <c r="BW287" i="1"/>
  <c r="BU289" i="1"/>
  <c r="BX289" i="1" s="1"/>
  <c r="BZ289" i="1" s="1"/>
  <c r="CA289" i="1" s="1"/>
  <c r="BR287" i="1"/>
  <c r="BS287" i="1"/>
  <c r="BT287" i="1"/>
  <c r="BI287" i="1"/>
  <c r="BO287" i="1"/>
  <c r="BJ287" i="1"/>
  <c r="BK287" i="1"/>
  <c r="BN287" i="1"/>
  <c r="BN220" i="1"/>
  <c r="BR220" i="1"/>
  <c r="BP220" i="1"/>
  <c r="BK220" i="1"/>
  <c r="BO220" i="1"/>
  <c r="BW220" i="1"/>
  <c r="BQ220" i="1"/>
  <c r="BJ220" i="1"/>
  <c r="AV232" i="1"/>
  <c r="BS220" i="1"/>
  <c r="BT220" i="1"/>
  <c r="BU222" i="1"/>
  <c r="BX222" i="1" s="1"/>
  <c r="BV231" i="1"/>
  <c r="BY231" i="1" s="1"/>
  <c r="BM220" i="1"/>
  <c r="BL220" i="1"/>
  <c r="BI220" i="1"/>
  <c r="BV160" i="1"/>
  <c r="BY160" i="1" s="1"/>
  <c r="BW149" i="1"/>
  <c r="BI149" i="1"/>
  <c r="BN149" i="1"/>
  <c r="BO149" i="1"/>
  <c r="AV161" i="1"/>
  <c r="BU151" i="1"/>
  <c r="BX151" i="1" s="1"/>
  <c r="BS149" i="1"/>
  <c r="BM149" i="1"/>
  <c r="BR149" i="1"/>
  <c r="BJ149" i="1"/>
  <c r="BP149" i="1"/>
  <c r="BL149" i="1"/>
  <c r="BT149" i="1"/>
  <c r="BK149" i="1"/>
  <c r="BQ149" i="1"/>
  <c r="AV137" i="1"/>
  <c r="BU127" i="1"/>
  <c r="BX127" i="1" s="1"/>
  <c r="BV136" i="1"/>
  <c r="BY136" i="1" s="1"/>
  <c r="BW125" i="1"/>
  <c r="BI125" i="1"/>
  <c r="BJ125" i="1"/>
  <c r="BK125" i="1"/>
  <c r="BL125" i="1"/>
  <c r="BM125" i="1"/>
  <c r="BN125" i="1"/>
  <c r="BO125" i="1"/>
  <c r="BR125" i="1"/>
  <c r="BS125" i="1"/>
  <c r="BQ125" i="1"/>
  <c r="BT125" i="1"/>
  <c r="BP125" i="1"/>
  <c r="BT101" i="1"/>
  <c r="BN101" i="1"/>
  <c r="BL101" i="1"/>
  <c r="BQ101" i="1"/>
  <c r="BK101" i="1"/>
  <c r="BJ101" i="1"/>
  <c r="BP101" i="1"/>
  <c r="BM101" i="1"/>
  <c r="BR101" i="1"/>
  <c r="AV113" i="1"/>
  <c r="BV112" i="1"/>
  <c r="BY112" i="1" s="1"/>
  <c r="BW101" i="1"/>
  <c r="BU103" i="1"/>
  <c r="BX103" i="1" s="1"/>
  <c r="BI101" i="1"/>
  <c r="BO101" i="1"/>
  <c r="BS101" i="1"/>
  <c r="BI225" i="1"/>
  <c r="AV237" i="1"/>
  <c r="BR225" i="1"/>
  <c r="BS225" i="1"/>
  <c r="BO225" i="1"/>
  <c r="BQ225" i="1"/>
  <c r="BT225" i="1"/>
  <c r="BM225" i="1"/>
  <c r="BN225" i="1"/>
  <c r="BJ225" i="1"/>
  <c r="BV236" i="1"/>
  <c r="BY236" i="1" s="1"/>
  <c r="BW225" i="1"/>
  <c r="BU227" i="1"/>
  <c r="BX227" i="1" s="1"/>
  <c r="BL225" i="1"/>
  <c r="BP225" i="1"/>
  <c r="BK225" i="1"/>
  <c r="BQ84" i="1"/>
  <c r="BV95" i="1"/>
  <c r="BY95" i="1" s="1"/>
  <c r="BR84" i="1"/>
  <c r="AV96" i="1"/>
  <c r="BW84" i="1"/>
  <c r="BU86" i="1"/>
  <c r="BX86" i="1" s="1"/>
  <c r="BI84" i="1"/>
  <c r="BO84" i="1"/>
  <c r="BK84" i="1"/>
  <c r="BJ84" i="1"/>
  <c r="BM84" i="1"/>
  <c r="BL84" i="1"/>
  <c r="BS84" i="1"/>
  <c r="BP84" i="1"/>
  <c r="BN84" i="1"/>
  <c r="BT84" i="1"/>
  <c r="BL71" i="1"/>
  <c r="BK71" i="1"/>
  <c r="BU73" i="1"/>
  <c r="BX73" i="1" s="1"/>
  <c r="BV82" i="1"/>
  <c r="BY82" i="1" s="1"/>
  <c r="BW71" i="1"/>
  <c r="BI71" i="1"/>
  <c r="BO71" i="1"/>
  <c r="AV83" i="1"/>
  <c r="BP71" i="1"/>
  <c r="BQ71" i="1"/>
  <c r="BJ71" i="1"/>
  <c r="BM71" i="1"/>
  <c r="BS71" i="1"/>
  <c r="BR71" i="1"/>
  <c r="BN71" i="1"/>
  <c r="BT71" i="1"/>
  <c r="BV119" i="1"/>
  <c r="BY119" i="1" s="1"/>
  <c r="BW108" i="1"/>
  <c r="BU110" i="1"/>
  <c r="BX110" i="1" s="1"/>
  <c r="BO108" i="1"/>
  <c r="BP108" i="1"/>
  <c r="BQ108" i="1"/>
  <c r="BR108" i="1"/>
  <c r="BS108" i="1"/>
  <c r="BT108" i="1"/>
  <c r="AV120" i="1"/>
  <c r="BK108" i="1"/>
  <c r="BM108" i="1"/>
  <c r="BL108" i="1"/>
  <c r="BN108" i="1"/>
  <c r="BI108" i="1"/>
  <c r="BJ108" i="1"/>
  <c r="BO161" i="1"/>
  <c r="BJ161" i="1"/>
  <c r="AV173" i="1"/>
  <c r="BW161" i="1"/>
  <c r="BK161" i="1"/>
  <c r="BU163" i="1"/>
  <c r="BX163" i="1" s="1"/>
  <c r="BV172" i="1"/>
  <c r="BY172" i="1" s="1"/>
  <c r="BI161" i="1"/>
  <c r="BN161" i="1"/>
  <c r="BL161" i="1"/>
  <c r="BM161" i="1"/>
  <c r="BQ161" i="1"/>
  <c r="BP161" i="1"/>
  <c r="BT161" i="1"/>
  <c r="BR161" i="1"/>
  <c r="BS161" i="1"/>
  <c r="BK37" i="1"/>
  <c r="BR88" i="1"/>
  <c r="BO88" i="1"/>
  <c r="BS88" i="1"/>
  <c r="AV100" i="1"/>
  <c r="BW88" i="1"/>
  <c r="BU90" i="1"/>
  <c r="BX90" i="1" s="1"/>
  <c r="BV99" i="1"/>
  <c r="BY99" i="1" s="1"/>
  <c r="BK88" i="1"/>
  <c r="BN88" i="1"/>
  <c r="BJ88" i="1"/>
  <c r="BQ88" i="1"/>
  <c r="BP88" i="1"/>
  <c r="BL88" i="1"/>
  <c r="BT88" i="1"/>
  <c r="BI88" i="1"/>
  <c r="BM88" i="1"/>
  <c r="BR291" i="1"/>
  <c r="BO291" i="1"/>
  <c r="BK291" i="1"/>
  <c r="BQ291" i="1"/>
  <c r="BL291" i="1"/>
  <c r="BM291" i="1"/>
  <c r="BJ291" i="1"/>
  <c r="BN291" i="1"/>
  <c r="AV303" i="1"/>
  <c r="BV302" i="1"/>
  <c r="BY302" i="1" s="1"/>
  <c r="BU293" i="1"/>
  <c r="BX293" i="1" s="1"/>
  <c r="BP291" i="1"/>
  <c r="BT291" i="1"/>
  <c r="BI291" i="1"/>
  <c r="BW291" i="1"/>
  <c r="BS291" i="1"/>
  <c r="BN265" i="1"/>
  <c r="BK265" i="1"/>
  <c r="BO265" i="1"/>
  <c r="BJ265" i="1"/>
  <c r="BI265" i="1"/>
  <c r="AV277" i="1"/>
  <c r="BU267" i="1"/>
  <c r="BX267" i="1" s="1"/>
  <c r="BV276" i="1"/>
  <c r="BY276" i="1" s="1"/>
  <c r="BS265" i="1"/>
  <c r="BW265" i="1"/>
  <c r="BM265" i="1"/>
  <c r="BP265" i="1"/>
  <c r="BL265" i="1"/>
  <c r="BT265" i="1"/>
  <c r="BQ265" i="1"/>
  <c r="BR265" i="1"/>
  <c r="BN239" i="1"/>
  <c r="BQ239" i="1"/>
  <c r="BM239" i="1"/>
  <c r="BR239" i="1"/>
  <c r="BS239" i="1"/>
  <c r="BL239" i="1"/>
  <c r="BP239" i="1"/>
  <c r="AV251" i="1"/>
  <c r="BW239" i="1"/>
  <c r="BU241" i="1"/>
  <c r="BX241" i="1" s="1"/>
  <c r="BK239" i="1"/>
  <c r="BT239" i="1"/>
  <c r="BV250" i="1"/>
  <c r="BY250" i="1" s="1"/>
  <c r="BI239" i="1"/>
  <c r="BO239" i="1"/>
  <c r="BJ239" i="1"/>
  <c r="BI253" i="1"/>
  <c r="AV265" i="1"/>
  <c r="BL253" i="1"/>
  <c r="BO253" i="1"/>
  <c r="BT253" i="1"/>
  <c r="BS253" i="1"/>
  <c r="BQ253" i="1"/>
  <c r="BR253" i="1"/>
  <c r="BM253" i="1"/>
  <c r="BJ253" i="1"/>
  <c r="BN253" i="1"/>
  <c r="BU255" i="1"/>
  <c r="BX255" i="1" s="1"/>
  <c r="BK253" i="1"/>
  <c r="BW253" i="1"/>
  <c r="BV264" i="1"/>
  <c r="BY264" i="1" s="1"/>
  <c r="BP253" i="1"/>
  <c r="BJ312" i="1"/>
  <c r="BL312" i="1"/>
  <c r="BK312" i="1"/>
  <c r="BM312" i="1"/>
  <c r="BT312" i="1"/>
  <c r="BQ312" i="1"/>
  <c r="BS312" i="1"/>
  <c r="BW312" i="1"/>
  <c r="BR312" i="1"/>
  <c r="BN312" i="1"/>
  <c r="BO312" i="1"/>
  <c r="BI312" i="1"/>
  <c r="BP312" i="1"/>
  <c r="BI137" i="1"/>
  <c r="BN137" i="1"/>
  <c r="BS137" i="1"/>
  <c r="BK137" i="1"/>
  <c r="BL137" i="1"/>
  <c r="BJ137" i="1"/>
  <c r="BP137" i="1"/>
  <c r="BR137" i="1"/>
  <c r="BM137" i="1"/>
  <c r="AV149" i="1"/>
  <c r="BU139" i="1"/>
  <c r="BX139" i="1" s="1"/>
  <c r="BV148" i="1"/>
  <c r="BY148" i="1" s="1"/>
  <c r="BQ137" i="1"/>
  <c r="BT137" i="1"/>
  <c r="BO137" i="1"/>
  <c r="BW137" i="1"/>
  <c r="BJ258" i="1"/>
  <c r="BU260" i="1"/>
  <c r="BX260" i="1" s="1"/>
  <c r="BL258" i="1"/>
  <c r="BV269" i="1"/>
  <c r="BY269" i="1" s="1"/>
  <c r="BW258" i="1"/>
  <c r="AV270" i="1"/>
  <c r="BR258" i="1"/>
  <c r="BS258" i="1"/>
  <c r="BK258" i="1"/>
  <c r="BT258" i="1"/>
  <c r="BI258" i="1"/>
  <c r="BN258" i="1"/>
  <c r="BO258" i="1"/>
  <c r="BM258" i="1"/>
  <c r="BQ258" i="1"/>
  <c r="BP258" i="1"/>
  <c r="BJ238" i="1"/>
  <c r="BK238" i="1"/>
  <c r="BI238" i="1"/>
  <c r="BL238" i="1"/>
  <c r="BO238" i="1"/>
  <c r="AV250" i="1"/>
  <c r="BM238" i="1"/>
  <c r="BU240" i="1"/>
  <c r="BX240" i="1" s="1"/>
  <c r="BP238" i="1"/>
  <c r="BV249" i="1"/>
  <c r="BY249" i="1" s="1"/>
  <c r="BN238" i="1"/>
  <c r="BW238" i="1"/>
  <c r="BS238" i="1"/>
  <c r="BQ238" i="1"/>
  <c r="BR238" i="1"/>
  <c r="BT238" i="1"/>
  <c r="BM301" i="1"/>
  <c r="BL301" i="1"/>
  <c r="BJ301" i="1"/>
  <c r="BW301" i="1"/>
  <c r="BV312" i="1"/>
  <c r="BY312" i="1" s="1"/>
  <c r="BU303" i="1"/>
  <c r="BX303" i="1" s="1"/>
  <c r="BP301" i="1"/>
  <c r="BR301" i="1"/>
  <c r="BS301" i="1"/>
  <c r="BT301" i="1"/>
  <c r="BI301" i="1"/>
  <c r="BQ301" i="1"/>
  <c r="BO301" i="1"/>
  <c r="BK301" i="1"/>
  <c r="BN301" i="1"/>
  <c r="BQ190" i="1"/>
  <c r="BN190" i="1"/>
  <c r="BK190" i="1"/>
  <c r="BM190" i="1"/>
  <c r="BO190" i="1"/>
  <c r="BL190" i="1"/>
  <c r="BW190" i="1"/>
  <c r="BS190" i="1"/>
  <c r="BU192" i="1"/>
  <c r="BX192" i="1" s="1"/>
  <c r="BI190" i="1"/>
  <c r="BR190" i="1"/>
  <c r="BT190" i="1"/>
  <c r="BP190" i="1"/>
  <c r="AV202" i="1"/>
  <c r="BV201" i="1"/>
  <c r="BY201" i="1" s="1"/>
  <c r="BJ190" i="1"/>
  <c r="BW186" i="1"/>
  <c r="BU188" i="1"/>
  <c r="BX188" i="1" s="1"/>
  <c r="BQ186" i="1"/>
  <c r="BS186" i="1"/>
  <c r="BT186" i="1"/>
  <c r="BJ186" i="1"/>
  <c r="AV198" i="1"/>
  <c r="BV197" i="1"/>
  <c r="BY197" i="1" s="1"/>
  <c r="BI186" i="1"/>
  <c r="BL186" i="1"/>
  <c r="BO186" i="1"/>
  <c r="BM186" i="1"/>
  <c r="BP186" i="1"/>
  <c r="BK186" i="1"/>
  <c r="BR186" i="1"/>
  <c r="BN186" i="1"/>
  <c r="BN142" i="1"/>
  <c r="BM142" i="1"/>
  <c r="BL142" i="1"/>
  <c r="AV154" i="1"/>
  <c r="BU144" i="1"/>
  <c r="BX144" i="1" s="1"/>
  <c r="BV153" i="1"/>
  <c r="BY153" i="1" s="1"/>
  <c r="BW142" i="1"/>
  <c r="BQ142" i="1"/>
  <c r="BR142" i="1"/>
  <c r="BT142" i="1"/>
  <c r="BK142" i="1"/>
  <c r="BO142" i="1"/>
  <c r="BJ142" i="1"/>
  <c r="BS142" i="1"/>
  <c r="BI142" i="1"/>
  <c r="BP142" i="1"/>
  <c r="BM74" i="1"/>
  <c r="AV86" i="1"/>
  <c r="BU76" i="1"/>
  <c r="BX76" i="1" s="1"/>
  <c r="BV85" i="1"/>
  <c r="BY85" i="1" s="1"/>
  <c r="BW74" i="1"/>
  <c r="BS74" i="1"/>
  <c r="BP74" i="1"/>
  <c r="BT74" i="1"/>
  <c r="BR74" i="1"/>
  <c r="BN74" i="1"/>
  <c r="BL74" i="1"/>
  <c r="BJ74" i="1"/>
  <c r="BK74" i="1"/>
  <c r="BQ74" i="1"/>
  <c r="BO74" i="1"/>
  <c r="BI74" i="1"/>
  <c r="BT139" i="1"/>
  <c r="AV151" i="1"/>
  <c r="BM139" i="1"/>
  <c r="BS139" i="1"/>
  <c r="BR139" i="1"/>
  <c r="BP139" i="1"/>
  <c r="BO139" i="1"/>
  <c r="BJ139" i="1"/>
  <c r="BU141" i="1"/>
  <c r="BX141" i="1" s="1"/>
  <c r="BV150" i="1"/>
  <c r="BY150" i="1" s="1"/>
  <c r="BI139" i="1"/>
  <c r="BN139" i="1"/>
  <c r="BQ139" i="1"/>
  <c r="BL139" i="1"/>
  <c r="BK139" i="1"/>
  <c r="BW139" i="1"/>
  <c r="BM115" i="1"/>
  <c r="BK115" i="1"/>
  <c r="BN115" i="1"/>
  <c r="AV127" i="1"/>
  <c r="BT115" i="1"/>
  <c r="BP115" i="1"/>
  <c r="BW115" i="1"/>
  <c r="BU117" i="1"/>
  <c r="BX117" i="1" s="1"/>
  <c r="BZ117" i="1" s="1"/>
  <c r="CA117" i="1" s="1"/>
  <c r="BV126" i="1"/>
  <c r="BY126" i="1" s="1"/>
  <c r="BZ126" i="1" s="1"/>
  <c r="CA126" i="1" s="1"/>
  <c r="BI115" i="1"/>
  <c r="BJ115" i="1"/>
  <c r="BS115" i="1"/>
  <c r="BQ115" i="1"/>
  <c r="BO115" i="1"/>
  <c r="BL115" i="1"/>
  <c r="BR115" i="1"/>
  <c r="AV103" i="1"/>
  <c r="BU93" i="1"/>
  <c r="BX93" i="1" s="1"/>
  <c r="BV102" i="1"/>
  <c r="BY102" i="1" s="1"/>
  <c r="BW91" i="1"/>
  <c r="BN91" i="1"/>
  <c r="BS91" i="1"/>
  <c r="BT91" i="1"/>
  <c r="BI91" i="1"/>
  <c r="BL91" i="1"/>
  <c r="BM91" i="1"/>
  <c r="BR91" i="1"/>
  <c r="BJ91" i="1"/>
  <c r="BK91" i="1"/>
  <c r="BO91" i="1"/>
  <c r="BQ91" i="1"/>
  <c r="BP91" i="1"/>
  <c r="BL272" i="1"/>
  <c r="BN272" i="1"/>
  <c r="BT272" i="1"/>
  <c r="BQ272" i="1"/>
  <c r="BS272" i="1"/>
  <c r="BR272" i="1"/>
  <c r="BP272" i="1"/>
  <c r="BI272" i="1"/>
  <c r="AV284" i="1"/>
  <c r="BV283" i="1"/>
  <c r="BY283" i="1" s="1"/>
  <c r="BU274" i="1"/>
  <c r="BX274" i="1" s="1"/>
  <c r="BJ272" i="1"/>
  <c r="BM272" i="1"/>
  <c r="BW272" i="1"/>
  <c r="BK272" i="1"/>
  <c r="BO272" i="1"/>
  <c r="BI247" i="1"/>
  <c r="BJ247" i="1"/>
  <c r="AV259" i="1"/>
  <c r="BK247" i="1"/>
  <c r="BQ247" i="1"/>
  <c r="BS247" i="1"/>
  <c r="BR247" i="1"/>
  <c r="BT247" i="1"/>
  <c r="BU249" i="1"/>
  <c r="BX249" i="1" s="1"/>
  <c r="BV258" i="1"/>
  <c r="BY258" i="1" s="1"/>
  <c r="BP247" i="1"/>
  <c r="BM247" i="1"/>
  <c r="BO247" i="1"/>
  <c r="BW247" i="1"/>
  <c r="BL247" i="1"/>
  <c r="BN247" i="1"/>
  <c r="BQ223" i="1"/>
  <c r="BR223" i="1"/>
  <c r="BN223" i="1"/>
  <c r="BO223" i="1"/>
  <c r="BP223" i="1"/>
  <c r="BI223" i="1"/>
  <c r="BJ223" i="1"/>
  <c r="BS223" i="1"/>
  <c r="BK223" i="1"/>
  <c r="BL223" i="1"/>
  <c r="BM223" i="1"/>
  <c r="AV235" i="1"/>
  <c r="BU225" i="1"/>
  <c r="BX225" i="1" s="1"/>
  <c r="BW223" i="1"/>
  <c r="BV234" i="1"/>
  <c r="BY234" i="1" s="1"/>
  <c r="BT223" i="1"/>
  <c r="AV242" i="1"/>
  <c r="BU232" i="1"/>
  <c r="BX232" i="1" s="1"/>
  <c r="BV241" i="1"/>
  <c r="BY241" i="1" s="1"/>
  <c r="BW230" i="1"/>
  <c r="BO230" i="1"/>
  <c r="BS230" i="1"/>
  <c r="BN230" i="1"/>
  <c r="BL230" i="1"/>
  <c r="BI230" i="1"/>
  <c r="BM230" i="1"/>
  <c r="BR230" i="1"/>
  <c r="BK230" i="1"/>
  <c r="BP230" i="1"/>
  <c r="BQ230" i="1"/>
  <c r="BJ230" i="1"/>
  <c r="BT230" i="1"/>
  <c r="BV54" i="1"/>
  <c r="BY54" i="1" s="1"/>
  <c r="AV160" i="1"/>
  <c r="BQ148" i="1"/>
  <c r="BV159" i="1"/>
  <c r="BY159" i="1" s="1"/>
  <c r="BW148" i="1"/>
  <c r="BU150" i="1"/>
  <c r="BX150" i="1" s="1"/>
  <c r="BS148" i="1"/>
  <c r="BT148" i="1"/>
  <c r="BO148" i="1"/>
  <c r="BP148" i="1"/>
  <c r="BI148" i="1"/>
  <c r="BJ148" i="1"/>
  <c r="BN148" i="1"/>
  <c r="BL148" i="1"/>
  <c r="BM148" i="1"/>
  <c r="BK148" i="1"/>
  <c r="BR148" i="1"/>
  <c r="AV146" i="1"/>
  <c r="BU136" i="1"/>
  <c r="BX136" i="1" s="1"/>
  <c r="BV145" i="1"/>
  <c r="BY145" i="1" s="1"/>
  <c r="BW134" i="1"/>
  <c r="BT134" i="1"/>
  <c r="BP134" i="1"/>
  <c r="BO134" i="1"/>
  <c r="BI134" i="1"/>
  <c r="BN134" i="1"/>
  <c r="BJ134" i="1"/>
  <c r="BK134" i="1"/>
  <c r="BR134" i="1"/>
  <c r="BQ134" i="1"/>
  <c r="BM134" i="1"/>
  <c r="BL134" i="1"/>
  <c r="BS134" i="1"/>
  <c r="AV112" i="1"/>
  <c r="BJ100" i="1"/>
  <c r="BV111" i="1"/>
  <c r="BY111" i="1" s="1"/>
  <c r="BU102" i="1"/>
  <c r="BX102" i="1" s="1"/>
  <c r="BN100" i="1"/>
  <c r="BT100" i="1"/>
  <c r="BS100" i="1"/>
  <c r="BO100" i="1"/>
  <c r="BM100" i="1"/>
  <c r="BP100" i="1"/>
  <c r="BR100" i="1"/>
  <c r="BL100" i="1"/>
  <c r="BI100" i="1"/>
  <c r="BW100" i="1"/>
  <c r="BQ100" i="1"/>
  <c r="BK100" i="1"/>
  <c r="BL310" i="1"/>
  <c r="BM310" i="1"/>
  <c r="BJ310" i="1"/>
  <c r="BO310" i="1"/>
  <c r="BN310" i="1"/>
  <c r="BR310" i="1"/>
  <c r="BI310" i="1"/>
  <c r="BW310" i="1"/>
  <c r="BT310" i="1"/>
  <c r="BK310" i="1"/>
  <c r="BP310" i="1"/>
  <c r="BQ310" i="1"/>
  <c r="BU312" i="1"/>
  <c r="BX312" i="1" s="1"/>
  <c r="BS310" i="1"/>
  <c r="AV158" i="1"/>
  <c r="BL146" i="1"/>
  <c r="BK146" i="1"/>
  <c r="BI146" i="1"/>
  <c r="BM146" i="1"/>
  <c r="BJ146" i="1"/>
  <c r="BN146" i="1"/>
  <c r="BO146" i="1"/>
  <c r="BW146" i="1"/>
  <c r="BU148" i="1"/>
  <c r="BX148" i="1" s="1"/>
  <c r="BV157" i="1"/>
  <c r="BY157" i="1" s="1"/>
  <c r="BQ146" i="1"/>
  <c r="BS146" i="1"/>
  <c r="BR146" i="1"/>
  <c r="BT146" i="1"/>
  <c r="BP146" i="1"/>
  <c r="AV211" i="1"/>
  <c r="BI199" i="1"/>
  <c r="BK199" i="1"/>
  <c r="BW199" i="1"/>
  <c r="BM199" i="1"/>
  <c r="BL199" i="1"/>
  <c r="BN199" i="1"/>
  <c r="BU201" i="1"/>
  <c r="BX201" i="1" s="1"/>
  <c r="BV210" i="1"/>
  <c r="BY210" i="1" s="1"/>
  <c r="BJ199" i="1"/>
  <c r="BO199" i="1"/>
  <c r="BS199" i="1"/>
  <c r="BP199" i="1"/>
  <c r="BR199" i="1"/>
  <c r="BT199" i="1"/>
  <c r="BQ199" i="1"/>
  <c r="BM98" i="1"/>
  <c r="BO98" i="1"/>
  <c r="BP98" i="1"/>
  <c r="AV110" i="1"/>
  <c r="BU100" i="1"/>
  <c r="BX100" i="1" s="1"/>
  <c r="BV109" i="1"/>
  <c r="BY109" i="1" s="1"/>
  <c r="BW98" i="1"/>
  <c r="BK98" i="1"/>
  <c r="BR98" i="1"/>
  <c r="BT98" i="1"/>
  <c r="BQ98" i="1"/>
  <c r="BL98" i="1"/>
  <c r="BS98" i="1"/>
  <c r="BN98" i="1"/>
  <c r="BI98" i="1"/>
  <c r="BJ98" i="1"/>
  <c r="BV133" i="1"/>
  <c r="BY133" i="1" s="1"/>
  <c r="BW122" i="1"/>
  <c r="BP122" i="1"/>
  <c r="BQ122" i="1"/>
  <c r="BR122" i="1"/>
  <c r="BS122" i="1"/>
  <c r="BT122" i="1"/>
  <c r="BN122" i="1"/>
  <c r="BO122" i="1"/>
  <c r="BL122" i="1"/>
  <c r="AV134" i="1"/>
  <c r="BU124" i="1"/>
  <c r="BX124" i="1" s="1"/>
  <c r="BM122" i="1"/>
  <c r="BI122" i="1"/>
  <c r="BJ122" i="1"/>
  <c r="BK122" i="1"/>
  <c r="BP246" i="1"/>
  <c r="AV258" i="1"/>
  <c r="BU248" i="1"/>
  <c r="BX248" i="1" s="1"/>
  <c r="BV257" i="1"/>
  <c r="BY257" i="1" s="1"/>
  <c r="BT246" i="1"/>
  <c r="BQ246" i="1"/>
  <c r="BW246" i="1"/>
  <c r="BS246" i="1"/>
  <c r="BR246" i="1"/>
  <c r="BL246" i="1"/>
  <c r="BK246" i="1"/>
  <c r="BO246" i="1"/>
  <c r="BN246" i="1"/>
  <c r="BJ246" i="1"/>
  <c r="BM246" i="1"/>
  <c r="BI246" i="1"/>
  <c r="BL150" i="1"/>
  <c r="AV162" i="1"/>
  <c r="BW150" i="1"/>
  <c r="BU152" i="1"/>
  <c r="BX152" i="1" s="1"/>
  <c r="BV161" i="1"/>
  <c r="BY161" i="1" s="1"/>
  <c r="BQ150" i="1"/>
  <c r="BS150" i="1"/>
  <c r="BT150" i="1"/>
  <c r="BM150" i="1"/>
  <c r="BR150" i="1"/>
  <c r="BN150" i="1"/>
  <c r="BJ150" i="1"/>
  <c r="BP150" i="1"/>
  <c r="BI150" i="1"/>
  <c r="BO150" i="1"/>
  <c r="BK150" i="1"/>
  <c r="BO244" i="1"/>
  <c r="BL244" i="1"/>
  <c r="BR244" i="1"/>
  <c r="BP244" i="1"/>
  <c r="BM244" i="1"/>
  <c r="BS244" i="1"/>
  <c r="BQ244" i="1"/>
  <c r="BN244" i="1"/>
  <c r="AV256" i="1"/>
  <c r="BV255" i="1"/>
  <c r="BY255" i="1" s="1"/>
  <c r="BK244" i="1"/>
  <c r="BW244" i="1"/>
  <c r="BT244" i="1"/>
  <c r="BU246" i="1"/>
  <c r="BX246" i="1" s="1"/>
  <c r="BJ244" i="1"/>
  <c r="BI244" i="1"/>
  <c r="BJ298" i="1"/>
  <c r="BL298" i="1"/>
  <c r="BI298" i="1"/>
  <c r="BM298" i="1"/>
  <c r="BO298" i="1"/>
  <c r="BN298" i="1"/>
  <c r="AV310" i="1"/>
  <c r="BW298" i="1"/>
  <c r="BU300" i="1"/>
  <c r="BX300" i="1" s="1"/>
  <c r="BR298" i="1"/>
  <c r="BK298" i="1"/>
  <c r="BS298" i="1"/>
  <c r="BP298" i="1"/>
  <c r="BV309" i="1"/>
  <c r="BY309" i="1" s="1"/>
  <c r="BQ298" i="1"/>
  <c r="BT298" i="1"/>
  <c r="BU295" i="1"/>
  <c r="BX295" i="1" s="1"/>
  <c r="BP293" i="1"/>
  <c r="BR293" i="1"/>
  <c r="BS293" i="1"/>
  <c r="BM293" i="1"/>
  <c r="BT293" i="1"/>
  <c r="BO293" i="1"/>
  <c r="BQ293" i="1"/>
  <c r="BJ293" i="1"/>
  <c r="AV305" i="1"/>
  <c r="BV304" i="1"/>
  <c r="BY304" i="1" s="1"/>
  <c r="BW293" i="1"/>
  <c r="BN293" i="1"/>
  <c r="BI293" i="1"/>
  <c r="BL293" i="1"/>
  <c r="BK293" i="1"/>
  <c r="BI85" i="1"/>
  <c r="BT85" i="1"/>
  <c r="AV97" i="1"/>
  <c r="BV96" i="1"/>
  <c r="BY96" i="1" s="1"/>
  <c r="BW85" i="1"/>
  <c r="BU87" i="1"/>
  <c r="BX87" i="1" s="1"/>
  <c r="BL85" i="1"/>
  <c r="BR85" i="1"/>
  <c r="BS85" i="1"/>
  <c r="BQ85" i="1"/>
  <c r="BP85" i="1"/>
  <c r="BO85" i="1"/>
  <c r="BK85" i="1"/>
  <c r="BM85" i="1"/>
  <c r="BJ85" i="1"/>
  <c r="BN85" i="1"/>
  <c r="BI193" i="1"/>
  <c r="AV205" i="1"/>
  <c r="BO193" i="1"/>
  <c r="BN193" i="1"/>
  <c r="BP193" i="1"/>
  <c r="BQ193" i="1"/>
  <c r="BS193" i="1"/>
  <c r="BK193" i="1"/>
  <c r="BR193" i="1"/>
  <c r="BT193" i="1"/>
  <c r="BJ193" i="1"/>
  <c r="BL193" i="1"/>
  <c r="BW193" i="1"/>
  <c r="BV204" i="1"/>
  <c r="BY204" i="1" s="1"/>
  <c r="BU195" i="1"/>
  <c r="BX195" i="1" s="1"/>
  <c r="BM193" i="1"/>
  <c r="BW57" i="1"/>
  <c r="AV69" i="1"/>
  <c r="BR57" i="1"/>
  <c r="BO57" i="1"/>
  <c r="BS57" i="1"/>
  <c r="BV68" i="1"/>
  <c r="BY68" i="1" s="1"/>
  <c r="BM57" i="1"/>
  <c r="BU59" i="1"/>
  <c r="BX59" i="1" s="1"/>
  <c r="BK57" i="1"/>
  <c r="BT57" i="1"/>
  <c r="BN57" i="1"/>
  <c r="BI57" i="1"/>
  <c r="BQ57" i="1"/>
  <c r="BL57" i="1"/>
  <c r="BJ57" i="1"/>
  <c r="BP57" i="1"/>
  <c r="BL308" i="1"/>
  <c r="BU310" i="1"/>
  <c r="BX310" i="1" s="1"/>
  <c r="BW308" i="1"/>
  <c r="BK308" i="1"/>
  <c r="BN308" i="1"/>
  <c r="BS308" i="1"/>
  <c r="BQ308" i="1"/>
  <c r="BJ308" i="1"/>
  <c r="BI308" i="1"/>
  <c r="BP308" i="1"/>
  <c r="BO308" i="1"/>
  <c r="BR308" i="1"/>
  <c r="BM308" i="1"/>
  <c r="BT308" i="1"/>
  <c r="BQ208" i="1"/>
  <c r="BN208" i="1"/>
  <c r="BT208" i="1"/>
  <c r="BJ208" i="1"/>
  <c r="BK208" i="1"/>
  <c r="AV220" i="1"/>
  <c r="BP208" i="1"/>
  <c r="BW208" i="1"/>
  <c r="BS208" i="1"/>
  <c r="BV219" i="1"/>
  <c r="BY219" i="1" s="1"/>
  <c r="BU210" i="1"/>
  <c r="BX210" i="1" s="1"/>
  <c r="BL208" i="1"/>
  <c r="BO208" i="1"/>
  <c r="BR208" i="1"/>
  <c r="BM208" i="1"/>
  <c r="BI208" i="1"/>
  <c r="BU311" i="1"/>
  <c r="BX311" i="1" s="1"/>
  <c r="BI309" i="1"/>
  <c r="BW309" i="1"/>
  <c r="BR309" i="1"/>
  <c r="BT309" i="1"/>
  <c r="BP309" i="1"/>
  <c r="BO309" i="1"/>
  <c r="BN309" i="1"/>
  <c r="BK309" i="1"/>
  <c r="BQ309" i="1"/>
  <c r="BL309" i="1"/>
  <c r="BM309" i="1"/>
  <c r="BJ309" i="1"/>
  <c r="BS309" i="1"/>
  <c r="BJ211" i="1"/>
  <c r="BL211" i="1"/>
  <c r="BI211" i="1"/>
  <c r="BK211" i="1"/>
  <c r="BT211" i="1"/>
  <c r="BP211" i="1"/>
  <c r="BS211" i="1"/>
  <c r="BR211" i="1"/>
  <c r="BN211" i="1"/>
  <c r="BO211" i="1"/>
  <c r="AV223" i="1"/>
  <c r="BU213" i="1"/>
  <c r="BX213" i="1" s="1"/>
  <c r="BW211" i="1"/>
  <c r="BV222" i="1"/>
  <c r="BY222" i="1" s="1"/>
  <c r="BM211" i="1"/>
  <c r="BQ211" i="1"/>
  <c r="BP303" i="1"/>
  <c r="BJ303" i="1"/>
  <c r="BI303" i="1"/>
  <c r="BK303" i="1"/>
  <c r="BL303" i="1"/>
  <c r="BU305" i="1"/>
  <c r="BX305" i="1" s="1"/>
  <c r="BW303" i="1"/>
  <c r="BT303" i="1"/>
  <c r="BO303" i="1"/>
  <c r="BR303" i="1"/>
  <c r="BN303" i="1"/>
  <c r="BS303" i="1"/>
  <c r="BQ303" i="1"/>
  <c r="BM303" i="1"/>
  <c r="AV295" i="1"/>
  <c r="BR283" i="1"/>
  <c r="BS283" i="1"/>
  <c r="BU285" i="1"/>
  <c r="BX285" i="1" s="1"/>
  <c r="BP283" i="1"/>
  <c r="BQ283" i="1"/>
  <c r="BN283" i="1"/>
  <c r="BO283" i="1"/>
  <c r="BM283" i="1"/>
  <c r="BJ283" i="1"/>
  <c r="BW283" i="1"/>
  <c r="BL283" i="1"/>
  <c r="BT283" i="1"/>
  <c r="BI283" i="1"/>
  <c r="BK283" i="1"/>
  <c r="BV294" i="1"/>
  <c r="BY294" i="1" s="1"/>
  <c r="BP285" i="1"/>
  <c r="BW285" i="1"/>
  <c r="BR285" i="1"/>
  <c r="BN285" i="1"/>
  <c r="BO285" i="1"/>
  <c r="BQ285" i="1"/>
  <c r="BL285" i="1"/>
  <c r="BM285" i="1"/>
  <c r="BT285" i="1"/>
  <c r="AV297" i="1"/>
  <c r="BU287" i="1"/>
  <c r="BX287" i="1" s="1"/>
  <c r="BJ285" i="1"/>
  <c r="BV296" i="1"/>
  <c r="BY296" i="1" s="1"/>
  <c r="BS285" i="1"/>
  <c r="BI285" i="1"/>
  <c r="BK285" i="1"/>
  <c r="BM235" i="1"/>
  <c r="BL235" i="1"/>
  <c r="BI235" i="1"/>
  <c r="BN235" i="1"/>
  <c r="BJ235" i="1"/>
  <c r="BT235" i="1"/>
  <c r="BK235" i="1"/>
  <c r="BS235" i="1"/>
  <c r="BQ235" i="1"/>
  <c r="BW235" i="1"/>
  <c r="BU237" i="1"/>
  <c r="BX237" i="1" s="1"/>
  <c r="AV247" i="1"/>
  <c r="BV246" i="1"/>
  <c r="BY246" i="1" s="1"/>
  <c r="BO235" i="1"/>
  <c r="BP235" i="1"/>
  <c r="BR235" i="1"/>
  <c r="BW233" i="1"/>
  <c r="BL233" i="1"/>
  <c r="BI233" i="1"/>
  <c r="BN233" i="1"/>
  <c r="AV245" i="1"/>
  <c r="BT233" i="1"/>
  <c r="BV244" i="1"/>
  <c r="BY244" i="1" s="1"/>
  <c r="BU235" i="1"/>
  <c r="BX235" i="1" s="1"/>
  <c r="BM233" i="1"/>
  <c r="BS233" i="1"/>
  <c r="BQ233" i="1"/>
  <c r="BR233" i="1"/>
  <c r="BK233" i="1"/>
  <c r="BP233" i="1"/>
  <c r="BJ233" i="1"/>
  <c r="BO233" i="1"/>
  <c r="BJ187" i="1"/>
  <c r="BU189" i="1"/>
  <c r="BX189" i="1" s="1"/>
  <c r="BV198" i="1"/>
  <c r="BY198" i="1" s="1"/>
  <c r="BW187" i="1"/>
  <c r="BI187" i="1"/>
  <c r="BK187" i="1"/>
  <c r="BM187" i="1"/>
  <c r="BL187" i="1"/>
  <c r="BO187" i="1"/>
  <c r="AV199" i="1"/>
  <c r="BP187" i="1"/>
  <c r="BT187" i="1"/>
  <c r="BS187" i="1"/>
  <c r="BR187" i="1"/>
  <c r="BQ187" i="1"/>
  <c r="BN187" i="1"/>
  <c r="BI177" i="1"/>
  <c r="BS177" i="1"/>
  <c r="BW177" i="1"/>
  <c r="BV188" i="1"/>
  <c r="BY188" i="1" s="1"/>
  <c r="BU179" i="1"/>
  <c r="BX179" i="1" s="1"/>
  <c r="AV189" i="1"/>
  <c r="BT177" i="1"/>
  <c r="BR177" i="1"/>
  <c r="BM177" i="1"/>
  <c r="BN177" i="1"/>
  <c r="BJ177" i="1"/>
  <c r="BP177" i="1"/>
  <c r="BQ177" i="1"/>
  <c r="BO177" i="1"/>
  <c r="BL177" i="1"/>
  <c r="BK177" i="1"/>
  <c r="BK72" i="1"/>
  <c r="BS72" i="1"/>
  <c r="AV84" i="1"/>
  <c r="BW72" i="1"/>
  <c r="BU74" i="1"/>
  <c r="BX74" i="1" s="1"/>
  <c r="BT72" i="1"/>
  <c r="BP72" i="1"/>
  <c r="BO72" i="1"/>
  <c r="BV83" i="1"/>
  <c r="BY83" i="1" s="1"/>
  <c r="BN72" i="1"/>
  <c r="BM72" i="1"/>
  <c r="BJ72" i="1"/>
  <c r="BL72" i="1"/>
  <c r="BQ72" i="1"/>
  <c r="BI72" i="1"/>
  <c r="BR72" i="1"/>
  <c r="BI81" i="1"/>
  <c r="BV92" i="1"/>
  <c r="BY92" i="1" s="1"/>
  <c r="BZ92" i="1" s="1"/>
  <c r="CA92" i="1" s="1"/>
  <c r="BW81" i="1"/>
  <c r="BU83" i="1"/>
  <c r="BX83" i="1" s="1"/>
  <c r="BS81" i="1"/>
  <c r="BT81" i="1"/>
  <c r="AV93" i="1"/>
  <c r="BN81" i="1"/>
  <c r="BL81" i="1"/>
  <c r="BJ81" i="1"/>
  <c r="BO81" i="1"/>
  <c r="BK81" i="1"/>
  <c r="BQ81" i="1"/>
  <c r="BP81" i="1"/>
  <c r="BM81" i="1"/>
  <c r="BR81" i="1"/>
  <c r="BN280" i="1"/>
  <c r="BK280" i="1"/>
  <c r="BL280" i="1"/>
  <c r="BM280" i="1"/>
  <c r="BS280" i="1"/>
  <c r="BI280" i="1"/>
  <c r="BT280" i="1"/>
  <c r="BJ280" i="1"/>
  <c r="BQ280" i="1"/>
  <c r="AV292" i="1"/>
  <c r="BU282" i="1"/>
  <c r="BX282" i="1" s="1"/>
  <c r="BV291" i="1"/>
  <c r="BY291" i="1" s="1"/>
  <c r="BZ291" i="1" s="1"/>
  <c r="CA291" i="1" s="1"/>
  <c r="BW280" i="1"/>
  <c r="BP280" i="1"/>
  <c r="BR280" i="1"/>
  <c r="BO280" i="1"/>
  <c r="BQ64" i="1"/>
  <c r="BN64" i="1"/>
  <c r="BR64" i="1"/>
  <c r="BT64" i="1"/>
  <c r="BL64" i="1"/>
  <c r="BP64" i="1"/>
  <c r="AV76" i="1"/>
  <c r="BW64" i="1"/>
  <c r="BO64" i="1"/>
  <c r="BU66" i="1"/>
  <c r="BX66" i="1" s="1"/>
  <c r="BV75" i="1"/>
  <c r="BY75" i="1" s="1"/>
  <c r="BK64" i="1"/>
  <c r="BJ64" i="1"/>
  <c r="BS64" i="1"/>
  <c r="BM64" i="1"/>
  <c r="BI64" i="1"/>
  <c r="AV66" i="1"/>
  <c r="BW54" i="1"/>
  <c r="BU56" i="1"/>
  <c r="BX56" i="1" s="1"/>
  <c r="BO54" i="1"/>
  <c r="BT54" i="1"/>
  <c r="BK54" i="1"/>
  <c r="BS54" i="1"/>
  <c r="BP54" i="1"/>
  <c r="BV65" i="1"/>
  <c r="BY65" i="1" s="1"/>
  <c r="BQ54" i="1"/>
  <c r="BL54" i="1"/>
  <c r="BI54" i="1"/>
  <c r="BR54" i="1"/>
  <c r="BM54" i="1"/>
  <c r="BJ54" i="1"/>
  <c r="BN54" i="1"/>
  <c r="AV304" i="1"/>
  <c r="BU294" i="1"/>
  <c r="BX294" i="1" s="1"/>
  <c r="BW292" i="1"/>
  <c r="BO292" i="1"/>
  <c r="BJ292" i="1"/>
  <c r="BK292" i="1"/>
  <c r="BL292" i="1"/>
  <c r="BV303" i="1"/>
  <c r="BY303" i="1" s="1"/>
  <c r="BM292" i="1"/>
  <c r="BN292" i="1"/>
  <c r="BQ292" i="1"/>
  <c r="BT292" i="1"/>
  <c r="BR292" i="1"/>
  <c r="BP292" i="1"/>
  <c r="BI292" i="1"/>
  <c r="BS292" i="1"/>
  <c r="BU57" i="1"/>
  <c r="BX57" i="1" s="1"/>
  <c r="AV67" i="1"/>
  <c r="BW55" i="1"/>
  <c r="BO55" i="1"/>
  <c r="BJ55" i="1"/>
  <c r="BT55" i="1"/>
  <c r="BS55" i="1"/>
  <c r="BK55" i="1"/>
  <c r="BP55" i="1"/>
  <c r="BM55" i="1"/>
  <c r="BL55" i="1"/>
  <c r="BQ55" i="1"/>
  <c r="BN55" i="1"/>
  <c r="BI55" i="1"/>
  <c r="BR55" i="1"/>
  <c r="BV66" i="1"/>
  <c r="BY66" i="1" s="1"/>
  <c r="BZ66" i="1" s="1"/>
  <c r="CA66" i="1" s="1"/>
  <c r="BN51" i="1"/>
  <c r="BV62" i="1"/>
  <c r="BY62" i="1" s="1"/>
  <c r="BZ62" i="1" s="1"/>
  <c r="CA62" i="1" s="1"/>
  <c r="AV63" i="1"/>
  <c r="BN314" i="1"/>
  <c r="BW37" i="1"/>
  <c r="BR48" i="1"/>
  <c r="BV59" i="1"/>
  <c r="BY59" i="1" s="1"/>
  <c r="AV60" i="1"/>
  <c r="BW51" i="1"/>
  <c r="BT53" i="1"/>
  <c r="BV64" i="1"/>
  <c r="BY64" i="1" s="1"/>
  <c r="BU55" i="1"/>
  <c r="BX55" i="1" s="1"/>
  <c r="AV65" i="1"/>
  <c r="BL49" i="1"/>
  <c r="BV60" i="1"/>
  <c r="BY60" i="1" s="1"/>
  <c r="BZ60" i="1" s="1"/>
  <c r="CA60" i="1" s="1"/>
  <c r="AV61" i="1"/>
  <c r="BU54" i="1"/>
  <c r="BX54" i="1" s="1"/>
  <c r="BI50" i="1"/>
  <c r="BV61" i="1"/>
  <c r="BY61" i="1" s="1"/>
  <c r="AV62" i="1"/>
  <c r="BJ36" i="1"/>
  <c r="BV63" i="1"/>
  <c r="BY63" i="1" s="1"/>
  <c r="BL44" i="1"/>
  <c r="BV55" i="1"/>
  <c r="BY55" i="1" s="1"/>
  <c r="AV56" i="1"/>
  <c r="BP47" i="1"/>
  <c r="BV58" i="1"/>
  <c r="BY58" i="1" s="1"/>
  <c r="BZ58" i="1" s="1"/>
  <c r="CA58" i="1" s="1"/>
  <c r="AV59" i="1"/>
  <c r="BV56" i="1"/>
  <c r="BY56" i="1" s="1"/>
  <c r="AV57" i="1"/>
  <c r="BQ46" i="1"/>
  <c r="BV57" i="1"/>
  <c r="BY57" i="1" s="1"/>
  <c r="AV58" i="1"/>
  <c r="BM48" i="1"/>
  <c r="BR37" i="1"/>
  <c r="BQ51" i="1"/>
  <c r="BK48" i="1"/>
  <c r="BO51" i="1"/>
  <c r="BT44" i="1"/>
  <c r="BU41" i="1"/>
  <c r="BX41" i="1" s="1"/>
  <c r="BM46" i="1"/>
  <c r="BK314" i="1"/>
  <c r="BQ48" i="1"/>
  <c r="BP34" i="1"/>
  <c r="BI46" i="1"/>
  <c r="BJ51" i="1"/>
  <c r="BR44" i="1"/>
  <c r="BL41" i="1"/>
  <c r="BP41" i="1"/>
  <c r="BR41" i="1"/>
  <c r="BW45" i="1"/>
  <c r="BQ41" i="1"/>
  <c r="BJ50" i="1"/>
  <c r="BS313" i="1"/>
  <c r="BW44" i="1"/>
  <c r="BJ42" i="1"/>
  <c r="BT45" i="1"/>
  <c r="BS45" i="1"/>
  <c r="BJ34" i="1"/>
  <c r="BL46" i="1"/>
  <c r="BK47" i="1"/>
  <c r="BN313" i="1"/>
  <c r="BR34" i="1"/>
  <c r="BM41" i="1"/>
  <c r="BU47" i="1"/>
  <c r="BX47" i="1" s="1"/>
  <c r="BL39" i="1"/>
  <c r="BO44" i="1"/>
  <c r="BQ45" i="1"/>
  <c r="BK50" i="1"/>
  <c r="BM313" i="1"/>
  <c r="BS44" i="1"/>
  <c r="BW42" i="1"/>
  <c r="BJ313" i="1"/>
  <c r="BI42" i="1"/>
  <c r="BS42" i="1"/>
  <c r="BQ42" i="1"/>
  <c r="BV49" i="1"/>
  <c r="BY49" i="1" s="1"/>
  <c r="BO50" i="1"/>
  <c r="BU45" i="1"/>
  <c r="BX45" i="1" s="1"/>
  <c r="BR45" i="1"/>
  <c r="BS34" i="1"/>
  <c r="BW34" i="1"/>
  <c r="BQ34" i="1"/>
  <c r="BO41" i="1"/>
  <c r="BL50" i="1"/>
  <c r="BV52" i="1"/>
  <c r="BY52" i="1" s="1"/>
  <c r="BI34" i="1"/>
  <c r="BM34" i="1"/>
  <c r="BP45" i="1"/>
  <c r="BQ314" i="1"/>
  <c r="BN46" i="1"/>
  <c r="BI41" i="1"/>
  <c r="BT34" i="1"/>
  <c r="BK34" i="1"/>
  <c r="BT41" i="1"/>
  <c r="BU42" i="1"/>
  <c r="BX42" i="1" s="1"/>
  <c r="BT46" i="1"/>
  <c r="BP42" i="1"/>
  <c r="BW46" i="1"/>
  <c r="BS41" i="1"/>
  <c r="BK46" i="1"/>
  <c r="AV53" i="1"/>
  <c r="BP39" i="1"/>
  <c r="BO46" i="1"/>
  <c r="BL42" i="1"/>
  <c r="BQ313" i="1"/>
  <c r="BK313" i="1"/>
  <c r="BO45" i="1"/>
  <c r="BM42" i="1"/>
  <c r="BK42" i="1"/>
  <c r="BU43" i="1"/>
  <c r="BX43" i="1" s="1"/>
  <c r="BP44" i="1"/>
  <c r="BO34" i="1"/>
  <c r="BL34" i="1"/>
  <c r="BQ44" i="1"/>
  <c r="BJ41" i="1"/>
  <c r="BU40" i="1"/>
  <c r="BX40" i="1" s="1"/>
  <c r="BS46" i="1"/>
  <c r="BR42" i="1"/>
  <c r="BN34" i="1"/>
  <c r="BL51" i="1"/>
  <c r="BI36" i="1"/>
  <c r="AV48" i="1"/>
  <c r="BW47" i="1"/>
  <c r="BW314" i="1"/>
  <c r="BQ37" i="1"/>
  <c r="BM314" i="1"/>
  <c r="BR51" i="1"/>
  <c r="BO36" i="1"/>
  <c r="BU50" i="1"/>
  <c r="BX50" i="1" s="1"/>
  <c r="BL47" i="1"/>
  <c r="BO49" i="1"/>
  <c r="BP51" i="1"/>
  <c r="BN48" i="1"/>
  <c r="BS36" i="1"/>
  <c r="BP48" i="1"/>
  <c r="BP314" i="1"/>
  <c r="BQ47" i="1"/>
  <c r="BS47" i="1"/>
  <c r="BW48" i="1"/>
  <c r="AV314" i="1"/>
  <c r="BJ37" i="1"/>
  <c r="BO47" i="1"/>
  <c r="BL48" i="1"/>
  <c r="BS48" i="1"/>
  <c r="BM47" i="1"/>
  <c r="BT49" i="1"/>
  <c r="BL36" i="1"/>
  <c r="BR36" i="1"/>
  <c r="BI51" i="1"/>
  <c r="BM51" i="1"/>
  <c r="BM37" i="1"/>
  <c r="BN37" i="1"/>
  <c r="BP37" i="1"/>
  <c r="BM36" i="1"/>
  <c r="BK51" i="1"/>
  <c r="BJ47" i="1"/>
  <c r="BO48" i="1"/>
  <c r="BW41" i="1"/>
  <c r="BT37" i="1"/>
  <c r="BJ48" i="1"/>
  <c r="BT39" i="1"/>
  <c r="BT51" i="1"/>
  <c r="BN39" i="1"/>
  <c r="BK41" i="1"/>
  <c r="BM44" i="1"/>
  <c r="BN44" i="1"/>
  <c r="BL37" i="1"/>
  <c r="BS51" i="1"/>
  <c r="BM53" i="1"/>
  <c r="BM39" i="1"/>
  <c r="BU53" i="1"/>
  <c r="BX53" i="1" s="1"/>
  <c r="BK53" i="1"/>
  <c r="BV313" i="1"/>
  <c r="BY313" i="1" s="1"/>
  <c r="BJ53" i="1"/>
  <c r="BU38" i="1"/>
  <c r="BX38" i="1" s="1"/>
  <c r="BT42" i="1"/>
  <c r="BK45" i="1"/>
  <c r="BU39" i="1"/>
  <c r="BX39" i="1" s="1"/>
  <c r="BS314" i="1"/>
  <c r="BP53" i="1"/>
  <c r="BW53" i="1"/>
  <c r="BP313" i="1"/>
  <c r="AV49" i="1"/>
  <c r="BS50" i="1"/>
  <c r="BL314" i="1"/>
  <c r="BI313" i="1"/>
  <c r="BR314" i="1"/>
  <c r="BO314" i="1"/>
  <c r="BU48" i="1"/>
  <c r="BX48" i="1" s="1"/>
  <c r="BK36" i="1"/>
  <c r="BJ45" i="1"/>
  <c r="BN36" i="1"/>
  <c r="BT36" i="1"/>
  <c r="BW36" i="1"/>
  <c r="BI53" i="1"/>
  <c r="BO313" i="1"/>
  <c r="BO42" i="1"/>
  <c r="BR313" i="1"/>
  <c r="BQ36" i="1"/>
  <c r="BT314" i="1"/>
  <c r="BJ314" i="1"/>
  <c r="BQ39" i="1"/>
  <c r="BR39" i="1"/>
  <c r="BW39" i="1"/>
  <c r="BN42" i="1"/>
  <c r="BJ46" i="1"/>
  <c r="BI45" i="1"/>
  <c r="BR50" i="1"/>
  <c r="BV53" i="1"/>
  <c r="BY53" i="1" s="1"/>
  <c r="BU313" i="1"/>
  <c r="BX313" i="1" s="1"/>
  <c r="BU37" i="1"/>
  <c r="BX37" i="1" s="1"/>
  <c r="BN35" i="1"/>
  <c r="BT35" i="1"/>
  <c r="BO35" i="1"/>
  <c r="BQ35" i="1"/>
  <c r="BV46" i="1"/>
  <c r="BY46" i="1" s="1"/>
  <c r="BL35" i="1"/>
  <c r="BU36" i="1"/>
  <c r="BX36" i="1" s="1"/>
  <c r="BR49" i="1"/>
  <c r="AV47" i="1"/>
  <c r="BW35" i="1"/>
  <c r="BV45" i="1"/>
  <c r="BY45" i="1" s="1"/>
  <c r="BU51" i="1"/>
  <c r="BX51" i="1" s="1"/>
  <c r="BN49" i="1"/>
  <c r="BJ35" i="1"/>
  <c r="BJ39" i="1"/>
  <c r="BJ49" i="1"/>
  <c r="BK49" i="1"/>
  <c r="BI49" i="1"/>
  <c r="BW49" i="1"/>
  <c r="BM35" i="1"/>
  <c r="BS35" i="1"/>
  <c r="BJ44" i="1"/>
  <c r="BI39" i="1"/>
  <c r="BN45" i="1"/>
  <c r="BP35" i="1"/>
  <c r="BM49" i="1"/>
  <c r="BQ49" i="1"/>
  <c r="BK44" i="1"/>
  <c r="BR46" i="1"/>
  <c r="BN50" i="1"/>
  <c r="BL313" i="1"/>
  <c r="BP49" i="1"/>
  <c r="BL45" i="1"/>
  <c r="BM45" i="1"/>
  <c r="BQ50" i="1"/>
  <c r="BM50" i="1"/>
  <c r="BS49" i="1"/>
  <c r="BS39" i="1"/>
  <c r="BI35" i="1"/>
  <c r="BU46" i="1"/>
  <c r="BX46" i="1" s="1"/>
  <c r="BP46" i="1"/>
  <c r="BW50" i="1"/>
  <c r="BR35" i="1"/>
  <c r="BU314" i="1"/>
  <c r="BX314" i="1" s="1"/>
  <c r="BP50" i="1"/>
  <c r="BT50" i="1"/>
  <c r="BU52" i="1"/>
  <c r="BX52" i="1" s="1"/>
  <c r="BV51" i="1"/>
  <c r="BY51" i="1" s="1"/>
  <c r="BT313" i="1"/>
  <c r="BU44" i="1"/>
  <c r="BX44" i="1" s="1"/>
  <c r="BV47" i="1"/>
  <c r="BY47" i="1" s="1"/>
  <c r="BI44" i="1"/>
  <c r="BQ53" i="1"/>
  <c r="AV313" i="1"/>
  <c r="BR47" i="1"/>
  <c r="BV50" i="1"/>
  <c r="BY50" i="1" s="1"/>
  <c r="BV48" i="1"/>
  <c r="BY48" i="1" s="1"/>
  <c r="BL53" i="1"/>
  <c r="BU49" i="1"/>
  <c r="BX49" i="1" s="1"/>
  <c r="BT47" i="1"/>
  <c r="BR53" i="1"/>
  <c r="BS53" i="1"/>
  <c r="BI47" i="1"/>
  <c r="BN47" i="1"/>
  <c r="BV314" i="1"/>
  <c r="BY314" i="1" s="1"/>
  <c r="BN53" i="1"/>
  <c r="BO53" i="1"/>
  <c r="BK39" i="1"/>
  <c r="E9" i="3"/>
  <c r="F9" i="3" s="1"/>
  <c r="D10" i="3"/>
  <c r="L33" i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AR33" i="1"/>
  <c r="AU33" i="1" s="1"/>
  <c r="AW33" i="1"/>
  <c r="AX33" i="1"/>
  <c r="AY33" i="1"/>
  <c r="AZ33" i="1"/>
  <c r="BA33" i="1"/>
  <c r="BB33" i="1"/>
  <c r="BC33" i="1"/>
  <c r="BD33" i="1"/>
  <c r="BE33" i="1"/>
  <c r="BF33" i="1"/>
  <c r="BG33" i="1"/>
  <c r="BH33" i="1"/>
  <c r="E31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4" i="1"/>
  <c r="AT321" i="1"/>
  <c r="AU321" i="1" s="1"/>
  <c r="AV321" i="1" s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14" i="1"/>
  <c r="AX15" i="1"/>
  <c r="AY15" i="1"/>
  <c r="AZ15" i="1"/>
  <c r="BA15" i="1"/>
  <c r="BB15" i="1"/>
  <c r="BC15" i="1"/>
  <c r="BD15" i="1"/>
  <c r="BE15" i="1"/>
  <c r="BF15" i="1"/>
  <c r="BG15" i="1"/>
  <c r="BH15" i="1"/>
  <c r="AX16" i="1"/>
  <c r="AY16" i="1"/>
  <c r="AZ16" i="1"/>
  <c r="BA16" i="1"/>
  <c r="BB16" i="1"/>
  <c r="BC16" i="1"/>
  <c r="BD16" i="1"/>
  <c r="BE16" i="1"/>
  <c r="BF16" i="1"/>
  <c r="BG16" i="1"/>
  <c r="BH16" i="1"/>
  <c r="AX17" i="1"/>
  <c r="AY17" i="1"/>
  <c r="AZ17" i="1"/>
  <c r="BA17" i="1"/>
  <c r="BB17" i="1"/>
  <c r="BC17" i="1"/>
  <c r="BD17" i="1"/>
  <c r="BE17" i="1"/>
  <c r="BF17" i="1"/>
  <c r="BG17" i="1"/>
  <c r="BH17" i="1"/>
  <c r="AX18" i="1"/>
  <c r="AY18" i="1"/>
  <c r="AZ18" i="1"/>
  <c r="BA18" i="1"/>
  <c r="BB18" i="1"/>
  <c r="BC18" i="1"/>
  <c r="BD18" i="1"/>
  <c r="BE18" i="1"/>
  <c r="BF18" i="1"/>
  <c r="BG18" i="1"/>
  <c r="BH18" i="1"/>
  <c r="AX19" i="1"/>
  <c r="AY19" i="1"/>
  <c r="AZ19" i="1"/>
  <c r="BA19" i="1"/>
  <c r="BB19" i="1"/>
  <c r="BC19" i="1"/>
  <c r="BD19" i="1"/>
  <c r="BE19" i="1"/>
  <c r="BF19" i="1"/>
  <c r="BG19" i="1"/>
  <c r="BH19" i="1"/>
  <c r="AX20" i="1"/>
  <c r="AY20" i="1"/>
  <c r="AZ20" i="1"/>
  <c r="BA20" i="1"/>
  <c r="BB20" i="1"/>
  <c r="BC20" i="1"/>
  <c r="BD20" i="1"/>
  <c r="BE20" i="1"/>
  <c r="BF20" i="1"/>
  <c r="BG20" i="1"/>
  <c r="BH20" i="1"/>
  <c r="AX21" i="1"/>
  <c r="AY21" i="1"/>
  <c r="AZ21" i="1"/>
  <c r="BA21" i="1"/>
  <c r="BB21" i="1"/>
  <c r="BC21" i="1"/>
  <c r="BD21" i="1"/>
  <c r="BE21" i="1"/>
  <c r="BF21" i="1"/>
  <c r="BG21" i="1"/>
  <c r="BH21" i="1"/>
  <c r="AX22" i="1"/>
  <c r="AY22" i="1"/>
  <c r="AZ22" i="1"/>
  <c r="BA22" i="1"/>
  <c r="BB22" i="1"/>
  <c r="BC22" i="1"/>
  <c r="BD22" i="1"/>
  <c r="BE22" i="1"/>
  <c r="BF22" i="1"/>
  <c r="BG22" i="1"/>
  <c r="BH22" i="1"/>
  <c r="AX23" i="1"/>
  <c r="AY23" i="1"/>
  <c r="AZ23" i="1"/>
  <c r="BA23" i="1"/>
  <c r="BB23" i="1"/>
  <c r="BC23" i="1"/>
  <c r="BD23" i="1"/>
  <c r="BE23" i="1"/>
  <c r="BF23" i="1"/>
  <c r="BG23" i="1"/>
  <c r="BH23" i="1"/>
  <c r="AX24" i="1"/>
  <c r="AY24" i="1"/>
  <c r="AZ24" i="1"/>
  <c r="BA24" i="1"/>
  <c r="BB24" i="1"/>
  <c r="BC24" i="1"/>
  <c r="BD24" i="1"/>
  <c r="BE24" i="1"/>
  <c r="BF24" i="1"/>
  <c r="BG24" i="1"/>
  <c r="BH24" i="1"/>
  <c r="AX25" i="1"/>
  <c r="AY25" i="1"/>
  <c r="AZ25" i="1"/>
  <c r="BA25" i="1"/>
  <c r="BB25" i="1"/>
  <c r="BC25" i="1"/>
  <c r="BD25" i="1"/>
  <c r="BE25" i="1"/>
  <c r="BF25" i="1"/>
  <c r="BG25" i="1"/>
  <c r="BH25" i="1"/>
  <c r="AX26" i="1"/>
  <c r="AY26" i="1"/>
  <c r="AZ26" i="1"/>
  <c r="BA26" i="1"/>
  <c r="BB26" i="1"/>
  <c r="BC26" i="1"/>
  <c r="BD26" i="1"/>
  <c r="BE26" i="1"/>
  <c r="BF26" i="1"/>
  <c r="BG26" i="1"/>
  <c r="BH26" i="1"/>
  <c r="AX27" i="1"/>
  <c r="AY27" i="1"/>
  <c r="AZ27" i="1"/>
  <c r="BA27" i="1"/>
  <c r="BB27" i="1"/>
  <c r="BC27" i="1"/>
  <c r="BD27" i="1"/>
  <c r="BE27" i="1"/>
  <c r="BF27" i="1"/>
  <c r="BG27" i="1"/>
  <c r="BH27" i="1"/>
  <c r="AX28" i="1"/>
  <c r="AY28" i="1"/>
  <c r="AZ28" i="1"/>
  <c r="BA28" i="1"/>
  <c r="BB28" i="1"/>
  <c r="BC28" i="1"/>
  <c r="BD28" i="1"/>
  <c r="BE28" i="1"/>
  <c r="BF28" i="1"/>
  <c r="BG28" i="1"/>
  <c r="BH28" i="1"/>
  <c r="AX29" i="1"/>
  <c r="AY29" i="1"/>
  <c r="AZ29" i="1"/>
  <c r="BA29" i="1"/>
  <c r="BB29" i="1"/>
  <c r="BC29" i="1"/>
  <c r="BD29" i="1"/>
  <c r="BE29" i="1"/>
  <c r="BF29" i="1"/>
  <c r="BG29" i="1"/>
  <c r="BH29" i="1"/>
  <c r="AX30" i="1"/>
  <c r="AY30" i="1"/>
  <c r="AZ30" i="1"/>
  <c r="BA30" i="1"/>
  <c r="BB30" i="1"/>
  <c r="BC30" i="1"/>
  <c r="BD30" i="1"/>
  <c r="BE30" i="1"/>
  <c r="BF30" i="1"/>
  <c r="BG30" i="1"/>
  <c r="BH30" i="1"/>
  <c r="AX31" i="1"/>
  <c r="AY31" i="1"/>
  <c r="AZ31" i="1"/>
  <c r="BA31" i="1"/>
  <c r="BB31" i="1"/>
  <c r="BC31" i="1"/>
  <c r="BD31" i="1"/>
  <c r="BE31" i="1"/>
  <c r="BF31" i="1"/>
  <c r="BG31" i="1"/>
  <c r="BH31" i="1"/>
  <c r="AX32" i="1"/>
  <c r="AY32" i="1"/>
  <c r="AZ32" i="1"/>
  <c r="BA32" i="1"/>
  <c r="BB32" i="1"/>
  <c r="BC32" i="1"/>
  <c r="BD32" i="1"/>
  <c r="BE32" i="1"/>
  <c r="BF32" i="1"/>
  <c r="BG32" i="1"/>
  <c r="BH32" i="1"/>
  <c r="BH14" i="1"/>
  <c r="BG14" i="1"/>
  <c r="BF14" i="1"/>
  <c r="BE14" i="1"/>
  <c r="BD14" i="1"/>
  <c r="BC14" i="1"/>
  <c r="BB14" i="1"/>
  <c r="BA14" i="1"/>
  <c r="AZ14" i="1"/>
  <c r="AY14" i="1"/>
  <c r="AX14" i="1"/>
  <c r="BZ302" i="1" l="1"/>
  <c r="CA302" i="1" s="1"/>
  <c r="BZ166" i="1"/>
  <c r="CA166" i="1" s="1"/>
  <c r="BZ156" i="1"/>
  <c r="CA156" i="1" s="1"/>
  <c r="BZ255" i="1"/>
  <c r="CA255" i="1" s="1"/>
  <c r="BZ182" i="1"/>
  <c r="CA182" i="1" s="1"/>
  <c r="BZ160" i="1"/>
  <c r="CA160" i="1" s="1"/>
  <c r="BZ158" i="1"/>
  <c r="CA158" i="1" s="1"/>
  <c r="BZ61" i="1"/>
  <c r="CA61" i="1" s="1"/>
  <c r="BZ129" i="1"/>
  <c r="CA129" i="1" s="1"/>
  <c r="BZ226" i="1"/>
  <c r="CA226" i="1" s="1"/>
  <c r="BZ197" i="1"/>
  <c r="CA197" i="1" s="1"/>
  <c r="BZ104" i="1"/>
  <c r="CA104" i="1" s="1"/>
  <c r="BZ82" i="1"/>
  <c r="CA82" i="1" s="1"/>
  <c r="BZ64" i="1"/>
  <c r="CA64" i="1" s="1"/>
  <c r="CB64" i="1" s="1"/>
  <c r="BZ172" i="1"/>
  <c r="CA172" i="1" s="1"/>
  <c r="BZ186" i="1"/>
  <c r="CA186" i="1" s="1"/>
  <c r="BZ307" i="1"/>
  <c r="CA307" i="1" s="1"/>
  <c r="BZ162" i="1"/>
  <c r="CA162" i="1" s="1"/>
  <c r="BZ224" i="1"/>
  <c r="CA224" i="1" s="1"/>
  <c r="BZ269" i="1"/>
  <c r="CA269" i="1" s="1"/>
  <c r="BZ204" i="1"/>
  <c r="CA204" i="1" s="1"/>
  <c r="BZ254" i="1"/>
  <c r="CA254" i="1" s="1"/>
  <c r="BZ63" i="1"/>
  <c r="CA63" i="1" s="1"/>
  <c r="Q36" i="1"/>
  <c r="CF35" i="1"/>
  <c r="BZ59" i="1"/>
  <c r="CA59" i="1" s="1"/>
  <c r="CB61" i="1" s="1"/>
  <c r="BZ246" i="1"/>
  <c r="CA246" i="1" s="1"/>
  <c r="BZ205" i="1"/>
  <c r="CA205" i="1" s="1"/>
  <c r="BZ120" i="1"/>
  <c r="CA120" i="1" s="1"/>
  <c r="BZ68" i="1"/>
  <c r="CA68" i="1" s="1"/>
  <c r="BZ304" i="1"/>
  <c r="CA304" i="1" s="1"/>
  <c r="BZ283" i="1"/>
  <c r="CA283" i="1" s="1"/>
  <c r="CB284" i="1" s="1"/>
  <c r="CD284" i="1" s="1"/>
  <c r="BZ270" i="1"/>
  <c r="CA270" i="1" s="1"/>
  <c r="BZ128" i="1"/>
  <c r="CA128" i="1" s="1"/>
  <c r="BZ308" i="1"/>
  <c r="CA308" i="1" s="1"/>
  <c r="BZ134" i="1"/>
  <c r="CA134" i="1" s="1"/>
  <c r="BZ76" i="1"/>
  <c r="CA76" i="1" s="1"/>
  <c r="BZ136" i="1"/>
  <c r="CA136" i="1" s="1"/>
  <c r="BZ209" i="1"/>
  <c r="CA209" i="1" s="1"/>
  <c r="BZ241" i="1"/>
  <c r="CA241" i="1" s="1"/>
  <c r="BZ112" i="1"/>
  <c r="CA112" i="1" s="1"/>
  <c r="BZ282" i="1"/>
  <c r="CA282" i="1" s="1"/>
  <c r="BZ103" i="1"/>
  <c r="CA103" i="1" s="1"/>
  <c r="BZ188" i="1"/>
  <c r="CA188" i="1" s="1"/>
  <c r="BZ309" i="1"/>
  <c r="CA309" i="1" s="1"/>
  <c r="BZ216" i="1"/>
  <c r="CA216" i="1" s="1"/>
  <c r="BZ123" i="1"/>
  <c r="CA123" i="1" s="1"/>
  <c r="BZ198" i="1"/>
  <c r="CA198" i="1" s="1"/>
  <c r="BZ276" i="1"/>
  <c r="CA276" i="1" s="1"/>
  <c r="BZ89" i="1"/>
  <c r="CA89" i="1" s="1"/>
  <c r="BZ99" i="1"/>
  <c r="CA99" i="1" s="1"/>
  <c r="BZ253" i="1"/>
  <c r="CA253" i="1" s="1"/>
  <c r="BZ242" i="1"/>
  <c r="CA242" i="1" s="1"/>
  <c r="BZ91" i="1"/>
  <c r="CA91" i="1" s="1"/>
  <c r="BZ228" i="1"/>
  <c r="CA228" i="1" s="1"/>
  <c r="BB16" i="5"/>
  <c r="AZ16" i="5"/>
  <c r="BZ236" i="1"/>
  <c r="CA236" i="1" s="1"/>
  <c r="BZ191" i="1"/>
  <c r="CA191" i="1" s="1"/>
  <c r="BZ278" i="1"/>
  <c r="CA278" i="1" s="1"/>
  <c r="BZ168" i="1"/>
  <c r="CA168" i="1" s="1"/>
  <c r="BZ212" i="1"/>
  <c r="CA212" i="1" s="1"/>
  <c r="BZ122" i="1"/>
  <c r="CA122" i="1" s="1"/>
  <c r="BZ200" i="1"/>
  <c r="CA200" i="1" s="1"/>
  <c r="BZ54" i="1"/>
  <c r="CA54" i="1" s="1"/>
  <c r="BZ87" i="1"/>
  <c r="CA87" i="1" s="1"/>
  <c r="BZ284" i="1"/>
  <c r="CA284" i="1" s="1"/>
  <c r="BZ258" i="1"/>
  <c r="CA258" i="1" s="1"/>
  <c r="BZ222" i="1"/>
  <c r="CA222" i="1" s="1"/>
  <c r="BZ208" i="1"/>
  <c r="CA208" i="1" s="1"/>
  <c r="BZ237" i="1"/>
  <c r="CA237" i="1" s="1"/>
  <c r="BM16" i="5"/>
  <c r="BK16" i="5"/>
  <c r="BZ219" i="1"/>
  <c r="CA219" i="1" s="1"/>
  <c r="BZ153" i="1"/>
  <c r="CA153" i="1" s="1"/>
  <c r="BZ252" i="1"/>
  <c r="CA252" i="1" s="1"/>
  <c r="BZ248" i="1"/>
  <c r="CA248" i="1" s="1"/>
  <c r="BZ69" i="1"/>
  <c r="CA69" i="1" s="1"/>
  <c r="BZ296" i="1"/>
  <c r="CA296" i="1" s="1"/>
  <c r="BZ159" i="1"/>
  <c r="CA159" i="1" s="1"/>
  <c r="CB160" i="1" s="1"/>
  <c r="CD160" i="1" s="1"/>
  <c r="AO16" i="5"/>
  <c r="AQ16" i="5"/>
  <c r="BZ184" i="1"/>
  <c r="CA184" i="1" s="1"/>
  <c r="AD16" i="5"/>
  <c r="AF16" i="5"/>
  <c r="BZ272" i="1"/>
  <c r="CA272" i="1" s="1"/>
  <c r="BZ195" i="1"/>
  <c r="CA195" i="1" s="1"/>
  <c r="BZ180" i="1"/>
  <c r="CA180" i="1" s="1"/>
  <c r="BZ164" i="1"/>
  <c r="CA164" i="1" s="1"/>
  <c r="BZ183" i="1"/>
  <c r="CA183" i="1" s="1"/>
  <c r="BZ80" i="1"/>
  <c r="CA80" i="1" s="1"/>
  <c r="BZ148" i="1"/>
  <c r="CA148" i="1" s="1"/>
  <c r="CB205" i="1"/>
  <c r="CD205" i="1" s="1"/>
  <c r="BZ292" i="1"/>
  <c r="CA292" i="1" s="1"/>
  <c r="BZ98" i="1"/>
  <c r="CA98" i="1" s="1"/>
  <c r="BZ185" i="1"/>
  <c r="CA185" i="1" s="1"/>
  <c r="BZ71" i="1"/>
  <c r="CA71" i="1" s="1"/>
  <c r="BZ177" i="1"/>
  <c r="CA177" i="1" s="1"/>
  <c r="BZ118" i="1"/>
  <c r="CA118" i="1" s="1"/>
  <c r="BZ94" i="1"/>
  <c r="CA94" i="1" s="1"/>
  <c r="BZ78" i="1"/>
  <c r="CA78" i="1" s="1"/>
  <c r="BZ88" i="1"/>
  <c r="CA88" i="1" s="1"/>
  <c r="BZ247" i="1"/>
  <c r="CA247" i="1" s="1"/>
  <c r="BZ196" i="1"/>
  <c r="CA196" i="1" s="1"/>
  <c r="BZ113" i="1"/>
  <c r="CA113" i="1" s="1"/>
  <c r="BZ121" i="1"/>
  <c r="CA121" i="1" s="1"/>
  <c r="BZ86" i="1"/>
  <c r="CA86" i="1" s="1"/>
  <c r="BZ194" i="1"/>
  <c r="CA194" i="1" s="1"/>
  <c r="BZ175" i="1"/>
  <c r="CA175" i="1" s="1"/>
  <c r="BZ147" i="1"/>
  <c r="CA147" i="1" s="1"/>
  <c r="BZ311" i="1"/>
  <c r="CA311" i="1" s="1"/>
  <c r="BZ213" i="1"/>
  <c r="CA213" i="1" s="1"/>
  <c r="BZ72" i="1"/>
  <c r="CA72" i="1" s="1"/>
  <c r="BZ249" i="1"/>
  <c r="CA249" i="1" s="1"/>
  <c r="BZ163" i="1"/>
  <c r="CA163" i="1" s="1"/>
  <c r="CB255" i="1"/>
  <c r="CD255" i="1" s="1"/>
  <c r="BZ110" i="1"/>
  <c r="CA110" i="1" s="1"/>
  <c r="BZ142" i="1"/>
  <c r="CA142" i="1" s="1"/>
  <c r="BZ229" i="1"/>
  <c r="CA229" i="1" s="1"/>
  <c r="BZ207" i="1"/>
  <c r="CA207" i="1" s="1"/>
  <c r="BZ77" i="1"/>
  <c r="CA77" i="1" s="1"/>
  <c r="BZ106" i="1"/>
  <c r="CA106" i="1" s="1"/>
  <c r="BZ223" i="1"/>
  <c r="CA223" i="1" s="1"/>
  <c r="BZ157" i="1"/>
  <c r="CA157" i="1" s="1"/>
  <c r="BZ150" i="1"/>
  <c r="CA150" i="1" s="1"/>
  <c r="BZ233" i="1"/>
  <c r="CA233" i="1" s="1"/>
  <c r="BZ240" i="1"/>
  <c r="CA240" i="1" s="1"/>
  <c r="BZ259" i="1"/>
  <c r="CA259" i="1" s="1"/>
  <c r="BZ125" i="1"/>
  <c r="CA125" i="1" s="1"/>
  <c r="BZ268" i="1"/>
  <c r="CA268" i="1" s="1"/>
  <c r="BZ199" i="1"/>
  <c r="CA199" i="1" s="1"/>
  <c r="BZ152" i="1"/>
  <c r="CA152" i="1" s="1"/>
  <c r="BZ217" i="1"/>
  <c r="CA217" i="1" s="1"/>
  <c r="BZ101" i="1"/>
  <c r="CA101" i="1" s="1"/>
  <c r="BZ97" i="1"/>
  <c r="CA97" i="1" s="1"/>
  <c r="BZ114" i="1"/>
  <c r="CA114" i="1" s="1"/>
  <c r="BZ138" i="1"/>
  <c r="CA138" i="1" s="1"/>
  <c r="BZ67" i="1"/>
  <c r="CA67" i="1" s="1"/>
  <c r="BZ165" i="1"/>
  <c r="CA165" i="1" s="1"/>
  <c r="BZ294" i="1"/>
  <c r="CA294" i="1" s="1"/>
  <c r="BZ107" i="1"/>
  <c r="CA107" i="1" s="1"/>
  <c r="BZ225" i="1"/>
  <c r="CA225" i="1" s="1"/>
  <c r="CB226" i="1" s="1"/>
  <c r="CD226" i="1" s="1"/>
  <c r="BZ161" i="1"/>
  <c r="CA161" i="1" s="1"/>
  <c r="BZ190" i="1"/>
  <c r="CA190" i="1" s="1"/>
  <c r="BZ100" i="1"/>
  <c r="CA100" i="1" s="1"/>
  <c r="BZ132" i="1"/>
  <c r="CA132" i="1" s="1"/>
  <c r="BZ105" i="1"/>
  <c r="CA105" i="1" s="1"/>
  <c r="BZ295" i="1"/>
  <c r="CA295" i="1" s="1"/>
  <c r="BZ210" i="1"/>
  <c r="CA210" i="1" s="1"/>
  <c r="BZ298" i="1"/>
  <c r="CA298" i="1" s="1"/>
  <c r="BZ141" i="1"/>
  <c r="CA141" i="1" s="1"/>
  <c r="BZ232" i="1"/>
  <c r="CA232" i="1" s="1"/>
  <c r="BZ73" i="1"/>
  <c r="CA73" i="1" s="1"/>
  <c r="BZ179" i="1"/>
  <c r="CA179" i="1" s="1"/>
  <c r="BZ238" i="1"/>
  <c r="CA238" i="1" s="1"/>
  <c r="BZ235" i="1"/>
  <c r="CA235" i="1" s="1"/>
  <c r="BZ84" i="1"/>
  <c r="CA84" i="1" s="1"/>
  <c r="BZ124" i="1"/>
  <c r="CA124" i="1" s="1"/>
  <c r="CB124" i="1" s="1"/>
  <c r="CD124" i="1" s="1"/>
  <c r="BZ115" i="1"/>
  <c r="CA115" i="1" s="1"/>
  <c r="BZ299" i="1"/>
  <c r="CA299" i="1" s="1"/>
  <c r="BZ312" i="1"/>
  <c r="CA312" i="1" s="1"/>
  <c r="BZ287" i="1"/>
  <c r="CA287" i="1" s="1"/>
  <c r="BZ146" i="1"/>
  <c r="CA146" i="1" s="1"/>
  <c r="BZ151" i="1"/>
  <c r="CA151" i="1" s="1"/>
  <c r="BZ243" i="1"/>
  <c r="CA243" i="1" s="1"/>
  <c r="BZ176" i="1"/>
  <c r="CA176" i="1" s="1"/>
  <c r="BZ300" i="1"/>
  <c r="CA300" i="1" s="1"/>
  <c r="BZ214" i="1"/>
  <c r="CA214" i="1" s="1"/>
  <c r="BZ181" i="1"/>
  <c r="CA181" i="1" s="1"/>
  <c r="BZ79" i="1"/>
  <c r="CA79" i="1" s="1"/>
  <c r="BZ93" i="1"/>
  <c r="CA93" i="1" s="1"/>
  <c r="BZ274" i="1"/>
  <c r="CA274" i="1" s="1"/>
  <c r="BZ206" i="1"/>
  <c r="CA206" i="1" s="1"/>
  <c r="BZ109" i="1"/>
  <c r="CA109" i="1" s="1"/>
  <c r="BZ95" i="1"/>
  <c r="CA95" i="1" s="1"/>
  <c r="BZ90" i="1"/>
  <c r="CA90" i="1" s="1"/>
  <c r="BZ116" i="1"/>
  <c r="CA116" i="1" s="1"/>
  <c r="BZ215" i="1"/>
  <c r="CA215" i="1" s="1"/>
  <c r="BZ144" i="1"/>
  <c r="CA144" i="1" s="1"/>
  <c r="BZ137" i="1"/>
  <c r="CA137" i="1" s="1"/>
  <c r="BZ74" i="1"/>
  <c r="CA74" i="1" s="1"/>
  <c r="BZ280" i="1"/>
  <c r="CA280" i="1" s="1"/>
  <c r="BZ285" i="1"/>
  <c r="CA285" i="1" s="1"/>
  <c r="BZ288" i="1"/>
  <c r="CA288" i="1" s="1"/>
  <c r="BZ265" i="1"/>
  <c r="CA265" i="1" s="1"/>
  <c r="BZ297" i="1"/>
  <c r="CA297" i="1" s="1"/>
  <c r="BZ57" i="1"/>
  <c r="CA57" i="1" s="1"/>
  <c r="CB59" i="1" s="1"/>
  <c r="BZ75" i="1"/>
  <c r="CA75" i="1" s="1"/>
  <c r="BZ111" i="1"/>
  <c r="CA111" i="1" s="1"/>
  <c r="BZ85" i="1"/>
  <c r="CA85" i="1" s="1"/>
  <c r="BZ119" i="1"/>
  <c r="CA119" i="1" s="1"/>
  <c r="BZ81" i="1"/>
  <c r="CA81" i="1" s="1"/>
  <c r="BZ189" i="1"/>
  <c r="CA189" i="1" s="1"/>
  <c r="BZ192" i="1"/>
  <c r="CA192" i="1" s="1"/>
  <c r="BZ174" i="1"/>
  <c r="CA174" i="1" s="1"/>
  <c r="BZ169" i="1"/>
  <c r="CA169" i="1" s="1"/>
  <c r="BZ218" i="1"/>
  <c r="CA218" i="1" s="1"/>
  <c r="BZ279" i="1"/>
  <c r="CA279" i="1" s="1"/>
  <c r="BZ290" i="1"/>
  <c r="CA290" i="1" s="1"/>
  <c r="BZ264" i="1"/>
  <c r="CA264" i="1" s="1"/>
  <c r="BZ131" i="1"/>
  <c r="CA131" i="1" s="1"/>
  <c r="BZ145" i="1"/>
  <c r="CA145" i="1" s="1"/>
  <c r="BZ202" i="1"/>
  <c r="CA202" i="1" s="1"/>
  <c r="BZ306" i="1"/>
  <c r="CA306" i="1" s="1"/>
  <c r="BZ281" i="1"/>
  <c r="CA281" i="1" s="1"/>
  <c r="BZ96" i="1"/>
  <c r="CA96" i="1" s="1"/>
  <c r="BZ102" i="1"/>
  <c r="CA102" i="1" s="1"/>
  <c r="BZ301" i="1"/>
  <c r="CA301" i="1" s="1"/>
  <c r="BZ155" i="1"/>
  <c r="CA155" i="1" s="1"/>
  <c r="BZ266" i="1"/>
  <c r="CA266" i="1" s="1"/>
  <c r="BZ263" i="1"/>
  <c r="CA263" i="1" s="1"/>
  <c r="BZ251" i="1"/>
  <c r="CA251" i="1" s="1"/>
  <c r="BZ271" i="1"/>
  <c r="CA271" i="1" s="1"/>
  <c r="BZ245" i="1"/>
  <c r="CA245" i="1" s="1"/>
  <c r="BZ187" i="1"/>
  <c r="CA187" i="1" s="1"/>
  <c r="BZ65" i="1"/>
  <c r="CA65" i="1" s="1"/>
  <c r="BZ83" i="1"/>
  <c r="CA83" i="1" s="1"/>
  <c r="BZ256" i="1"/>
  <c r="CA256" i="1" s="1"/>
  <c r="BZ257" i="1"/>
  <c r="CA257" i="1" s="1"/>
  <c r="BZ221" i="1"/>
  <c r="CA221" i="1" s="1"/>
  <c r="BZ261" i="1"/>
  <c r="CA261" i="1" s="1"/>
  <c r="BZ154" i="1"/>
  <c r="CA154" i="1" s="1"/>
  <c r="BZ260" i="1"/>
  <c r="CA260" i="1" s="1"/>
  <c r="BZ56" i="1"/>
  <c r="CA56" i="1" s="1"/>
  <c r="BZ303" i="1"/>
  <c r="CA303" i="1" s="1"/>
  <c r="BZ305" i="1"/>
  <c r="CA305" i="1" s="1"/>
  <c r="BZ250" i="1"/>
  <c r="CA250" i="1" s="1"/>
  <c r="BZ230" i="1"/>
  <c r="CA230" i="1" s="1"/>
  <c r="BZ135" i="1"/>
  <c r="CA135" i="1" s="1"/>
  <c r="BZ267" i="1"/>
  <c r="CA267" i="1" s="1"/>
  <c r="BZ310" i="1"/>
  <c r="CA310" i="1" s="1"/>
  <c r="BZ227" i="1"/>
  <c r="CA227" i="1" s="1"/>
  <c r="BZ139" i="1"/>
  <c r="CA139" i="1" s="1"/>
  <c r="BZ140" i="1"/>
  <c r="CA140" i="1" s="1"/>
  <c r="BZ220" i="1"/>
  <c r="CA220" i="1" s="1"/>
  <c r="BZ244" i="1"/>
  <c r="CA244" i="1" s="1"/>
  <c r="BZ133" i="1"/>
  <c r="CA133" i="1" s="1"/>
  <c r="BZ231" i="1"/>
  <c r="CA231" i="1" s="1"/>
  <c r="BZ239" i="1"/>
  <c r="CA239" i="1" s="1"/>
  <c r="BZ275" i="1"/>
  <c r="CA275" i="1" s="1"/>
  <c r="BZ178" i="1"/>
  <c r="CA178" i="1" s="1"/>
  <c r="BZ273" i="1"/>
  <c r="CA273" i="1" s="1"/>
  <c r="BZ127" i="1"/>
  <c r="CA127" i="1" s="1"/>
  <c r="BZ167" i="1"/>
  <c r="CA167" i="1" s="1"/>
  <c r="BZ234" i="1"/>
  <c r="CA234" i="1" s="1"/>
  <c r="BZ201" i="1"/>
  <c r="CA201" i="1" s="1"/>
  <c r="BZ293" i="1"/>
  <c r="CA293" i="1" s="1"/>
  <c r="BZ108" i="1"/>
  <c r="CA108" i="1" s="1"/>
  <c r="BZ130" i="1"/>
  <c r="CA130" i="1" s="1"/>
  <c r="BZ211" i="1"/>
  <c r="CA211" i="1" s="1"/>
  <c r="BZ171" i="1"/>
  <c r="CA171" i="1" s="1"/>
  <c r="CB172" i="1" s="1"/>
  <c r="CD172" i="1" s="1"/>
  <c r="BZ262" i="1"/>
  <c r="CA262" i="1" s="1"/>
  <c r="BZ173" i="1"/>
  <c r="CA173" i="1" s="1"/>
  <c r="BZ149" i="1"/>
  <c r="CA149" i="1" s="1"/>
  <c r="BZ193" i="1"/>
  <c r="CA193" i="1" s="1"/>
  <c r="BZ70" i="1"/>
  <c r="CA70" i="1" s="1"/>
  <c r="CB63" i="1"/>
  <c r="BZ55" i="1"/>
  <c r="CA55" i="1" s="1"/>
  <c r="CB62" i="1"/>
  <c r="BZ52" i="1"/>
  <c r="CA52" i="1" s="1"/>
  <c r="BZ51" i="1"/>
  <c r="CA51" i="1" s="1"/>
  <c r="BZ46" i="1"/>
  <c r="CA46" i="1" s="1"/>
  <c r="BZ47" i="1"/>
  <c r="CA47" i="1" s="1"/>
  <c r="BZ53" i="1"/>
  <c r="CA53" i="1" s="1"/>
  <c r="BZ45" i="1"/>
  <c r="CA45" i="1" s="1"/>
  <c r="BZ49" i="1"/>
  <c r="CA49" i="1" s="1"/>
  <c r="L45" i="1"/>
  <c r="BZ313" i="1"/>
  <c r="CA313" i="1" s="1"/>
  <c r="BZ48" i="1"/>
  <c r="CA48" i="1" s="1"/>
  <c r="BZ50" i="1"/>
  <c r="CA50" i="1" s="1"/>
  <c r="BZ314" i="1"/>
  <c r="CA314" i="1" s="1"/>
  <c r="BV44" i="1"/>
  <c r="BY44" i="1" s="1"/>
  <c r="BZ44" i="1" s="1"/>
  <c r="CA44" i="1" s="1"/>
  <c r="BU35" i="1"/>
  <c r="BX35" i="1" s="1"/>
  <c r="AV45" i="1"/>
  <c r="CI35" i="1"/>
  <c r="CK34" i="1"/>
  <c r="D11" i="3"/>
  <c r="E10" i="3"/>
  <c r="F10" i="3" s="1"/>
  <c r="AA33" i="1"/>
  <c r="AN33" i="1" s="1"/>
  <c r="BQ33" i="1"/>
  <c r="BO33" i="1"/>
  <c r="BN33" i="1"/>
  <c r="BM33" i="1"/>
  <c r="BL33" i="1"/>
  <c r="AT322" i="1"/>
  <c r="AT323" i="1" s="1"/>
  <c r="AT324" i="1" s="1"/>
  <c r="AT325" i="1" s="1"/>
  <c r="AT326" i="1" s="1"/>
  <c r="AT327" i="1" s="1"/>
  <c r="AT328" i="1" s="1"/>
  <c r="AT329" i="1" s="1"/>
  <c r="AT330" i="1" s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BT33" i="1"/>
  <c r="BP33" i="1"/>
  <c r="BS33" i="1"/>
  <c r="BR33" i="1"/>
  <c r="BI33" i="1"/>
  <c r="BJ33" i="1"/>
  <c r="BW33" i="1"/>
  <c r="CG33" i="1"/>
  <c r="CH33" i="1" s="1"/>
  <c r="BK33" i="1"/>
  <c r="BG317" i="1"/>
  <c r="BD317" i="1"/>
  <c r="AY317" i="1"/>
  <c r="BC317" i="1"/>
  <c r="AW317" i="1"/>
  <c r="BA317" i="1"/>
  <c r="BB317" i="1"/>
  <c r="AZ317" i="1"/>
  <c r="BH317" i="1"/>
  <c r="AX317" i="1"/>
  <c r="BE317" i="1"/>
  <c r="BF317" i="1"/>
  <c r="F14" i="1"/>
  <c r="F15" i="1"/>
  <c r="F16" i="1"/>
  <c r="F17" i="1"/>
  <c r="F18" i="1"/>
  <c r="F19" i="1"/>
  <c r="F20" i="1"/>
  <c r="CB304" i="1" l="1"/>
  <c r="CD304" i="1" s="1"/>
  <c r="CB100" i="1"/>
  <c r="CD100" i="1" s="1"/>
  <c r="CB60" i="1"/>
  <c r="CB170" i="1"/>
  <c r="CD170" i="1" s="1"/>
  <c r="CB224" i="1"/>
  <c r="CD224" i="1" s="1"/>
  <c r="CB128" i="1"/>
  <c r="CD128" i="1" s="1"/>
  <c r="CB256" i="1"/>
  <c r="CD256" i="1" s="1"/>
  <c r="CB65" i="1"/>
  <c r="CB248" i="1"/>
  <c r="CD248" i="1" s="1"/>
  <c r="CB68" i="1"/>
  <c r="CD68" i="1" s="1"/>
  <c r="CB78" i="1"/>
  <c r="CD78" i="1" s="1"/>
  <c r="CG35" i="1"/>
  <c r="CH35" i="1" s="1"/>
  <c r="CK35" i="1"/>
  <c r="Q37" i="1"/>
  <c r="CF36" i="1"/>
  <c r="CB122" i="1"/>
  <c r="CD122" i="1" s="1"/>
  <c r="CB308" i="1"/>
  <c r="CD308" i="1" s="1"/>
  <c r="CB91" i="1"/>
  <c r="CD91" i="1" s="1"/>
  <c r="CB70" i="1"/>
  <c r="CD70" i="1" s="1"/>
  <c r="CB309" i="1"/>
  <c r="CD309" i="1" s="1"/>
  <c r="CB239" i="1"/>
  <c r="CD239" i="1" s="1"/>
  <c r="CB254" i="1"/>
  <c r="CD254" i="1" s="1"/>
  <c r="CB278" i="1"/>
  <c r="CD278" i="1" s="1"/>
  <c r="CB286" i="1"/>
  <c r="CD286" i="1" s="1"/>
  <c r="CC73" i="1"/>
  <c r="CB230" i="1"/>
  <c r="CD230" i="1" s="1"/>
  <c r="CB257" i="1"/>
  <c r="CD257" i="1" s="1"/>
  <c r="CB145" i="1"/>
  <c r="CD145" i="1" s="1"/>
  <c r="CB295" i="1"/>
  <c r="CD295" i="1" s="1"/>
  <c r="CC233" i="1"/>
  <c r="CB214" i="1"/>
  <c r="CD214" i="1" s="1"/>
  <c r="CB89" i="1"/>
  <c r="CD89" i="1" s="1"/>
  <c r="CB244" i="1"/>
  <c r="CD244" i="1" s="1"/>
  <c r="CB312" i="1"/>
  <c r="CD312" i="1" s="1"/>
  <c r="CC269" i="1"/>
  <c r="CC79" i="1"/>
  <c r="CB53" i="1"/>
  <c r="CB168" i="1"/>
  <c r="CD168" i="1" s="1"/>
  <c r="CB136" i="1"/>
  <c r="CD136" i="1" s="1"/>
  <c r="CB279" i="1"/>
  <c r="CD279" i="1" s="1"/>
  <c r="CB263" i="1"/>
  <c r="CD263" i="1" s="1"/>
  <c r="CB92" i="1"/>
  <c r="CD92" i="1" s="1"/>
  <c r="CC263" i="1"/>
  <c r="X17" i="5"/>
  <c r="AA17" i="5" s="1"/>
  <c r="AH59" i="1"/>
  <c r="AC17" i="5"/>
  <c r="C23" i="5" s="1"/>
  <c r="CC140" i="1"/>
  <c r="CB293" i="1"/>
  <c r="CD293" i="1" s="1"/>
  <c r="CC215" i="1"/>
  <c r="AN17" i="5"/>
  <c r="D23" i="5" s="1"/>
  <c r="G17" i="5" s="1"/>
  <c r="AI59" i="1"/>
  <c r="AI17" i="5"/>
  <c r="AL17" i="5" s="1"/>
  <c r="CC299" i="1"/>
  <c r="CC98" i="1"/>
  <c r="CC131" i="1"/>
  <c r="CC239" i="1"/>
  <c r="CC71" i="1"/>
  <c r="CC147" i="1"/>
  <c r="CB161" i="1"/>
  <c r="CD161" i="1" s="1"/>
  <c r="CB282" i="1"/>
  <c r="CD282" i="1" s="1"/>
  <c r="CB307" i="1"/>
  <c r="CD307" i="1" s="1"/>
  <c r="CC70" i="1"/>
  <c r="CC77" i="1"/>
  <c r="CC202" i="1"/>
  <c r="CC223" i="1"/>
  <c r="CC253" i="1"/>
  <c r="CC145" i="1"/>
  <c r="CC67" i="1"/>
  <c r="CC199" i="1"/>
  <c r="CB310" i="1"/>
  <c r="CD310" i="1" s="1"/>
  <c r="BJ17" i="5"/>
  <c r="F23" i="5" s="1"/>
  <c r="BE17" i="5"/>
  <c r="BH17" i="5" s="1"/>
  <c r="AK59" i="1"/>
  <c r="AY17" i="5"/>
  <c r="E23" i="5" s="1"/>
  <c r="AJ59" i="1"/>
  <c r="AT17" i="5"/>
  <c r="AW17" i="5" s="1"/>
  <c r="CB233" i="1"/>
  <c r="CD233" i="1" s="1"/>
  <c r="CC242" i="1"/>
  <c r="CB268" i="1"/>
  <c r="CD268" i="1" s="1"/>
  <c r="CC277" i="1"/>
  <c r="CB175" i="1"/>
  <c r="CD175" i="1" s="1"/>
  <c r="CC261" i="1"/>
  <c r="CB252" i="1"/>
  <c r="CD252" i="1" s="1"/>
  <c r="CB273" i="1"/>
  <c r="CD273" i="1" s="1"/>
  <c r="CC282" i="1"/>
  <c r="CB290" i="1"/>
  <c r="CD290" i="1" s="1"/>
  <c r="CB292" i="1"/>
  <c r="CD292" i="1" s="1"/>
  <c r="CC301" i="1"/>
  <c r="CC162" i="1"/>
  <c r="CB153" i="1"/>
  <c r="CD153" i="1" s="1"/>
  <c r="CC193" i="1"/>
  <c r="CC173" i="1"/>
  <c r="CC128" i="1"/>
  <c r="CB116" i="1"/>
  <c r="CD116" i="1" s="1"/>
  <c r="CC125" i="1"/>
  <c r="CC300" i="1"/>
  <c r="CC89" i="1"/>
  <c r="CB80" i="1"/>
  <c r="CD80" i="1" s="1"/>
  <c r="CB150" i="1"/>
  <c r="CD150" i="1" s="1"/>
  <c r="CC159" i="1"/>
  <c r="CC262" i="1"/>
  <c r="CB253" i="1"/>
  <c r="CD253" i="1" s="1"/>
  <c r="CB281" i="1"/>
  <c r="CD281" i="1" s="1"/>
  <c r="CC290" i="1"/>
  <c r="CB299" i="1"/>
  <c r="CD299" i="1" s="1"/>
  <c r="CC308" i="1"/>
  <c r="CC146" i="1"/>
  <c r="CC157" i="1"/>
  <c r="CB148" i="1"/>
  <c r="CD148" i="1" s="1"/>
  <c r="CC123" i="1"/>
  <c r="CC126" i="1"/>
  <c r="CB117" i="1"/>
  <c r="CD117" i="1" s="1"/>
  <c r="CB212" i="1"/>
  <c r="CD212" i="1" s="1"/>
  <c r="CC221" i="1"/>
  <c r="CB99" i="1"/>
  <c r="CD99" i="1" s="1"/>
  <c r="CC108" i="1"/>
  <c r="CB174" i="1"/>
  <c r="CD174" i="1" s="1"/>
  <c r="CB101" i="1"/>
  <c r="CD101" i="1" s="1"/>
  <c r="CB96" i="1"/>
  <c r="CD96" i="1" s="1"/>
  <c r="CC105" i="1"/>
  <c r="CB311" i="1"/>
  <c r="CD311" i="1" s="1"/>
  <c r="CB193" i="1"/>
  <c r="CD193" i="1" s="1"/>
  <c r="CB173" i="1"/>
  <c r="CD173" i="1" s="1"/>
  <c r="CC182" i="1"/>
  <c r="CB220" i="1"/>
  <c r="CD220" i="1" s="1"/>
  <c r="CC229" i="1"/>
  <c r="CC275" i="1"/>
  <c r="CC276" i="1"/>
  <c r="CB267" i="1"/>
  <c r="CD267" i="1" s="1"/>
  <c r="CB289" i="1"/>
  <c r="CD289" i="1" s="1"/>
  <c r="CC298" i="1"/>
  <c r="CB126" i="1"/>
  <c r="CD126" i="1" s="1"/>
  <c r="CC135" i="1"/>
  <c r="CC248" i="1"/>
  <c r="CC304" i="1"/>
  <c r="CC306" i="1"/>
  <c r="CB297" i="1"/>
  <c r="CD297" i="1" s="1"/>
  <c r="CC112" i="1"/>
  <c r="CB103" i="1"/>
  <c r="CD103" i="1" s="1"/>
  <c r="CC183" i="1"/>
  <c r="CB144" i="1"/>
  <c r="CD144" i="1" s="1"/>
  <c r="CC153" i="1"/>
  <c r="CC110" i="1"/>
  <c r="CC97" i="1"/>
  <c r="CB88" i="1"/>
  <c r="CD88" i="1" s="1"/>
  <c r="CB119" i="1"/>
  <c r="CD119" i="1" s="1"/>
  <c r="CB120" i="1"/>
  <c r="CD120" i="1" s="1"/>
  <c r="CC129" i="1"/>
  <c r="CB206" i="1"/>
  <c r="CD206" i="1" s="1"/>
  <c r="CC302" i="1"/>
  <c r="CB86" i="1"/>
  <c r="CD86" i="1" s="1"/>
  <c r="CC95" i="1"/>
  <c r="CC152" i="1"/>
  <c r="CB143" i="1"/>
  <c r="CD143" i="1" s="1"/>
  <c r="CB107" i="1"/>
  <c r="CD107" i="1" s="1"/>
  <c r="CC116" i="1"/>
  <c r="CB108" i="1"/>
  <c r="CD108" i="1" s="1"/>
  <c r="CB109" i="1"/>
  <c r="CD109" i="1" s="1"/>
  <c r="CC118" i="1"/>
  <c r="CC139" i="1"/>
  <c r="CC161" i="1"/>
  <c r="CB152" i="1"/>
  <c r="CD152" i="1" s="1"/>
  <c r="CB112" i="1"/>
  <c r="CD112" i="1" s="1"/>
  <c r="CC121" i="1"/>
  <c r="CB131" i="1"/>
  <c r="CD131" i="1" s="1"/>
  <c r="CB178" i="1"/>
  <c r="CD178" i="1" s="1"/>
  <c r="CB179" i="1"/>
  <c r="CD179" i="1" s="1"/>
  <c r="CC188" i="1"/>
  <c r="CC191" i="1"/>
  <c r="CB182" i="1"/>
  <c r="CD182" i="1" s="1"/>
  <c r="CB222" i="1"/>
  <c r="CD222" i="1" s="1"/>
  <c r="CC231" i="1"/>
  <c r="CB208" i="1"/>
  <c r="CD208" i="1" s="1"/>
  <c r="CC217" i="1"/>
  <c r="CC93" i="1"/>
  <c r="CC87" i="1"/>
  <c r="CB134" i="1"/>
  <c r="CD134" i="1" s="1"/>
  <c r="CC143" i="1"/>
  <c r="CC137" i="1"/>
  <c r="CB130" i="1"/>
  <c r="CD130" i="1" s="1"/>
  <c r="CC294" i="1"/>
  <c r="CC257" i="1"/>
  <c r="CB251" i="1"/>
  <c r="CD251" i="1" s="1"/>
  <c r="CC260" i="1"/>
  <c r="CC82" i="1"/>
  <c r="CB73" i="1"/>
  <c r="CD73" i="1" s="1"/>
  <c r="CB190" i="1"/>
  <c r="CD190" i="1" s="1"/>
  <c r="CB197" i="1"/>
  <c r="CD197" i="1" s="1"/>
  <c r="CC206" i="1"/>
  <c r="CC165" i="1"/>
  <c r="CB156" i="1"/>
  <c r="CD156" i="1" s="1"/>
  <c r="CC177" i="1"/>
  <c r="CB84" i="1"/>
  <c r="CD84" i="1" s="1"/>
  <c r="CB102" i="1"/>
  <c r="CD102" i="1" s="1"/>
  <c r="CC111" i="1"/>
  <c r="CB219" i="1"/>
  <c r="CD219" i="1" s="1"/>
  <c r="CC228" i="1"/>
  <c r="CB285" i="1"/>
  <c r="CD285" i="1" s="1"/>
  <c r="CB93" i="1"/>
  <c r="CD93" i="1" s="1"/>
  <c r="CC103" i="1"/>
  <c r="CB123" i="1"/>
  <c r="CD123" i="1" s="1"/>
  <c r="CC132" i="1"/>
  <c r="CB187" i="1"/>
  <c r="CD187" i="1" s="1"/>
  <c r="CC196" i="1"/>
  <c r="CC114" i="1"/>
  <c r="CC266" i="1"/>
  <c r="CB154" i="1"/>
  <c r="CD154" i="1" s="1"/>
  <c r="CC163" i="1"/>
  <c r="CB260" i="1"/>
  <c r="CD260" i="1" s="1"/>
  <c r="CC102" i="1"/>
  <c r="CB94" i="1"/>
  <c r="CD94" i="1" s="1"/>
  <c r="CC100" i="1"/>
  <c r="CC169" i="1"/>
  <c r="CB105" i="1"/>
  <c r="CD105" i="1" s="1"/>
  <c r="CB192" i="1"/>
  <c r="CD192" i="1" s="1"/>
  <c r="CC201" i="1"/>
  <c r="CB201" i="1"/>
  <c r="CD201" i="1" s="1"/>
  <c r="CC210" i="1"/>
  <c r="CB237" i="1"/>
  <c r="CD237" i="1" s="1"/>
  <c r="CC246" i="1"/>
  <c r="CB74" i="1"/>
  <c r="CD74" i="1" s="1"/>
  <c r="CC83" i="1"/>
  <c r="CB113" i="1"/>
  <c r="CD113" i="1" s="1"/>
  <c r="CC124" i="1"/>
  <c r="CB115" i="1"/>
  <c r="CD115" i="1" s="1"/>
  <c r="CB125" i="1"/>
  <c r="CD125" i="1" s="1"/>
  <c r="CB82" i="1"/>
  <c r="CD82" i="1" s="1"/>
  <c r="CC91" i="1"/>
  <c r="CC293" i="1"/>
  <c r="CB265" i="1"/>
  <c r="CD265" i="1" s="1"/>
  <c r="CC274" i="1"/>
  <c r="CC141" i="1"/>
  <c r="CB132" i="1"/>
  <c r="CD132" i="1" s="1"/>
  <c r="CB194" i="1"/>
  <c r="CD194" i="1" s="1"/>
  <c r="CC203" i="1"/>
  <c r="CB146" i="1"/>
  <c r="CD146" i="1" s="1"/>
  <c r="CC155" i="1"/>
  <c r="CB138" i="1"/>
  <c r="CD138" i="1" s="1"/>
  <c r="CC178" i="1"/>
  <c r="CB169" i="1"/>
  <c r="CD169" i="1" s="1"/>
  <c r="CC278" i="1"/>
  <c r="CB269" i="1"/>
  <c r="CD269" i="1" s="1"/>
  <c r="CB258" i="1"/>
  <c r="CD258" i="1" s="1"/>
  <c r="CC267" i="1"/>
  <c r="CB162" i="1"/>
  <c r="CD162" i="1" s="1"/>
  <c r="CB217" i="1"/>
  <c r="CD217" i="1" s="1"/>
  <c r="CC226" i="1"/>
  <c r="CB216" i="1"/>
  <c r="CD216" i="1" s="1"/>
  <c r="CC225" i="1"/>
  <c r="CB240" i="1"/>
  <c r="CD240" i="1" s="1"/>
  <c r="CC249" i="1"/>
  <c r="CC297" i="1"/>
  <c r="CC219" i="1"/>
  <c r="CB127" i="1"/>
  <c r="CD127" i="1" s="1"/>
  <c r="CC136" i="1"/>
  <c r="CB306" i="1"/>
  <c r="CD306" i="1" s="1"/>
  <c r="CB215" i="1"/>
  <c r="CD215" i="1" s="1"/>
  <c r="CC224" i="1"/>
  <c r="CC207" i="1"/>
  <c r="CB198" i="1"/>
  <c r="CD198" i="1" s="1"/>
  <c r="CC134" i="1"/>
  <c r="CB185" i="1"/>
  <c r="CD185" i="1" s="1"/>
  <c r="CC194" i="1"/>
  <c r="CB274" i="1"/>
  <c r="CD274" i="1" s="1"/>
  <c r="CC283" i="1"/>
  <c r="CB135" i="1"/>
  <c r="CD135" i="1" s="1"/>
  <c r="CC144" i="1"/>
  <c r="CC222" i="1"/>
  <c r="CB213" i="1"/>
  <c r="CD213" i="1" s="1"/>
  <c r="CC166" i="1"/>
  <c r="CB157" i="1"/>
  <c r="CD157" i="1" s="1"/>
  <c r="CB303" i="1"/>
  <c r="CD303" i="1" s="1"/>
  <c r="CC312" i="1"/>
  <c r="CB58" i="1"/>
  <c r="CC85" i="1"/>
  <c r="CB76" i="1"/>
  <c r="CD76" i="1" s="1"/>
  <c r="CC211" i="1"/>
  <c r="CB203" i="1"/>
  <c r="CD203" i="1" s="1"/>
  <c r="CC212" i="1"/>
  <c r="CB139" i="1"/>
  <c r="CD139" i="1" s="1"/>
  <c r="CC148" i="1"/>
  <c r="CC171" i="1"/>
  <c r="CB288" i="1"/>
  <c r="CD288" i="1" s="1"/>
  <c r="CC138" i="1"/>
  <c r="CB129" i="1"/>
  <c r="CD129" i="1" s="1"/>
  <c r="CB137" i="1"/>
  <c r="CD137" i="1" s="1"/>
  <c r="CB85" i="1"/>
  <c r="CD85" i="1" s="1"/>
  <c r="CC94" i="1"/>
  <c r="CC291" i="1"/>
  <c r="CC292" i="1"/>
  <c r="CB283" i="1"/>
  <c r="CD283" i="1" s="1"/>
  <c r="CB121" i="1"/>
  <c r="CD121" i="1" s="1"/>
  <c r="CC130" i="1"/>
  <c r="CB118" i="1"/>
  <c r="CD118" i="1" s="1"/>
  <c r="CC127" i="1"/>
  <c r="CB300" i="1"/>
  <c r="CD300" i="1" s="1"/>
  <c r="CB302" i="1"/>
  <c r="CD302" i="1" s="1"/>
  <c r="CC311" i="1"/>
  <c r="CB181" i="1"/>
  <c r="CD181" i="1" s="1"/>
  <c r="CC190" i="1"/>
  <c r="CB210" i="1"/>
  <c r="CD210" i="1" s="1"/>
  <c r="CB296" i="1"/>
  <c r="CD296" i="1" s="1"/>
  <c r="CC305" i="1"/>
  <c r="CC270" i="1"/>
  <c r="CB261" i="1"/>
  <c r="CD261" i="1" s="1"/>
  <c r="CC234" i="1"/>
  <c r="CB225" i="1"/>
  <c r="CD225" i="1" s="1"/>
  <c r="CC264" i="1"/>
  <c r="CB249" i="1"/>
  <c r="CD249" i="1" s="1"/>
  <c r="CC258" i="1"/>
  <c r="CC109" i="1"/>
  <c r="CB166" i="1"/>
  <c r="CD166" i="1" s="1"/>
  <c r="CC175" i="1"/>
  <c r="CB114" i="1"/>
  <c r="CD114" i="1" s="1"/>
  <c r="CB246" i="1"/>
  <c r="CD246" i="1" s="1"/>
  <c r="CC255" i="1"/>
  <c r="CB176" i="1"/>
  <c r="CD176" i="1" s="1"/>
  <c r="CC185" i="1"/>
  <c r="CC150" i="1"/>
  <c r="CB141" i="1"/>
  <c r="CD141" i="1" s="1"/>
  <c r="CB221" i="1"/>
  <c r="CD221" i="1" s="1"/>
  <c r="CC238" i="1"/>
  <c r="CB229" i="1"/>
  <c r="CD229" i="1" s="1"/>
  <c r="CB81" i="1"/>
  <c r="CD81" i="1" s="1"/>
  <c r="CC90" i="1"/>
  <c r="CB270" i="1"/>
  <c r="CD270" i="1" s="1"/>
  <c r="CC279" i="1"/>
  <c r="CB275" i="1"/>
  <c r="CD275" i="1" s="1"/>
  <c r="CC284" i="1"/>
  <c r="CB232" i="1"/>
  <c r="CD232" i="1" s="1"/>
  <c r="CC241" i="1"/>
  <c r="CB67" i="1"/>
  <c r="CD67" i="1" s="1"/>
  <c r="CC76" i="1"/>
  <c r="CB87" i="1"/>
  <c r="CD87" i="1" s="1"/>
  <c r="CC96" i="1"/>
  <c r="CC101" i="1"/>
  <c r="CB71" i="1"/>
  <c r="CD71" i="1" s="1"/>
  <c r="CB155" i="1"/>
  <c r="CD155" i="1" s="1"/>
  <c r="CC84" i="1"/>
  <c r="CB75" i="1"/>
  <c r="CD75" i="1" s="1"/>
  <c r="CB106" i="1"/>
  <c r="CD106" i="1" s="1"/>
  <c r="CC237" i="1"/>
  <c r="CC251" i="1"/>
  <c r="CB242" i="1"/>
  <c r="CD242" i="1" s="1"/>
  <c r="CC117" i="1"/>
  <c r="CB149" i="1"/>
  <c r="CD149" i="1" s="1"/>
  <c r="CC158" i="1"/>
  <c r="CC287" i="1"/>
  <c r="CB218" i="1"/>
  <c r="CD218" i="1" s="1"/>
  <c r="CC179" i="1"/>
  <c r="CB238" i="1"/>
  <c r="CD238" i="1" s="1"/>
  <c r="CC272" i="1"/>
  <c r="CB264" i="1"/>
  <c r="CD264" i="1" s="1"/>
  <c r="CC273" i="1"/>
  <c r="CB287" i="1"/>
  <c r="CD287" i="1" s="1"/>
  <c r="CC296" i="1"/>
  <c r="CB159" i="1"/>
  <c r="CD159" i="1" s="1"/>
  <c r="CC168" i="1"/>
  <c r="CC74" i="1"/>
  <c r="CC65" i="1"/>
  <c r="CB180" i="1"/>
  <c r="CD180" i="1" s="1"/>
  <c r="CC189" i="1"/>
  <c r="CC195" i="1"/>
  <c r="CC307" i="1"/>
  <c r="CB204" i="1"/>
  <c r="CD204" i="1" s="1"/>
  <c r="CC213" i="1"/>
  <c r="CC170" i="1"/>
  <c r="CB97" i="1"/>
  <c r="CD97" i="1" s="1"/>
  <c r="CC187" i="1"/>
  <c r="CC164" i="1"/>
  <c r="CC235" i="1"/>
  <c r="CC115" i="1"/>
  <c r="CB228" i="1"/>
  <c r="CD228" i="1" s="1"/>
  <c r="CB235" i="1"/>
  <c r="CD235" i="1" s="1"/>
  <c r="CC244" i="1"/>
  <c r="CB79" i="1"/>
  <c r="CD79" i="1" s="1"/>
  <c r="CC88" i="1"/>
  <c r="CB165" i="1"/>
  <c r="CD165" i="1" s="1"/>
  <c r="CC174" i="1"/>
  <c r="CB202" i="1"/>
  <c r="CD202" i="1" s="1"/>
  <c r="CC227" i="1"/>
  <c r="CC247" i="1"/>
  <c r="CB110" i="1"/>
  <c r="CD110" i="1" s="1"/>
  <c r="CC119" i="1"/>
  <c r="CC285" i="1"/>
  <c r="CB276" i="1"/>
  <c r="CD276" i="1" s="1"/>
  <c r="CC104" i="1"/>
  <c r="CB95" i="1"/>
  <c r="CD95" i="1" s="1"/>
  <c r="CB223" i="1"/>
  <c r="CD223" i="1" s="1"/>
  <c r="CC232" i="1"/>
  <c r="CC154" i="1"/>
  <c r="CC192" i="1"/>
  <c r="CB183" i="1"/>
  <c r="CD183" i="1" s="1"/>
  <c r="CC75" i="1"/>
  <c r="CC68" i="1"/>
  <c r="CC80" i="1"/>
  <c r="CB72" i="1"/>
  <c r="CD72" i="1" s="1"/>
  <c r="CC81" i="1"/>
  <c r="CC286" i="1"/>
  <c r="CB277" i="1"/>
  <c r="CD277" i="1" s="1"/>
  <c r="CB186" i="1"/>
  <c r="CD186" i="1" s="1"/>
  <c r="CB298" i="1"/>
  <c r="CD298" i="1" s="1"/>
  <c r="CC156" i="1"/>
  <c r="CB147" i="1"/>
  <c r="CD147" i="1" s="1"/>
  <c r="CC280" i="1"/>
  <c r="CC254" i="1"/>
  <c r="CB245" i="1"/>
  <c r="CD245" i="1" s="1"/>
  <c r="CC309" i="1"/>
  <c r="CB227" i="1"/>
  <c r="CD227" i="1" s="1"/>
  <c r="CC236" i="1"/>
  <c r="CB167" i="1"/>
  <c r="CD167" i="1" s="1"/>
  <c r="CC176" i="1"/>
  <c r="CC281" i="1"/>
  <c r="CC218" i="1"/>
  <c r="CB209" i="1"/>
  <c r="CD209" i="1" s="1"/>
  <c r="CB158" i="1"/>
  <c r="CD158" i="1" s="1"/>
  <c r="CC184" i="1"/>
  <c r="CB177" i="1"/>
  <c r="CD177" i="1" s="1"/>
  <c r="CC186" i="1"/>
  <c r="CB200" i="1"/>
  <c r="CD200" i="1" s="1"/>
  <c r="CB294" i="1"/>
  <c r="CD294" i="1" s="1"/>
  <c r="CC303" i="1"/>
  <c r="CB280" i="1"/>
  <c r="CD280" i="1" s="1"/>
  <c r="CB305" i="1"/>
  <c r="CD305" i="1" s="1"/>
  <c r="CB104" i="1"/>
  <c r="CD104" i="1" s="1"/>
  <c r="CC113" i="1"/>
  <c r="CC216" i="1"/>
  <c r="CB83" i="1"/>
  <c r="CD83" i="1" s="1"/>
  <c r="CC92" i="1"/>
  <c r="CC230" i="1"/>
  <c r="CC245" i="1"/>
  <c r="CB236" i="1"/>
  <c r="CD236" i="1" s="1"/>
  <c r="CB163" i="1"/>
  <c r="CD163" i="1" s="1"/>
  <c r="CC172" i="1"/>
  <c r="CC55" i="1"/>
  <c r="CB66" i="1"/>
  <c r="CB195" i="1"/>
  <c r="CD195" i="1" s="1"/>
  <c r="CC204" i="1"/>
  <c r="CB241" i="1"/>
  <c r="CD241" i="1" s="1"/>
  <c r="CC250" i="1"/>
  <c r="CB211" i="1"/>
  <c r="CD211" i="1" s="1"/>
  <c r="CB189" i="1"/>
  <c r="CD189" i="1" s="1"/>
  <c r="CC198" i="1"/>
  <c r="CC142" i="1"/>
  <c r="CB133" i="1"/>
  <c r="CD133" i="1" s="1"/>
  <c r="CC122" i="1"/>
  <c r="CB271" i="1"/>
  <c r="CD271" i="1" s="1"/>
  <c r="CC259" i="1"/>
  <c r="CB301" i="1"/>
  <c r="CD301" i="1" s="1"/>
  <c r="CC310" i="1"/>
  <c r="CB234" i="1"/>
  <c r="CD234" i="1" s="1"/>
  <c r="CC243" i="1"/>
  <c r="CC208" i="1"/>
  <c r="CC197" i="1"/>
  <c r="CB69" i="1"/>
  <c r="CD69" i="1" s="1"/>
  <c r="CC78" i="1"/>
  <c r="CB272" i="1"/>
  <c r="CD272" i="1" s="1"/>
  <c r="CC240" i="1"/>
  <c r="CB231" i="1"/>
  <c r="CD231" i="1" s="1"/>
  <c r="CC167" i="1"/>
  <c r="CB196" i="1"/>
  <c r="CD196" i="1" s="1"/>
  <c r="CC205" i="1"/>
  <c r="CC209" i="1"/>
  <c r="CC214" i="1"/>
  <c r="CC289" i="1"/>
  <c r="CB243" i="1"/>
  <c r="CD243" i="1" s="1"/>
  <c r="CB171" i="1"/>
  <c r="CD171" i="1" s="1"/>
  <c r="CC180" i="1"/>
  <c r="CB262" i="1"/>
  <c r="CD262" i="1" s="1"/>
  <c r="CC271" i="1"/>
  <c r="CB142" i="1"/>
  <c r="CD142" i="1" s="1"/>
  <c r="CC151" i="1"/>
  <c r="CB191" i="1"/>
  <c r="CD191" i="1" s="1"/>
  <c r="CC200" i="1"/>
  <c r="CC106" i="1"/>
  <c r="CC107" i="1"/>
  <c r="CB98" i="1"/>
  <c r="CD98" i="1" s="1"/>
  <c r="CB207" i="1"/>
  <c r="CD207" i="1" s="1"/>
  <c r="CB259" i="1"/>
  <c r="CD259" i="1" s="1"/>
  <c r="CC268" i="1"/>
  <c r="CC69" i="1"/>
  <c r="CC72" i="1"/>
  <c r="CB151" i="1"/>
  <c r="CD151" i="1" s="1"/>
  <c r="CC160" i="1"/>
  <c r="CC265" i="1"/>
  <c r="CC220" i="1"/>
  <c r="CB247" i="1"/>
  <c r="CD247" i="1" s="1"/>
  <c r="CC256" i="1"/>
  <c r="CB266" i="1"/>
  <c r="CD266" i="1" s="1"/>
  <c r="CC86" i="1"/>
  <c r="CB77" i="1"/>
  <c r="CD77" i="1" s="1"/>
  <c r="CB111" i="1"/>
  <c r="CD111" i="1" s="1"/>
  <c r="CC120" i="1"/>
  <c r="CB250" i="1"/>
  <c r="CD250" i="1" s="1"/>
  <c r="CB184" i="1"/>
  <c r="CD184" i="1" s="1"/>
  <c r="CB164" i="1"/>
  <c r="CD164" i="1" s="1"/>
  <c r="CB199" i="1"/>
  <c r="CD199" i="1" s="1"/>
  <c r="CB188" i="1"/>
  <c r="CD188" i="1" s="1"/>
  <c r="CB140" i="1"/>
  <c r="CD140" i="1" s="1"/>
  <c r="CC149" i="1"/>
  <c r="CC288" i="1"/>
  <c r="CC295" i="1"/>
  <c r="CB291" i="1"/>
  <c r="CD291" i="1" s="1"/>
  <c r="CC133" i="1"/>
  <c r="CB90" i="1"/>
  <c r="CD90" i="1" s="1"/>
  <c r="CC99" i="1"/>
  <c r="CC181" i="1"/>
  <c r="CC252" i="1"/>
  <c r="CC61" i="1"/>
  <c r="CD63" i="1"/>
  <c r="CD65" i="1"/>
  <c r="CD66" i="1"/>
  <c r="CB48" i="1"/>
  <c r="CC59" i="1"/>
  <c r="CD64" i="1"/>
  <c r="CD60" i="1"/>
  <c r="CD62" i="1"/>
  <c r="CB57" i="1"/>
  <c r="CC66" i="1"/>
  <c r="CB55" i="1"/>
  <c r="CC58" i="1"/>
  <c r="CC57" i="1"/>
  <c r="CD61" i="1"/>
  <c r="CC60" i="1"/>
  <c r="CC64" i="1"/>
  <c r="CC62" i="1"/>
  <c r="CC56" i="1"/>
  <c r="CB54" i="1"/>
  <c r="CC63" i="1"/>
  <c r="CD59" i="1"/>
  <c r="CB56" i="1"/>
  <c r="CD56" i="1" s="1"/>
  <c r="CB50" i="1"/>
  <c r="CB52" i="1"/>
  <c r="CB47" i="1"/>
  <c r="CD47" i="1" s="1"/>
  <c r="CB313" i="1"/>
  <c r="CB46" i="1"/>
  <c r="CD53" i="1"/>
  <c r="CB49" i="1"/>
  <c r="CB51" i="1"/>
  <c r="CB314" i="1"/>
  <c r="CC314" i="1"/>
  <c r="L46" i="1"/>
  <c r="CC313" i="1"/>
  <c r="D12" i="3"/>
  <c r="E11" i="3"/>
  <c r="F11" i="3" s="1"/>
  <c r="AA34" i="1"/>
  <c r="AN34" i="1" s="1"/>
  <c r="G15" i="1"/>
  <c r="G14" i="1"/>
  <c r="G18" i="1"/>
  <c r="G16" i="1"/>
  <c r="G19" i="1"/>
  <c r="G17" i="1"/>
  <c r="S28" i="1"/>
  <c r="S27" i="1"/>
  <c r="S25" i="1"/>
  <c r="S24" i="1"/>
  <c r="S22" i="1"/>
  <c r="S21" i="1"/>
  <c r="S19" i="1"/>
  <c r="S18" i="1"/>
  <c r="S16" i="1"/>
  <c r="S15" i="1"/>
  <c r="V20" i="1"/>
  <c r="AA20" i="1" s="1"/>
  <c r="V19" i="1"/>
  <c r="V18" i="1"/>
  <c r="V15" i="1"/>
  <c r="V16" i="1"/>
  <c r="V17" i="1"/>
  <c r="AA17" i="1" s="1"/>
  <c r="V14" i="1"/>
  <c r="AA14" i="1" s="1"/>
  <c r="T19" i="1"/>
  <c r="T18" i="1"/>
  <c r="T16" i="1"/>
  <c r="T15" i="1"/>
  <c r="P18" i="1"/>
  <c r="O19" i="1"/>
  <c r="O18" i="1"/>
  <c r="O16" i="1"/>
  <c r="O15" i="1"/>
  <c r="P15" i="1"/>
  <c r="M16" i="1"/>
  <c r="M15" i="1"/>
  <c r="AR14" i="1"/>
  <c r="AU14" i="1" s="1"/>
  <c r="AR15" i="1"/>
  <c r="AU15" i="1" s="1"/>
  <c r="AR16" i="1"/>
  <c r="AU16" i="1" s="1"/>
  <c r="AR17" i="1"/>
  <c r="AU17" i="1" s="1"/>
  <c r="AR18" i="1"/>
  <c r="AU18" i="1" s="1"/>
  <c r="AR19" i="1"/>
  <c r="AU19" i="1" s="1"/>
  <c r="AR20" i="1"/>
  <c r="M19" i="1"/>
  <c r="M18" i="1"/>
  <c r="M28" i="1"/>
  <c r="AA28" i="1" s="1"/>
  <c r="M27" i="1"/>
  <c r="M25" i="1"/>
  <c r="M24" i="1"/>
  <c r="M22" i="1"/>
  <c r="M21" i="1"/>
  <c r="F28" i="1"/>
  <c r="T28" i="1"/>
  <c r="F29" i="1"/>
  <c r="F30" i="1"/>
  <c r="CG36" i="1" l="1"/>
  <c r="CH36" i="1" s="1"/>
  <c r="CK36" i="1"/>
  <c r="CL36" i="1"/>
  <c r="Q38" i="1"/>
  <c r="CF37" i="1"/>
  <c r="CI36" i="1"/>
  <c r="CD58" i="1"/>
  <c r="BL17" i="5"/>
  <c r="BG17" i="5"/>
  <c r="AK17" i="5"/>
  <c r="AP17" i="5"/>
  <c r="AM59" i="1"/>
  <c r="BA17" i="5"/>
  <c r="AV17" i="5"/>
  <c r="AE17" i="5"/>
  <c r="Z17" i="5"/>
  <c r="CD48" i="1"/>
  <c r="CD52" i="1"/>
  <c r="CD54" i="1"/>
  <c r="CD57" i="1"/>
  <c r="CD55" i="1"/>
  <c r="CD50" i="1"/>
  <c r="CD314" i="1"/>
  <c r="CD49" i="1"/>
  <c r="CD46" i="1"/>
  <c r="CD313" i="1"/>
  <c r="CD51" i="1"/>
  <c r="L47" i="1"/>
  <c r="AA15" i="1"/>
  <c r="AN15" i="1" s="1"/>
  <c r="AA19" i="1"/>
  <c r="AN19" i="1" s="1"/>
  <c r="AA18" i="1"/>
  <c r="AN18" i="1" s="1"/>
  <c r="E12" i="3"/>
  <c r="F12" i="3" s="1"/>
  <c r="D13" i="3"/>
  <c r="AA16" i="1"/>
  <c r="AN16" i="1" s="1"/>
  <c r="AA35" i="1"/>
  <c r="AN35" i="1" s="1"/>
  <c r="CG18" i="1"/>
  <c r="CH18" i="1" s="1"/>
  <c r="CG14" i="1"/>
  <c r="CH14" i="1" s="1"/>
  <c r="CG17" i="1"/>
  <c r="CH17" i="1" s="1"/>
  <c r="BO18" i="1"/>
  <c r="BP18" i="1"/>
  <c r="BS18" i="1"/>
  <c r="BI18" i="1"/>
  <c r="AV30" i="1"/>
  <c r="BQ18" i="1"/>
  <c r="BR18" i="1"/>
  <c r="BT18" i="1"/>
  <c r="BJ18" i="1"/>
  <c r="BK18" i="1"/>
  <c r="BL18" i="1"/>
  <c r="BM18" i="1"/>
  <c r="BN18" i="1"/>
  <c r="BS15" i="1"/>
  <c r="BI15" i="1"/>
  <c r="BT15" i="1"/>
  <c r="BJ15" i="1"/>
  <c r="BK15" i="1"/>
  <c r="BM15" i="1"/>
  <c r="BL15" i="1"/>
  <c r="BN15" i="1"/>
  <c r="BO15" i="1"/>
  <c r="BP15" i="1"/>
  <c r="BQ15" i="1"/>
  <c r="AV27" i="1"/>
  <c r="BR15" i="1"/>
  <c r="BR14" i="1"/>
  <c r="BL14" i="1"/>
  <c r="BJ14" i="1"/>
  <c r="BK14" i="1"/>
  <c r="BM14" i="1"/>
  <c r="BN14" i="1"/>
  <c r="BO14" i="1"/>
  <c r="BP14" i="1"/>
  <c r="BQ14" i="1"/>
  <c r="BS14" i="1"/>
  <c r="BT14" i="1"/>
  <c r="AV26" i="1"/>
  <c r="BI14" i="1"/>
  <c r="BW19" i="1"/>
  <c r="BS19" i="1"/>
  <c r="BT19" i="1"/>
  <c r="BI19" i="1"/>
  <c r="BJ19" i="1"/>
  <c r="BK19" i="1"/>
  <c r="BL19" i="1"/>
  <c r="BM19" i="1"/>
  <c r="AV31" i="1"/>
  <c r="BN19" i="1"/>
  <c r="BO19" i="1"/>
  <c r="BP19" i="1"/>
  <c r="BQ19" i="1"/>
  <c r="BR19" i="1"/>
  <c r="AV28" i="1"/>
  <c r="BQ16" i="1"/>
  <c r="BI16" i="1"/>
  <c r="BK16" i="1"/>
  <c r="BJ16" i="1"/>
  <c r="BM16" i="1"/>
  <c r="BL16" i="1"/>
  <c r="BN16" i="1"/>
  <c r="BO16" i="1"/>
  <c r="BP16" i="1"/>
  <c r="BR16" i="1"/>
  <c r="BS16" i="1"/>
  <c r="BT16" i="1"/>
  <c r="BK17" i="1"/>
  <c r="BO17" i="1"/>
  <c r="BQ17" i="1"/>
  <c r="AV29" i="1"/>
  <c r="BL17" i="1"/>
  <c r="BM17" i="1"/>
  <c r="BN17" i="1"/>
  <c r="BP17" i="1"/>
  <c r="BR17" i="1"/>
  <c r="BS17" i="1"/>
  <c r="BT17" i="1"/>
  <c r="BI17" i="1"/>
  <c r="BJ17" i="1"/>
  <c r="BU19" i="1"/>
  <c r="BX19" i="1" s="1"/>
  <c r="BU18" i="1"/>
  <c r="BX18" i="1" s="1"/>
  <c r="BW16" i="1"/>
  <c r="BW15" i="1"/>
  <c r="BZ15" i="1" s="1"/>
  <c r="CA15" i="1" s="1"/>
  <c r="BU17" i="1"/>
  <c r="BX17" i="1" s="1"/>
  <c r="BW14" i="1"/>
  <c r="BZ14" i="1" s="1"/>
  <c r="CA14" i="1" s="1"/>
  <c r="BU16" i="1"/>
  <c r="BX16" i="1" s="1"/>
  <c r="CL17" i="1"/>
  <c r="BW17" i="1"/>
  <c r="BW18" i="1"/>
  <c r="AN17" i="1"/>
  <c r="AN14" i="1"/>
  <c r="G28" i="1"/>
  <c r="G29" i="1"/>
  <c r="CI38" i="1" l="1"/>
  <c r="CI37" i="1"/>
  <c r="Q39" i="1"/>
  <c r="CF38" i="1"/>
  <c r="CG37" i="1"/>
  <c r="CH37" i="1" s="1"/>
  <c r="CK37" i="1"/>
  <c r="CL37" i="1"/>
  <c r="AF17" i="5"/>
  <c r="AD17" i="5"/>
  <c r="BB17" i="5"/>
  <c r="AZ17" i="5"/>
  <c r="AQ17" i="5"/>
  <c r="AO17" i="5"/>
  <c r="BM17" i="5"/>
  <c r="BK17" i="5"/>
  <c r="L48" i="1"/>
  <c r="CK18" i="1"/>
  <c r="CK19" i="1"/>
  <c r="D14" i="3"/>
  <c r="E13" i="3"/>
  <c r="F13" i="3" s="1"/>
  <c r="AA36" i="1"/>
  <c r="AN36" i="1" s="1"/>
  <c r="BZ16" i="1"/>
  <c r="CA16" i="1" s="1"/>
  <c r="CB16" i="1" s="1"/>
  <c r="CJ16" i="1" s="1"/>
  <c r="CI16" i="1"/>
  <c r="CG19" i="1"/>
  <c r="CH19" i="1" s="1"/>
  <c r="CG16" i="1"/>
  <c r="CH16" i="1" s="1"/>
  <c r="CI18" i="1"/>
  <c r="CI19" i="1"/>
  <c r="CI17" i="1"/>
  <c r="CK17" i="1"/>
  <c r="BZ17" i="1"/>
  <c r="CA17" i="1" s="1"/>
  <c r="CL18" i="1"/>
  <c r="CG15" i="1"/>
  <c r="CH15" i="1" s="1"/>
  <c r="BZ19" i="1"/>
  <c r="CA19" i="1" s="1"/>
  <c r="CL19" i="1"/>
  <c r="CK16" i="1"/>
  <c r="CK15" i="1"/>
  <c r="BZ18" i="1"/>
  <c r="CG38" i="1" l="1"/>
  <c r="CH38" i="1" s="1"/>
  <c r="CL38" i="1"/>
  <c r="CK38" i="1"/>
  <c r="Q40" i="1"/>
  <c r="CF39" i="1"/>
  <c r="X18" i="5"/>
  <c r="AA18" i="5" s="1"/>
  <c r="AC18" i="5"/>
  <c r="C24" i="5" s="1"/>
  <c r="AH60" i="1"/>
  <c r="AK60" i="1"/>
  <c r="BE18" i="5"/>
  <c r="BH18" i="5" s="1"/>
  <c r="BJ18" i="5"/>
  <c r="F24" i="5" s="1"/>
  <c r="AN18" i="5"/>
  <c r="D24" i="5" s="1"/>
  <c r="G18" i="5" s="1"/>
  <c r="AI18" i="5"/>
  <c r="AL18" i="5" s="1"/>
  <c r="AI60" i="1"/>
  <c r="AY18" i="5"/>
  <c r="E24" i="5" s="1"/>
  <c r="AJ60" i="1"/>
  <c r="AT18" i="5"/>
  <c r="AW18" i="5" s="1"/>
  <c r="CB17" i="1"/>
  <c r="CJ17" i="1" s="1"/>
  <c r="L49" i="1"/>
  <c r="D15" i="3"/>
  <c r="E14" i="3"/>
  <c r="F14" i="3" s="1"/>
  <c r="AA37" i="1"/>
  <c r="AN37" i="1" s="1"/>
  <c r="CA18" i="1"/>
  <c r="CG39" i="1" l="1"/>
  <c r="CH39" i="1" s="1"/>
  <c r="CL39" i="1"/>
  <c r="CK39" i="1"/>
  <c r="CI39" i="1"/>
  <c r="Q41" i="1"/>
  <c r="CF40" i="1"/>
  <c r="AP18" i="5"/>
  <c r="AK18" i="5"/>
  <c r="AM60" i="1"/>
  <c r="BA18" i="5"/>
  <c r="AV18" i="5"/>
  <c r="BL18" i="5"/>
  <c r="BG18" i="5"/>
  <c r="AE18" i="5"/>
  <c r="Z18" i="5"/>
  <c r="L50" i="1"/>
  <c r="E15" i="3"/>
  <c r="F15" i="3" s="1"/>
  <c r="D16" i="3"/>
  <c r="AA38" i="1"/>
  <c r="AN38" i="1" s="1"/>
  <c r="CB19" i="1"/>
  <c r="CJ19" i="1" s="1"/>
  <c r="CB18" i="1"/>
  <c r="CJ18" i="1" s="1"/>
  <c r="CG40" i="1" l="1"/>
  <c r="CH40" i="1" s="1"/>
  <c r="CL40" i="1"/>
  <c r="CK40" i="1"/>
  <c r="CI40" i="1"/>
  <c r="Q42" i="1"/>
  <c r="CF41" i="1"/>
  <c r="CI41" i="1"/>
  <c r="AF18" i="5"/>
  <c r="AD18" i="5"/>
  <c r="BM18" i="5"/>
  <c r="BK18" i="5"/>
  <c r="BB18" i="5"/>
  <c r="AZ18" i="5"/>
  <c r="AQ18" i="5"/>
  <c r="AO18" i="5"/>
  <c r="L51" i="1"/>
  <c r="E16" i="3"/>
  <c r="F16" i="3" s="1"/>
  <c r="D17" i="3"/>
  <c r="AA39" i="1"/>
  <c r="AN39" i="1" s="1"/>
  <c r="F21" i="1"/>
  <c r="G20" i="1" s="1"/>
  <c r="F22" i="1"/>
  <c r="F23" i="1"/>
  <c r="F24" i="1"/>
  <c r="F25" i="1"/>
  <c r="F26" i="1"/>
  <c r="F27" i="1"/>
  <c r="G27" i="1" s="1"/>
  <c r="F31" i="1"/>
  <c r="G30" i="1" s="1"/>
  <c r="Q43" i="1" l="1"/>
  <c r="CF42" i="1"/>
  <c r="CG41" i="1"/>
  <c r="CH41" i="1" s="1"/>
  <c r="CL41" i="1"/>
  <c r="CK41" i="1"/>
  <c r="CI42" i="1"/>
  <c r="AY19" i="5"/>
  <c r="E25" i="5" s="1"/>
  <c r="AJ61" i="1"/>
  <c r="AT19" i="5"/>
  <c r="AW19" i="5" s="1"/>
  <c r="AN19" i="5"/>
  <c r="D25" i="5" s="1"/>
  <c r="AI61" i="1"/>
  <c r="AI19" i="5"/>
  <c r="AL19" i="5" s="1"/>
  <c r="BJ19" i="5"/>
  <c r="F25" i="5" s="1"/>
  <c r="AK61" i="1"/>
  <c r="BE19" i="5"/>
  <c r="BH19" i="5" s="1"/>
  <c r="X19" i="5"/>
  <c r="AA19" i="5" s="1"/>
  <c r="AH61" i="1"/>
  <c r="AC19" i="5"/>
  <c r="C25" i="5" s="1"/>
  <c r="G19" i="5" s="1"/>
  <c r="L52" i="1"/>
  <c r="D18" i="3"/>
  <c r="E17" i="3"/>
  <c r="F17" i="3" s="1"/>
  <c r="AA40" i="1"/>
  <c r="AN40" i="1" s="1"/>
  <c r="G22" i="1"/>
  <c r="G21" i="1"/>
  <c r="G25" i="1"/>
  <c r="G26" i="1"/>
  <c r="G24" i="1"/>
  <c r="G23" i="1"/>
  <c r="G31" i="1"/>
  <c r="AR32" i="1"/>
  <c r="AU32" i="1" s="1"/>
  <c r="CM35" i="1"/>
  <c r="CM38" i="1"/>
  <c r="CM41" i="1"/>
  <c r="AR21" i="1"/>
  <c r="AU21" i="1" s="1"/>
  <c r="AV33" i="1" s="1"/>
  <c r="AR22" i="1"/>
  <c r="AU22" i="1" s="1"/>
  <c r="AV34" i="1" s="1"/>
  <c r="AR23" i="1"/>
  <c r="AU23" i="1" s="1"/>
  <c r="AV35" i="1" s="1"/>
  <c r="AR24" i="1"/>
  <c r="AU24" i="1" s="1"/>
  <c r="AV36" i="1" s="1"/>
  <c r="AR25" i="1"/>
  <c r="AU25" i="1" s="1"/>
  <c r="AV37" i="1" s="1"/>
  <c r="AR26" i="1"/>
  <c r="AU26" i="1" s="1"/>
  <c r="AV38" i="1" s="1"/>
  <c r="AR27" i="1"/>
  <c r="AU27" i="1" s="1"/>
  <c r="AV39" i="1" s="1"/>
  <c r="AR28" i="1"/>
  <c r="AU28" i="1" s="1"/>
  <c r="AV40" i="1" s="1"/>
  <c r="AR29" i="1"/>
  <c r="AU29" i="1" s="1"/>
  <c r="AV41" i="1" s="1"/>
  <c r="AR30" i="1"/>
  <c r="AU30" i="1" s="1"/>
  <c r="AV42" i="1" s="1"/>
  <c r="AR31" i="1"/>
  <c r="AU31" i="1" s="1"/>
  <c r="AV43" i="1" s="1"/>
  <c r="AU20" i="1"/>
  <c r="AN28" i="1"/>
  <c r="AN29" i="1"/>
  <c r="AI25" i="1"/>
  <c r="AM25" i="1" s="1"/>
  <c r="T27" i="1"/>
  <c r="AA27" i="1" s="1"/>
  <c r="T25" i="1"/>
  <c r="AA25" i="1" s="1"/>
  <c r="T24" i="1"/>
  <c r="T22" i="1"/>
  <c r="T21" i="1"/>
  <c r="P24" i="1"/>
  <c r="AA24" i="1" s="1"/>
  <c r="O22" i="1"/>
  <c r="O21" i="1"/>
  <c r="AA21" i="1" s="1"/>
  <c r="P21" i="1"/>
  <c r="AN20" i="1"/>
  <c r="AN23" i="1"/>
  <c r="AM61" i="1" l="1"/>
  <c r="CG42" i="1"/>
  <c r="CH42" i="1" s="1"/>
  <c r="CL42" i="1"/>
  <c r="CK42" i="1"/>
  <c r="Q44" i="1"/>
  <c r="CF43" i="1"/>
  <c r="AE19" i="5"/>
  <c r="Z19" i="5"/>
  <c r="BL19" i="5"/>
  <c r="BG19" i="5"/>
  <c r="AP19" i="5"/>
  <c r="AK19" i="5"/>
  <c r="BA19" i="5"/>
  <c r="AV19" i="5"/>
  <c r="CM34" i="1"/>
  <c r="AA22" i="1"/>
  <c r="AN22" i="1" s="1"/>
  <c r="L53" i="1"/>
  <c r="BU33" i="1"/>
  <c r="BX33" i="1" s="1"/>
  <c r="BU34" i="1"/>
  <c r="BX34" i="1" s="1"/>
  <c r="BV35" i="1"/>
  <c r="BY35" i="1" s="1"/>
  <c r="BZ35" i="1" s="1"/>
  <c r="CA35" i="1" s="1"/>
  <c r="BV40" i="1"/>
  <c r="BY40" i="1" s="1"/>
  <c r="BZ40" i="1" s="1"/>
  <c r="CA40" i="1" s="1"/>
  <c r="AV44" i="1"/>
  <c r="BV36" i="1"/>
  <c r="BY36" i="1" s="1"/>
  <c r="BZ36" i="1" s="1"/>
  <c r="CA36" i="1" s="1"/>
  <c r="BV34" i="1"/>
  <c r="BY34" i="1" s="1"/>
  <c r="BV38" i="1"/>
  <c r="BY38" i="1" s="1"/>
  <c r="BZ38" i="1" s="1"/>
  <c r="CA38" i="1" s="1"/>
  <c r="BV42" i="1"/>
  <c r="BY42" i="1" s="1"/>
  <c r="BZ42" i="1" s="1"/>
  <c r="CA42" i="1" s="1"/>
  <c r="BV37" i="1"/>
  <c r="BY37" i="1" s="1"/>
  <c r="BZ37" i="1" s="1"/>
  <c r="CA37" i="1" s="1"/>
  <c r="BV41" i="1"/>
  <c r="BY41" i="1" s="1"/>
  <c r="BZ41" i="1" s="1"/>
  <c r="CA41" i="1" s="1"/>
  <c r="BV39" i="1"/>
  <c r="BY39" i="1" s="1"/>
  <c r="BZ39" i="1" s="1"/>
  <c r="CA39" i="1" s="1"/>
  <c r="BV43" i="1"/>
  <c r="BY43" i="1" s="1"/>
  <c r="BZ43" i="1" s="1"/>
  <c r="CA43" i="1" s="1"/>
  <c r="CC54" i="1" s="1"/>
  <c r="D19" i="3"/>
  <c r="E18" i="3"/>
  <c r="F18" i="3" s="1"/>
  <c r="AA41" i="1"/>
  <c r="AN41" i="1" s="1"/>
  <c r="AN25" i="1"/>
  <c r="BV33" i="1"/>
  <c r="BY33" i="1" s="1"/>
  <c r="CG20" i="1"/>
  <c r="CH20" i="1" s="1"/>
  <c r="CI20" i="1"/>
  <c r="CG23" i="1"/>
  <c r="CH23" i="1" s="1"/>
  <c r="CM26" i="1"/>
  <c r="CG26" i="1"/>
  <c r="CH26" i="1" s="1"/>
  <c r="BW31" i="1"/>
  <c r="BJ31" i="1"/>
  <c r="BK31" i="1"/>
  <c r="BL31" i="1"/>
  <c r="BN31" i="1"/>
  <c r="BO31" i="1"/>
  <c r="BM31" i="1"/>
  <c r="BP31" i="1"/>
  <c r="BI31" i="1"/>
  <c r="BT31" i="1"/>
  <c r="BQ31" i="1"/>
  <c r="BR31" i="1"/>
  <c r="BS31" i="1"/>
  <c r="BW27" i="1"/>
  <c r="BK27" i="1"/>
  <c r="BJ27" i="1"/>
  <c r="BM27" i="1"/>
  <c r="BL27" i="1"/>
  <c r="BN27" i="1"/>
  <c r="BQ27" i="1"/>
  <c r="BO27" i="1"/>
  <c r="BP27" i="1"/>
  <c r="BR27" i="1"/>
  <c r="BS27" i="1"/>
  <c r="BT27" i="1"/>
  <c r="BI27" i="1"/>
  <c r="BW26" i="1"/>
  <c r="BR26" i="1"/>
  <c r="BS26" i="1"/>
  <c r="BT26" i="1"/>
  <c r="BL26" i="1"/>
  <c r="BJ26" i="1"/>
  <c r="BK26" i="1"/>
  <c r="BM26" i="1"/>
  <c r="BN26" i="1"/>
  <c r="BO26" i="1"/>
  <c r="BP26" i="1"/>
  <c r="BQ26" i="1"/>
  <c r="BI26" i="1"/>
  <c r="BM25" i="1"/>
  <c r="BS25" i="1"/>
  <c r="BN25" i="1"/>
  <c r="BR25" i="1"/>
  <c r="BO25" i="1"/>
  <c r="BQ25" i="1"/>
  <c r="BP25" i="1"/>
  <c r="BT25" i="1"/>
  <c r="BI25" i="1"/>
  <c r="BK25" i="1"/>
  <c r="BL25" i="1"/>
  <c r="BJ25" i="1"/>
  <c r="BS24" i="1"/>
  <c r="BJ24" i="1"/>
  <c r="BM24" i="1"/>
  <c r="BK24" i="1"/>
  <c r="BN24" i="1"/>
  <c r="BL24" i="1"/>
  <c r="BO24" i="1"/>
  <c r="BP24" i="1"/>
  <c r="BQ24" i="1"/>
  <c r="BR24" i="1"/>
  <c r="BT24" i="1"/>
  <c r="BI24" i="1"/>
  <c r="BT23" i="1"/>
  <c r="BJ23" i="1"/>
  <c r="BK23" i="1"/>
  <c r="BL23" i="1"/>
  <c r="BM23" i="1"/>
  <c r="BN23" i="1"/>
  <c r="BO23" i="1"/>
  <c r="BP23" i="1"/>
  <c r="BQ23" i="1"/>
  <c r="BS23" i="1"/>
  <c r="BR23" i="1"/>
  <c r="BI23" i="1"/>
  <c r="BO22" i="1"/>
  <c r="BS22" i="1"/>
  <c r="BP22" i="1"/>
  <c r="BQ22" i="1"/>
  <c r="BR22" i="1"/>
  <c r="BT22" i="1"/>
  <c r="BI22" i="1"/>
  <c r="BJ22" i="1"/>
  <c r="BK22" i="1"/>
  <c r="BL22" i="1"/>
  <c r="BM22" i="1"/>
  <c r="BN22" i="1"/>
  <c r="BO32" i="1"/>
  <c r="BS32" i="1"/>
  <c r="BT32" i="1"/>
  <c r="BP32" i="1"/>
  <c r="BQ32" i="1"/>
  <c r="BR32" i="1"/>
  <c r="BJ32" i="1"/>
  <c r="BK32" i="1"/>
  <c r="BL32" i="1"/>
  <c r="BM32" i="1"/>
  <c r="BN32" i="1"/>
  <c r="BI32" i="1"/>
  <c r="BK21" i="1"/>
  <c r="BP21" i="1"/>
  <c r="BL21" i="1"/>
  <c r="BM21" i="1"/>
  <c r="BO21" i="1"/>
  <c r="BN21" i="1"/>
  <c r="BQ21" i="1"/>
  <c r="BR21" i="1"/>
  <c r="BS21" i="1"/>
  <c r="BT21" i="1"/>
  <c r="BI21" i="1"/>
  <c r="BJ21" i="1"/>
  <c r="BM20" i="1"/>
  <c r="BI20" i="1"/>
  <c r="BJ20" i="1"/>
  <c r="BK20" i="1"/>
  <c r="BL20" i="1"/>
  <c r="BN20" i="1"/>
  <c r="BQ20" i="1"/>
  <c r="BO20" i="1"/>
  <c r="BP20" i="1"/>
  <c r="BR20" i="1"/>
  <c r="AV32" i="1"/>
  <c r="BS20" i="1"/>
  <c r="BT20" i="1"/>
  <c r="BW30" i="1"/>
  <c r="BK30" i="1"/>
  <c r="BJ30" i="1"/>
  <c r="BL30" i="1"/>
  <c r="BM30" i="1"/>
  <c r="BO30" i="1"/>
  <c r="BN30" i="1"/>
  <c r="BP30" i="1"/>
  <c r="BQ30" i="1"/>
  <c r="BR30" i="1"/>
  <c r="BT30" i="1"/>
  <c r="BS30" i="1"/>
  <c r="BI30" i="1"/>
  <c r="CM29" i="1"/>
  <c r="CG29" i="1"/>
  <c r="CH29" i="1" s="1"/>
  <c r="BP29" i="1"/>
  <c r="BQ29" i="1"/>
  <c r="BT29" i="1"/>
  <c r="BR29" i="1"/>
  <c r="BS29" i="1"/>
  <c r="BI29" i="1"/>
  <c r="BJ29" i="1"/>
  <c r="BK29" i="1"/>
  <c r="BL29" i="1"/>
  <c r="BM29" i="1"/>
  <c r="BN29" i="1"/>
  <c r="BO29" i="1"/>
  <c r="BW28" i="1"/>
  <c r="BL28" i="1"/>
  <c r="BR28" i="1"/>
  <c r="BM28" i="1"/>
  <c r="BN28" i="1"/>
  <c r="BO28" i="1"/>
  <c r="BP28" i="1"/>
  <c r="BQ28" i="1"/>
  <c r="BS28" i="1"/>
  <c r="BT28" i="1"/>
  <c r="BK28" i="1"/>
  <c r="BJ28" i="1"/>
  <c r="BI28" i="1"/>
  <c r="AN27" i="1"/>
  <c r="BU22" i="1"/>
  <c r="BX22" i="1" s="1"/>
  <c r="BV26" i="1"/>
  <c r="BY26" i="1" s="1"/>
  <c r="BV29" i="1"/>
  <c r="BY29" i="1" s="1"/>
  <c r="BV28" i="1"/>
  <c r="BY28" i="1" s="1"/>
  <c r="BV27" i="1"/>
  <c r="BY27" i="1" s="1"/>
  <c r="BU21" i="1"/>
  <c r="BX21" i="1" s="1"/>
  <c r="BV25" i="1"/>
  <c r="BY25" i="1" s="1"/>
  <c r="BU20" i="1"/>
  <c r="BX20" i="1" s="1"/>
  <c r="BV32" i="1"/>
  <c r="BY32" i="1" s="1"/>
  <c r="CK20" i="1"/>
  <c r="CL20" i="1"/>
  <c r="BV31" i="1"/>
  <c r="BY31" i="1" s="1"/>
  <c r="BV30" i="1"/>
  <c r="BY30" i="1" s="1"/>
  <c r="AN26" i="1"/>
  <c r="CL29" i="1"/>
  <c r="CM36" i="1"/>
  <c r="BW24" i="1"/>
  <c r="BU26" i="1"/>
  <c r="BX26" i="1" s="1"/>
  <c r="BW25" i="1"/>
  <c r="BU27" i="1"/>
  <c r="BX27" i="1" s="1"/>
  <c r="CL23" i="1"/>
  <c r="CM40" i="1"/>
  <c r="BU31" i="1"/>
  <c r="BX31" i="1" s="1"/>
  <c r="BU30" i="1"/>
  <c r="BX30" i="1" s="1"/>
  <c r="CM39" i="1"/>
  <c r="BU29" i="1"/>
  <c r="BX29" i="1" s="1"/>
  <c r="CL26" i="1"/>
  <c r="BU28" i="1"/>
  <c r="BX28" i="1" s="1"/>
  <c r="CM37" i="1"/>
  <c r="BW32" i="1"/>
  <c r="BU32" i="1"/>
  <c r="BX32" i="1" s="1"/>
  <c r="BU25" i="1"/>
  <c r="BX25" i="1" s="1"/>
  <c r="BW23" i="1"/>
  <c r="BU24" i="1"/>
  <c r="BX24" i="1" s="1"/>
  <c r="BW22" i="1"/>
  <c r="BU23" i="1"/>
  <c r="BX23" i="1" s="1"/>
  <c r="BW21" i="1"/>
  <c r="BW20" i="1"/>
  <c r="BW29" i="1"/>
  <c r="AN24" i="1"/>
  <c r="AN21" i="1"/>
  <c r="CG43" i="1" l="1"/>
  <c r="CH43" i="1" s="1"/>
  <c r="CK43" i="1"/>
  <c r="CL43" i="1"/>
  <c r="CI43" i="1"/>
  <c r="Q45" i="1"/>
  <c r="CF44" i="1"/>
  <c r="AA44" i="1"/>
  <c r="AN44" i="1" s="1"/>
  <c r="CI44" i="1"/>
  <c r="BB19" i="5"/>
  <c r="AZ19" i="5"/>
  <c r="AQ19" i="5"/>
  <c r="AO19" i="5"/>
  <c r="BM19" i="5"/>
  <c r="BK19" i="5"/>
  <c r="AF19" i="5"/>
  <c r="AD19" i="5"/>
  <c r="CL22" i="1"/>
  <c r="BZ34" i="1"/>
  <c r="CA34" i="1" s="1"/>
  <c r="CB36" i="1" s="1"/>
  <c r="CG22" i="1"/>
  <c r="CH22" i="1" s="1"/>
  <c r="CK23" i="1"/>
  <c r="L54" i="1"/>
  <c r="BZ33" i="1"/>
  <c r="CA33" i="1" s="1"/>
  <c r="CB45" i="1"/>
  <c r="CB39" i="1"/>
  <c r="CC48" i="1"/>
  <c r="CB38" i="1"/>
  <c r="CC47" i="1"/>
  <c r="CB44" i="1"/>
  <c r="CC53" i="1"/>
  <c r="CB40" i="1"/>
  <c r="CC50" i="1"/>
  <c r="CB41" i="1"/>
  <c r="CC49" i="1"/>
  <c r="CB42" i="1"/>
  <c r="CC51" i="1"/>
  <c r="CB37" i="1"/>
  <c r="CC46" i="1"/>
  <c r="CB43" i="1"/>
  <c r="CC52" i="1"/>
  <c r="E19" i="3"/>
  <c r="F19" i="3" s="1"/>
  <c r="D20" i="3"/>
  <c r="AA42" i="1"/>
  <c r="AN42" i="1" s="1"/>
  <c r="CI23" i="1"/>
  <c r="CM33" i="1"/>
  <c r="CI29" i="1"/>
  <c r="CI25" i="1"/>
  <c r="CI21" i="1"/>
  <c r="CI26" i="1"/>
  <c r="CG25" i="1"/>
  <c r="CH25" i="1" s="1"/>
  <c r="CI27" i="1"/>
  <c r="CI22" i="1"/>
  <c r="CI24" i="1"/>
  <c r="CI28" i="1"/>
  <c r="CK24" i="1"/>
  <c r="CG24" i="1"/>
  <c r="CH24" i="1" s="1"/>
  <c r="BR317" i="1"/>
  <c r="BF318" i="1" s="1"/>
  <c r="AR330" i="1" s="1"/>
  <c r="AR342" i="1" s="1"/>
  <c r="BS317" i="1"/>
  <c r="BG318" i="1" s="1"/>
  <c r="AR331" i="1" s="1"/>
  <c r="AR343" i="1" s="1"/>
  <c r="BL317" i="1"/>
  <c r="AZ318" i="1" s="1"/>
  <c r="AR324" i="1" s="1"/>
  <c r="AR336" i="1" s="1"/>
  <c r="CM28" i="1"/>
  <c r="CG28" i="1"/>
  <c r="CH28" i="1" s="1"/>
  <c r="BO317" i="1"/>
  <c r="BC318" i="1" s="1"/>
  <c r="AR327" i="1" s="1"/>
  <c r="AR339" i="1" s="1"/>
  <c r="BQ317" i="1"/>
  <c r="BE318" i="1" s="1"/>
  <c r="AR329" i="1" s="1"/>
  <c r="AR341" i="1" s="1"/>
  <c r="BK317" i="1"/>
  <c r="AY318" i="1" s="1"/>
  <c r="AR323" i="1" s="1"/>
  <c r="AR335" i="1" s="1"/>
  <c r="CM27" i="1"/>
  <c r="CG27" i="1"/>
  <c r="CH27" i="1" s="1"/>
  <c r="BP317" i="1"/>
  <c r="BD318" i="1" s="1"/>
  <c r="AR328" i="1" s="1"/>
  <c r="AR340" i="1" s="1"/>
  <c r="BJ317" i="1"/>
  <c r="AX318" i="1" s="1"/>
  <c r="AR322" i="1" s="1"/>
  <c r="AR334" i="1" s="1"/>
  <c r="BT317" i="1"/>
  <c r="BH318" i="1" s="1"/>
  <c r="AR332" i="1" s="1"/>
  <c r="AR344" i="1" s="1"/>
  <c r="CL21" i="1"/>
  <c r="CG21" i="1"/>
  <c r="CH21" i="1" s="1"/>
  <c r="BI317" i="1"/>
  <c r="AW318" i="1" s="1"/>
  <c r="AR321" i="1" s="1"/>
  <c r="BM317" i="1"/>
  <c r="BA318" i="1" s="1"/>
  <c r="AR325" i="1" s="1"/>
  <c r="AR337" i="1" s="1"/>
  <c r="BN317" i="1"/>
  <c r="BB318" i="1" s="1"/>
  <c r="AR326" i="1" s="1"/>
  <c r="AR338" i="1" s="1"/>
  <c r="BZ21" i="1"/>
  <c r="CA21" i="1" s="1"/>
  <c r="BZ28" i="1"/>
  <c r="CA28" i="1" s="1"/>
  <c r="BZ27" i="1"/>
  <c r="CA27" i="1" s="1"/>
  <c r="BZ30" i="1"/>
  <c r="CA30" i="1" s="1"/>
  <c r="BZ20" i="1"/>
  <c r="CA20" i="1" s="1"/>
  <c r="BZ26" i="1"/>
  <c r="CA26" i="1" s="1"/>
  <c r="BZ22" i="1"/>
  <c r="CA22" i="1" s="1"/>
  <c r="BZ31" i="1"/>
  <c r="CA31" i="1" s="1"/>
  <c r="CK22" i="1"/>
  <c r="CL24" i="1"/>
  <c r="CK21" i="1"/>
  <c r="BZ24" i="1"/>
  <c r="CA24" i="1" s="1"/>
  <c r="BZ29" i="1"/>
  <c r="CA29" i="1" s="1"/>
  <c r="BZ23" i="1"/>
  <c r="CA23" i="1" s="1"/>
  <c r="BZ25" i="1"/>
  <c r="CA25" i="1" s="1"/>
  <c r="BZ32" i="1"/>
  <c r="CA32" i="1" s="1"/>
  <c r="CK25" i="1"/>
  <c r="CL25" i="1"/>
  <c r="CK26" i="1"/>
  <c r="CL27" i="1"/>
  <c r="CK27" i="1"/>
  <c r="CL28" i="1"/>
  <c r="CK28" i="1"/>
  <c r="CK29" i="1"/>
  <c r="CL44" i="1" l="1"/>
  <c r="CK44" i="1"/>
  <c r="CG44" i="1"/>
  <c r="CH44" i="1" s="1"/>
  <c r="Q46" i="1"/>
  <c r="CF45" i="1"/>
  <c r="AA45" i="1"/>
  <c r="AN45" i="1" s="1"/>
  <c r="AC20" i="5"/>
  <c r="C26" i="5" s="1"/>
  <c r="G20" i="5" s="1"/>
  <c r="X20" i="5"/>
  <c r="AA20" i="5" s="1"/>
  <c r="AH62" i="1"/>
  <c r="BJ20" i="5"/>
  <c r="F26" i="5" s="1"/>
  <c r="AK62" i="1"/>
  <c r="BE20" i="5"/>
  <c r="BH20" i="5" s="1"/>
  <c r="AI62" i="1"/>
  <c r="AI20" i="5"/>
  <c r="AL20" i="5" s="1"/>
  <c r="AN20" i="5"/>
  <c r="D26" i="5" s="1"/>
  <c r="AY20" i="5"/>
  <c r="E26" i="5" s="1"/>
  <c r="AJ62" i="1"/>
  <c r="AT20" i="5"/>
  <c r="AW20" i="5" s="1"/>
  <c r="CC45" i="1"/>
  <c r="CB35" i="1"/>
  <c r="CD35" i="1" s="1"/>
  <c r="CC41" i="1"/>
  <c r="L55" i="1"/>
  <c r="CC44" i="1"/>
  <c r="CJ39" i="1"/>
  <c r="CD39" i="1"/>
  <c r="CJ44" i="1"/>
  <c r="CD44" i="1"/>
  <c r="CD43" i="1"/>
  <c r="CJ43" i="1"/>
  <c r="CD45" i="1"/>
  <c r="CJ45" i="1"/>
  <c r="CC43" i="1"/>
  <c r="CC42" i="1"/>
  <c r="CJ37" i="1"/>
  <c r="CD37" i="1"/>
  <c r="CJ36" i="1"/>
  <c r="CD36" i="1"/>
  <c r="CD42" i="1"/>
  <c r="CJ42" i="1"/>
  <c r="CD41" i="1"/>
  <c r="CJ41" i="1"/>
  <c r="CJ40" i="1"/>
  <c r="CD40" i="1"/>
  <c r="CJ38" i="1"/>
  <c r="CD38" i="1"/>
  <c r="CB34" i="1"/>
  <c r="CC37" i="1"/>
  <c r="CC38" i="1"/>
  <c r="CC39" i="1"/>
  <c r="CC40" i="1"/>
  <c r="D21" i="3"/>
  <c r="E20" i="3"/>
  <c r="F20" i="3" s="1"/>
  <c r="CC36" i="1"/>
  <c r="CC34" i="1"/>
  <c r="CC35" i="1"/>
  <c r="AA43" i="1"/>
  <c r="AN43" i="1" s="1"/>
  <c r="CC33" i="1"/>
  <c r="CB33" i="1"/>
  <c r="AS331" i="1"/>
  <c r="AS337" i="1"/>
  <c r="AS332" i="1"/>
  <c r="AS333" i="1"/>
  <c r="AS341" i="1"/>
  <c r="AS334" i="1"/>
  <c r="AS335" i="1"/>
  <c r="AS336" i="1"/>
  <c r="AR333" i="1"/>
  <c r="AS322" i="1"/>
  <c r="AS338" i="1"/>
  <c r="AS323" i="1"/>
  <c r="AS339" i="1"/>
  <c r="AS324" i="1"/>
  <c r="AS340" i="1"/>
  <c r="AS325" i="1"/>
  <c r="AS326" i="1"/>
  <c r="AS342" i="1"/>
  <c r="AS327" i="1"/>
  <c r="AS343" i="1"/>
  <c r="AS329" i="1"/>
  <c r="AS321" i="1"/>
  <c r="AS328" i="1"/>
  <c r="AS344" i="1"/>
  <c r="AS330" i="1"/>
  <c r="CB24" i="1"/>
  <c r="CB21" i="1"/>
  <c r="CD21" i="1" s="1"/>
  <c r="CB20" i="1"/>
  <c r="CD20" i="1" s="1"/>
  <c r="CB28" i="1"/>
  <c r="CD28" i="1" s="1"/>
  <c r="CB25" i="1"/>
  <c r="CC28" i="1"/>
  <c r="CC25" i="1"/>
  <c r="CC26" i="1"/>
  <c r="CC27" i="1"/>
  <c r="CC31" i="1"/>
  <c r="CB23" i="1"/>
  <c r="CB22" i="1"/>
  <c r="CD22" i="1" s="1"/>
  <c r="CC30" i="1"/>
  <c r="CC29" i="1"/>
  <c r="CB31" i="1"/>
  <c r="CB29" i="1"/>
  <c r="CB32" i="1"/>
  <c r="CC32" i="1"/>
  <c r="CB30" i="1"/>
  <c r="CB27" i="1"/>
  <c r="CB26" i="1"/>
  <c r="CK45" i="1" l="1"/>
  <c r="CL45" i="1"/>
  <c r="CG45" i="1"/>
  <c r="CH45" i="1" s="1"/>
  <c r="CM45" i="1"/>
  <c r="CI45" i="1"/>
  <c r="Q47" i="1"/>
  <c r="CF46" i="1"/>
  <c r="AA46" i="1"/>
  <c r="AN46" i="1" s="1"/>
  <c r="AP20" i="5"/>
  <c r="AK20" i="5"/>
  <c r="BL20" i="5"/>
  <c r="BG20" i="5"/>
  <c r="AM62" i="1"/>
  <c r="BA20" i="5"/>
  <c r="AV20" i="5"/>
  <c r="AE20" i="5"/>
  <c r="Z20" i="5"/>
  <c r="CJ35" i="1"/>
  <c r="L56" i="1"/>
  <c r="L57" i="1" s="1"/>
  <c r="L58" i="1" s="1"/>
  <c r="L59" i="1" s="1"/>
  <c r="CJ34" i="1"/>
  <c r="CD34" i="1"/>
  <c r="D22" i="3"/>
  <c r="E21" i="3"/>
  <c r="F21" i="3" s="1"/>
  <c r="CD33" i="1"/>
  <c r="CJ33" i="1"/>
  <c r="CJ20" i="1"/>
  <c r="CJ21" i="1"/>
  <c r="CJ22" i="1"/>
  <c r="CJ28" i="1"/>
  <c r="CD27" i="1"/>
  <c r="CJ27" i="1"/>
  <c r="CD23" i="1"/>
  <c r="CJ23" i="1"/>
  <c r="CD26" i="1"/>
  <c r="CJ26" i="1"/>
  <c r="CD25" i="1"/>
  <c r="CJ25" i="1"/>
  <c r="CD24" i="1"/>
  <c r="CJ24" i="1"/>
  <c r="CD30" i="1"/>
  <c r="CD29" i="1"/>
  <c r="CJ29" i="1"/>
  <c r="CD31" i="1"/>
  <c r="CD32" i="1"/>
  <c r="CI47" i="1" l="1"/>
  <c r="Q48" i="1"/>
  <c r="CF47" i="1"/>
  <c r="AA47" i="1"/>
  <c r="AN47" i="1" s="1"/>
  <c r="CG46" i="1"/>
  <c r="CH46" i="1" s="1"/>
  <c r="CL46" i="1"/>
  <c r="CM46" i="1"/>
  <c r="CK46" i="1"/>
  <c r="CJ46" i="1"/>
  <c r="CI46" i="1"/>
  <c r="AF20" i="5"/>
  <c r="AD20" i="5"/>
  <c r="BB20" i="5"/>
  <c r="AZ20" i="5"/>
  <c r="L60" i="1"/>
  <c r="BM20" i="5"/>
  <c r="BK20" i="5"/>
  <c r="AQ20" i="5"/>
  <c r="AO20" i="5"/>
  <c r="E22" i="3"/>
  <c r="F22" i="3" s="1"/>
  <c r="D23" i="3"/>
  <c r="CG47" i="1" l="1"/>
  <c r="CH47" i="1" s="1"/>
  <c r="CL47" i="1"/>
  <c r="CM47" i="1"/>
  <c r="CK47" i="1"/>
  <c r="CJ47" i="1"/>
  <c r="Q49" i="1"/>
  <c r="CF48" i="1"/>
  <c r="AA48" i="1"/>
  <c r="AN48" i="1" s="1"/>
  <c r="AI63" i="1"/>
  <c r="AI21" i="5"/>
  <c r="AL21" i="5" s="1"/>
  <c r="AN21" i="5"/>
  <c r="D27" i="5" s="1"/>
  <c r="AK63" i="1"/>
  <c r="BE21" i="5"/>
  <c r="BH21" i="5" s="1"/>
  <c r="BJ21" i="5"/>
  <c r="F27" i="5" s="1"/>
  <c r="L61" i="1"/>
  <c r="AY21" i="5"/>
  <c r="E27" i="5" s="1"/>
  <c r="AJ63" i="1"/>
  <c r="AT21" i="5"/>
  <c r="AW21" i="5" s="1"/>
  <c r="AH63" i="1"/>
  <c r="AC21" i="5"/>
  <c r="C27" i="5" s="1"/>
  <c r="G21" i="5" s="1"/>
  <c r="X21" i="5"/>
  <c r="AA21" i="5" s="1"/>
  <c r="CE61" i="1"/>
  <c r="CE69" i="1"/>
  <c r="CE77" i="1"/>
  <c r="CE85" i="1"/>
  <c r="CE93" i="1"/>
  <c r="CE101" i="1"/>
  <c r="CE109" i="1"/>
  <c r="CE117" i="1"/>
  <c r="CE125" i="1"/>
  <c r="CE133" i="1"/>
  <c r="CE141" i="1"/>
  <c r="CE149" i="1"/>
  <c r="CE157" i="1"/>
  <c r="CE165" i="1"/>
  <c r="CE173" i="1"/>
  <c r="CE181" i="1"/>
  <c r="CE189" i="1"/>
  <c r="CE197" i="1"/>
  <c r="CE205" i="1"/>
  <c r="CE213" i="1"/>
  <c r="CE221" i="1"/>
  <c r="CE229" i="1"/>
  <c r="CE237" i="1"/>
  <c r="CE245" i="1"/>
  <c r="CE253" i="1"/>
  <c r="CE261" i="1"/>
  <c r="CE269" i="1"/>
  <c r="CE277" i="1"/>
  <c r="CE285" i="1"/>
  <c r="CE293" i="1"/>
  <c r="CE301" i="1"/>
  <c r="CE309" i="1"/>
  <c r="CE66" i="1"/>
  <c r="CE242" i="1"/>
  <c r="CE266" i="1"/>
  <c r="CE64" i="1"/>
  <c r="CE72" i="1"/>
  <c r="CE80" i="1"/>
  <c r="CE88" i="1"/>
  <c r="CE96" i="1"/>
  <c r="CE104" i="1"/>
  <c r="CE112" i="1"/>
  <c r="CE120" i="1"/>
  <c r="CE128" i="1"/>
  <c r="CE136" i="1"/>
  <c r="CE144" i="1"/>
  <c r="CE152" i="1"/>
  <c r="CE160" i="1"/>
  <c r="CE168" i="1"/>
  <c r="CE176" i="1"/>
  <c r="CE184" i="1"/>
  <c r="CE192" i="1"/>
  <c r="CE200" i="1"/>
  <c r="CE208" i="1"/>
  <c r="CE216" i="1"/>
  <c r="CE224" i="1"/>
  <c r="CE232" i="1"/>
  <c r="CE240" i="1"/>
  <c r="CE248" i="1"/>
  <c r="CE256" i="1"/>
  <c r="CE264" i="1"/>
  <c r="CE272" i="1"/>
  <c r="CE280" i="1"/>
  <c r="CE288" i="1"/>
  <c r="CE296" i="1"/>
  <c r="CE304" i="1"/>
  <c r="CE312" i="1"/>
  <c r="CE59" i="1"/>
  <c r="CE67" i="1"/>
  <c r="CE75" i="1"/>
  <c r="CE83" i="1"/>
  <c r="CE91" i="1"/>
  <c r="CE99" i="1"/>
  <c r="CE107" i="1"/>
  <c r="CE115" i="1"/>
  <c r="CE123" i="1"/>
  <c r="CE131" i="1"/>
  <c r="CE139" i="1"/>
  <c r="CE147" i="1"/>
  <c r="CE155" i="1"/>
  <c r="CE163" i="1"/>
  <c r="CE171" i="1"/>
  <c r="CE179" i="1"/>
  <c r="CE187" i="1"/>
  <c r="CE195" i="1"/>
  <c r="CE203" i="1"/>
  <c r="CE211" i="1"/>
  <c r="CE219" i="1"/>
  <c r="CE227" i="1"/>
  <c r="CE235" i="1"/>
  <c r="CE243" i="1"/>
  <c r="CE251" i="1"/>
  <c r="CE259" i="1"/>
  <c r="CE267" i="1"/>
  <c r="CE275" i="1"/>
  <c r="CE283" i="1"/>
  <c r="CE291" i="1"/>
  <c r="CE299" i="1"/>
  <c r="CE307" i="1"/>
  <c r="CE298" i="1"/>
  <c r="CE62" i="1"/>
  <c r="CE70" i="1"/>
  <c r="CE78" i="1"/>
  <c r="CE86" i="1"/>
  <c r="CE94" i="1"/>
  <c r="CE102" i="1"/>
  <c r="CE110" i="1"/>
  <c r="CE118" i="1"/>
  <c r="CE126" i="1"/>
  <c r="CE134" i="1"/>
  <c r="CE142" i="1"/>
  <c r="CE150" i="1"/>
  <c r="CE158" i="1"/>
  <c r="CE166" i="1"/>
  <c r="CE174" i="1"/>
  <c r="CE182" i="1"/>
  <c r="CE190" i="1"/>
  <c r="CE198" i="1"/>
  <c r="CE206" i="1"/>
  <c r="CE214" i="1"/>
  <c r="CE222" i="1"/>
  <c r="CE230" i="1"/>
  <c r="CE238" i="1"/>
  <c r="CE246" i="1"/>
  <c r="CE254" i="1"/>
  <c r="CE262" i="1"/>
  <c r="CE270" i="1"/>
  <c r="CE278" i="1"/>
  <c r="CE286" i="1"/>
  <c r="CE294" i="1"/>
  <c r="CE302" i="1"/>
  <c r="CE310" i="1"/>
  <c r="CE65" i="1"/>
  <c r="CE73" i="1"/>
  <c r="CE81" i="1"/>
  <c r="CE89" i="1"/>
  <c r="CE97" i="1"/>
  <c r="CE105" i="1"/>
  <c r="CE113" i="1"/>
  <c r="CE121" i="1"/>
  <c r="CE129" i="1"/>
  <c r="CE137" i="1"/>
  <c r="CE145" i="1"/>
  <c r="CE153" i="1"/>
  <c r="CE161" i="1"/>
  <c r="CE169" i="1"/>
  <c r="CE177" i="1"/>
  <c r="CE185" i="1"/>
  <c r="CE193" i="1"/>
  <c r="CE201" i="1"/>
  <c r="CE209" i="1"/>
  <c r="CE217" i="1"/>
  <c r="CE225" i="1"/>
  <c r="CE233" i="1"/>
  <c r="CE241" i="1"/>
  <c r="CE249" i="1"/>
  <c r="CE257" i="1"/>
  <c r="CE265" i="1"/>
  <c r="CE273" i="1"/>
  <c r="CE281" i="1"/>
  <c r="CE289" i="1"/>
  <c r="CE297" i="1"/>
  <c r="CE305" i="1"/>
  <c r="CE60" i="1"/>
  <c r="CE68" i="1"/>
  <c r="CE76" i="1"/>
  <c r="CE84" i="1"/>
  <c r="CE92" i="1"/>
  <c r="CE100" i="1"/>
  <c r="CE108" i="1"/>
  <c r="CE116" i="1"/>
  <c r="CE124" i="1"/>
  <c r="CE132" i="1"/>
  <c r="CE140" i="1"/>
  <c r="CE148" i="1"/>
  <c r="CE156" i="1"/>
  <c r="CE164" i="1"/>
  <c r="CE172" i="1"/>
  <c r="CE180" i="1"/>
  <c r="CE188" i="1"/>
  <c r="CE196" i="1"/>
  <c r="CE204" i="1"/>
  <c r="CE212" i="1"/>
  <c r="CE220" i="1"/>
  <c r="CE228" i="1"/>
  <c r="CE236" i="1"/>
  <c r="CE244" i="1"/>
  <c r="CE252" i="1"/>
  <c r="CE260" i="1"/>
  <c r="CE268" i="1"/>
  <c r="CE276" i="1"/>
  <c r="CE284" i="1"/>
  <c r="CE292" i="1"/>
  <c r="CE300" i="1"/>
  <c r="CE308" i="1"/>
  <c r="CE63" i="1"/>
  <c r="CE71" i="1"/>
  <c r="CE79" i="1"/>
  <c r="CE87" i="1"/>
  <c r="CE95" i="1"/>
  <c r="CE103" i="1"/>
  <c r="CE111" i="1"/>
  <c r="CE119" i="1"/>
  <c r="CE127" i="1"/>
  <c r="CE135" i="1"/>
  <c r="CE143" i="1"/>
  <c r="CE151" i="1"/>
  <c r="CE159" i="1"/>
  <c r="CE167" i="1"/>
  <c r="CE175" i="1"/>
  <c r="CE183" i="1"/>
  <c r="CE191" i="1"/>
  <c r="CE199" i="1"/>
  <c r="CE207" i="1"/>
  <c r="CE215" i="1"/>
  <c r="CE223" i="1"/>
  <c r="CE231" i="1"/>
  <c r="CE239" i="1"/>
  <c r="CE247" i="1"/>
  <c r="CE255" i="1"/>
  <c r="CE263" i="1"/>
  <c r="CE271" i="1"/>
  <c r="CE279" i="1"/>
  <c r="CE287" i="1"/>
  <c r="CE295" i="1"/>
  <c r="CE303" i="1"/>
  <c r="CE311" i="1"/>
  <c r="CE98" i="1"/>
  <c r="CE106" i="1"/>
  <c r="CE114" i="1"/>
  <c r="CE122" i="1"/>
  <c r="CE130" i="1"/>
  <c r="CE138" i="1"/>
  <c r="CE146" i="1"/>
  <c r="CE154" i="1"/>
  <c r="CE162" i="1"/>
  <c r="CE170" i="1"/>
  <c r="CE178" i="1"/>
  <c r="CE186" i="1"/>
  <c r="CE194" i="1"/>
  <c r="CE202" i="1"/>
  <c r="CE210" i="1"/>
  <c r="CE218" i="1"/>
  <c r="CE226" i="1"/>
  <c r="CE234" i="1"/>
  <c r="CE250" i="1"/>
  <c r="CE258" i="1"/>
  <c r="CE274" i="1"/>
  <c r="CE282" i="1"/>
  <c r="CE290" i="1"/>
  <c r="CE90" i="1"/>
  <c r="CE306" i="1"/>
  <c r="CE74" i="1"/>
  <c r="CE82" i="1"/>
  <c r="CE56" i="1"/>
  <c r="CE54" i="1"/>
  <c r="CE57" i="1"/>
  <c r="CE55" i="1"/>
  <c r="CE58" i="1"/>
  <c r="E23" i="3"/>
  <c r="F23" i="3" s="1"/>
  <c r="D24" i="3"/>
  <c r="CE45" i="1"/>
  <c r="CE49" i="1"/>
  <c r="CE53" i="1"/>
  <c r="CE44" i="1"/>
  <c r="CE48" i="1"/>
  <c r="CE52" i="1"/>
  <c r="CE314" i="1"/>
  <c r="CE313" i="1"/>
  <c r="CE47" i="1"/>
  <c r="CE51" i="1"/>
  <c r="CE46" i="1"/>
  <c r="CE50" i="1"/>
  <c r="CE33" i="1"/>
  <c r="CE35" i="1"/>
  <c r="CE39" i="1"/>
  <c r="CE43" i="1"/>
  <c r="CE37" i="1"/>
  <c r="CE34" i="1"/>
  <c r="CE38" i="1"/>
  <c r="CE42" i="1"/>
  <c r="CE41" i="1"/>
  <c r="CE40" i="1"/>
  <c r="CE36" i="1"/>
  <c r="CE23" i="1"/>
  <c r="CE27" i="1"/>
  <c r="CE28" i="1"/>
  <c r="CE29" i="1"/>
  <c r="CE30" i="1"/>
  <c r="CE31" i="1"/>
  <c r="CE32" i="1"/>
  <c r="CE21" i="1"/>
  <c r="CE22" i="1"/>
  <c r="CE24" i="1"/>
  <c r="CE25" i="1"/>
  <c r="CE26" i="1"/>
  <c r="CE20" i="1"/>
  <c r="CL48" i="1" l="1"/>
  <c r="CG48" i="1"/>
  <c r="CH48" i="1" s="1"/>
  <c r="CK48" i="1"/>
  <c r="CM48" i="1"/>
  <c r="CJ48" i="1"/>
  <c r="CI48" i="1"/>
  <c r="Q50" i="1"/>
  <c r="CF49" i="1"/>
  <c r="AA49" i="1"/>
  <c r="AN49" i="1" s="1"/>
  <c r="AM63" i="1"/>
  <c r="AE21" i="5"/>
  <c r="Z21" i="5"/>
  <c r="BA21" i="5"/>
  <c r="AV21" i="5"/>
  <c r="L62" i="1"/>
  <c r="BL21" i="5"/>
  <c r="BG21" i="5"/>
  <c r="AP21" i="5"/>
  <c r="AK21" i="5"/>
  <c r="D25" i="3"/>
  <c r="E24" i="3"/>
  <c r="F24" i="3" s="1"/>
  <c r="CM49" i="1" l="1"/>
  <c r="CL49" i="1"/>
  <c r="CG49" i="1"/>
  <c r="CH49" i="1" s="1"/>
  <c r="CK49" i="1"/>
  <c r="CJ49" i="1"/>
  <c r="CI49" i="1"/>
  <c r="Q51" i="1"/>
  <c r="CF50" i="1"/>
  <c r="AA50" i="1"/>
  <c r="AN50" i="1" s="1"/>
  <c r="AQ21" i="5"/>
  <c r="AO21" i="5"/>
  <c r="BM21" i="5"/>
  <c r="BK21" i="5"/>
  <c r="L63" i="1"/>
  <c r="BB21" i="5"/>
  <c r="AZ21" i="5"/>
  <c r="AF21" i="5"/>
  <c r="AD21" i="5"/>
  <c r="E25" i="3"/>
  <c r="F25" i="3" s="1"/>
  <c r="D26" i="3"/>
  <c r="CL50" i="1" l="1"/>
  <c r="CK50" i="1"/>
  <c r="CG50" i="1"/>
  <c r="CH50" i="1" s="1"/>
  <c r="CM50" i="1"/>
  <c r="CJ50" i="1"/>
  <c r="Q52" i="1"/>
  <c r="CF51" i="1"/>
  <c r="AA51" i="1"/>
  <c r="AN51" i="1" s="1"/>
  <c r="CI50" i="1"/>
  <c r="CI51" i="1"/>
  <c r="AY22" i="5"/>
  <c r="E28" i="5" s="1"/>
  <c r="AJ64" i="1"/>
  <c r="AT22" i="5"/>
  <c r="AW22" i="5" s="1"/>
  <c r="L64" i="1"/>
  <c r="X22" i="5"/>
  <c r="AA22" i="5" s="1"/>
  <c r="AC22" i="5"/>
  <c r="C28" i="5" s="1"/>
  <c r="G22" i="5" s="1"/>
  <c r="AO59" i="1" s="1"/>
  <c r="AP59" i="1" s="1"/>
  <c r="AH64" i="1"/>
  <c r="AK64" i="1"/>
  <c r="BE22" i="5"/>
  <c r="BH22" i="5" s="1"/>
  <c r="BJ22" i="5"/>
  <c r="F28" i="5" s="1"/>
  <c r="AN22" i="5"/>
  <c r="D28" i="5" s="1"/>
  <c r="AI64" i="1"/>
  <c r="AI22" i="5"/>
  <c r="AL22" i="5" s="1"/>
  <c r="E26" i="3"/>
  <c r="F26" i="3" s="1"/>
  <c r="D27" i="3"/>
  <c r="Q53" i="1" l="1"/>
  <c r="CF52" i="1"/>
  <c r="AA52" i="1"/>
  <c r="AN52" i="1" s="1"/>
  <c r="CL51" i="1"/>
  <c r="CM51" i="1"/>
  <c r="CK51" i="1"/>
  <c r="CG51" i="1"/>
  <c r="CH51" i="1" s="1"/>
  <c r="CJ51" i="1"/>
  <c r="AP22" i="5"/>
  <c r="AK22" i="5"/>
  <c r="AM64" i="1"/>
  <c r="AE22" i="5"/>
  <c r="Z22" i="5"/>
  <c r="BL22" i="5"/>
  <c r="BG22" i="5"/>
  <c r="L65" i="1"/>
  <c r="BA22" i="5"/>
  <c r="AV22" i="5"/>
  <c r="D28" i="3"/>
  <c r="E27" i="3"/>
  <c r="F27" i="3" s="1"/>
  <c r="CM52" i="1" l="1"/>
  <c r="CL52" i="1"/>
  <c r="CK52" i="1"/>
  <c r="CG52" i="1"/>
  <c r="CH52" i="1" s="1"/>
  <c r="CJ52" i="1"/>
  <c r="Q54" i="1"/>
  <c r="CF53" i="1"/>
  <c r="AA53" i="1"/>
  <c r="AN53" i="1" s="1"/>
  <c r="CI52" i="1"/>
  <c r="BB22" i="5"/>
  <c r="AZ22" i="5"/>
  <c r="L66" i="1"/>
  <c r="BM22" i="5"/>
  <c r="BK22" i="5"/>
  <c r="AQ22" i="5"/>
  <c r="AO22" i="5"/>
  <c r="AF22" i="5"/>
  <c r="AD22" i="5"/>
  <c r="E28" i="3"/>
  <c r="F28" i="3" s="1"/>
  <c r="D29" i="3"/>
  <c r="CM53" i="1" l="1"/>
  <c r="CL53" i="1"/>
  <c r="CG53" i="1"/>
  <c r="CH53" i="1" s="1"/>
  <c r="CK53" i="1"/>
  <c r="CJ53" i="1"/>
  <c r="CI53" i="1"/>
  <c r="Q55" i="1"/>
  <c r="CF54" i="1"/>
  <c r="AA54" i="1"/>
  <c r="AN54" i="1" s="1"/>
  <c r="AK65" i="1"/>
  <c r="BE23" i="5"/>
  <c r="BH23" i="5" s="1"/>
  <c r="BJ23" i="5"/>
  <c r="F29" i="5" s="1"/>
  <c r="X23" i="5"/>
  <c r="AA23" i="5" s="1"/>
  <c r="AH65" i="1"/>
  <c r="AC23" i="5"/>
  <c r="C29" i="5" s="1"/>
  <c r="G23" i="5" s="1"/>
  <c r="AO60" i="1" s="1"/>
  <c r="AP60" i="1" s="1"/>
  <c r="AI65" i="1"/>
  <c r="AN23" i="5"/>
  <c r="D29" i="5" s="1"/>
  <c r="AI23" i="5"/>
  <c r="AL23" i="5" s="1"/>
  <c r="L67" i="1"/>
  <c r="AJ65" i="1"/>
  <c r="AY23" i="5"/>
  <c r="E29" i="5" s="1"/>
  <c r="AT23" i="5"/>
  <c r="AW23" i="5" s="1"/>
  <c r="E29" i="3"/>
  <c r="F29" i="3" s="1"/>
  <c r="D30" i="3"/>
  <c r="Q56" i="1" l="1"/>
  <c r="CF55" i="1"/>
  <c r="AA55" i="1"/>
  <c r="AN55" i="1" s="1"/>
  <c r="CG54" i="1"/>
  <c r="CH54" i="1" s="1"/>
  <c r="CK54" i="1"/>
  <c r="CL54" i="1"/>
  <c r="CM54" i="1"/>
  <c r="CJ54" i="1"/>
  <c r="CI54" i="1"/>
  <c r="CI55" i="1"/>
  <c r="AP23" i="5"/>
  <c r="AK23" i="5"/>
  <c r="AM65" i="1"/>
  <c r="BL23" i="5"/>
  <c r="BG23" i="5"/>
  <c r="BA23" i="5"/>
  <c r="AV23" i="5"/>
  <c r="L68" i="1"/>
  <c r="AE23" i="5"/>
  <c r="Z23" i="5"/>
  <c r="D31" i="3"/>
  <c r="E30" i="3"/>
  <c r="F30" i="3" s="1"/>
  <c r="CK55" i="1" l="1"/>
  <c r="CL55" i="1"/>
  <c r="CM55" i="1"/>
  <c r="CG55" i="1"/>
  <c r="CH55" i="1" s="1"/>
  <c r="CJ55" i="1"/>
  <c r="Q57" i="1"/>
  <c r="CF56" i="1"/>
  <c r="AA56" i="1"/>
  <c r="AN56" i="1" s="1"/>
  <c r="BB23" i="5"/>
  <c r="AZ23" i="5"/>
  <c r="BM23" i="5"/>
  <c r="BK23" i="5"/>
  <c r="AF23" i="5"/>
  <c r="AD23" i="5"/>
  <c r="L69" i="1"/>
  <c r="AQ23" i="5"/>
  <c r="AO23" i="5"/>
  <c r="E31" i="3"/>
  <c r="F31" i="3" s="1"/>
  <c r="D32" i="3"/>
  <c r="CF57" i="1" l="1"/>
  <c r="Q58" i="1"/>
  <c r="AA57" i="1"/>
  <c r="AN57" i="1" s="1"/>
  <c r="CK56" i="1"/>
  <c r="CM56" i="1"/>
  <c r="CG56" i="1"/>
  <c r="CH56" i="1" s="1"/>
  <c r="CL56" i="1"/>
  <c r="CJ56" i="1"/>
  <c r="CI56" i="1"/>
  <c r="CI57" i="1"/>
  <c r="L70" i="1"/>
  <c r="X24" i="5"/>
  <c r="AA24" i="5" s="1"/>
  <c r="AC24" i="5"/>
  <c r="C30" i="5" s="1"/>
  <c r="G24" i="5" s="1"/>
  <c r="AO61" i="1" s="1"/>
  <c r="AP61" i="1" s="1"/>
  <c r="AH66" i="1"/>
  <c r="AK66" i="1"/>
  <c r="BE24" i="5"/>
  <c r="BH24" i="5" s="1"/>
  <c r="BJ24" i="5"/>
  <c r="F30" i="5" s="1"/>
  <c r="AN24" i="5"/>
  <c r="D30" i="5" s="1"/>
  <c r="AI66" i="1"/>
  <c r="AI24" i="5"/>
  <c r="AL24" i="5" s="1"/>
  <c r="AJ66" i="1"/>
  <c r="AY24" i="5"/>
  <c r="E30" i="5" s="1"/>
  <c r="AT24" i="5"/>
  <c r="AW24" i="5" s="1"/>
  <c r="E32" i="3"/>
  <c r="F32" i="3" s="1"/>
  <c r="D33" i="3"/>
  <c r="CF58" i="1" l="1"/>
  <c r="Q59" i="1"/>
  <c r="AA58" i="1"/>
  <c r="AN58" i="1" s="1"/>
  <c r="CG57" i="1"/>
  <c r="CH57" i="1" s="1"/>
  <c r="CM57" i="1"/>
  <c r="CL57" i="1"/>
  <c r="CK57" i="1"/>
  <c r="CJ57" i="1"/>
  <c r="BL24" i="5"/>
  <c r="BG24" i="5"/>
  <c r="AM66" i="1"/>
  <c r="BA24" i="5"/>
  <c r="AV24" i="5"/>
  <c r="AP24" i="5"/>
  <c r="AK24" i="5"/>
  <c r="AE24" i="5"/>
  <c r="Z24" i="5"/>
  <c r="L71" i="1"/>
  <c r="D34" i="3"/>
  <c r="E33" i="3"/>
  <c r="F33" i="3" s="1"/>
  <c r="CF59" i="1" l="1"/>
  <c r="Q60" i="1"/>
  <c r="AA59" i="1"/>
  <c r="AN59" i="1" s="1"/>
  <c r="CM58" i="1"/>
  <c r="CG58" i="1"/>
  <c r="CH58" i="1" s="1"/>
  <c r="CK58" i="1"/>
  <c r="CL58" i="1"/>
  <c r="CJ58" i="1"/>
  <c r="CI58" i="1"/>
  <c r="AF24" i="5"/>
  <c r="AD24" i="5"/>
  <c r="AQ24" i="5"/>
  <c r="AO24" i="5"/>
  <c r="L72" i="1"/>
  <c r="BB24" i="5"/>
  <c r="AZ24" i="5"/>
  <c r="BM24" i="5"/>
  <c r="BK24" i="5"/>
  <c r="D35" i="3"/>
  <c r="E34" i="3"/>
  <c r="F34" i="3" s="1"/>
  <c r="CF60" i="1" l="1"/>
  <c r="Q61" i="1"/>
  <c r="AA60" i="1"/>
  <c r="AN60" i="1" s="1"/>
  <c r="CM59" i="1"/>
  <c r="CK59" i="1"/>
  <c r="CG59" i="1"/>
  <c r="CH59" i="1" s="1"/>
  <c r="CJ59" i="1"/>
  <c r="CL59" i="1"/>
  <c r="CI59" i="1"/>
  <c r="AY25" i="5"/>
  <c r="E31" i="5" s="1"/>
  <c r="AJ67" i="1"/>
  <c r="AT25" i="5"/>
  <c r="AW25" i="5" s="1"/>
  <c r="X25" i="5"/>
  <c r="AA25" i="5" s="1"/>
  <c r="AH67" i="1"/>
  <c r="AC25" i="5"/>
  <c r="C31" i="5" s="1"/>
  <c r="G25" i="5" s="1"/>
  <c r="AO62" i="1" s="1"/>
  <c r="AP62" i="1" s="1"/>
  <c r="BJ25" i="5"/>
  <c r="F31" i="5" s="1"/>
  <c r="AK67" i="1"/>
  <c r="BE25" i="5"/>
  <c r="BH25" i="5" s="1"/>
  <c r="L73" i="1"/>
  <c r="AN25" i="5"/>
  <c r="D31" i="5" s="1"/>
  <c r="AI67" i="1"/>
  <c r="AI25" i="5"/>
  <c r="AL25" i="5" s="1"/>
  <c r="E35" i="3"/>
  <c r="F35" i="3" s="1"/>
  <c r="D36" i="3"/>
  <c r="CF61" i="1" l="1"/>
  <c r="Q62" i="1"/>
  <c r="AA61" i="1"/>
  <c r="AN61" i="1" s="1"/>
  <c r="CG60" i="1"/>
  <c r="CH60" i="1" s="1"/>
  <c r="CK60" i="1"/>
  <c r="CL60" i="1"/>
  <c r="CM60" i="1"/>
  <c r="CJ60" i="1"/>
  <c r="CI60" i="1"/>
  <c r="AP25" i="5"/>
  <c r="AK25" i="5"/>
  <c r="L74" i="1"/>
  <c r="AE25" i="5"/>
  <c r="Z25" i="5"/>
  <c r="BA25" i="5"/>
  <c r="AV25" i="5"/>
  <c r="BL25" i="5"/>
  <c r="BG25" i="5"/>
  <c r="AM67" i="1"/>
  <c r="E36" i="3"/>
  <c r="F36" i="3" s="1"/>
  <c r="D37" i="3"/>
  <c r="CF62" i="1" l="1"/>
  <c r="Q63" i="1"/>
  <c r="AA62" i="1"/>
  <c r="AN62" i="1" s="1"/>
  <c r="CJ61" i="1"/>
  <c r="CL61" i="1"/>
  <c r="CK61" i="1"/>
  <c r="CG61" i="1"/>
  <c r="CH61" i="1" s="1"/>
  <c r="CM61" i="1"/>
  <c r="CI61" i="1"/>
  <c r="AF25" i="5"/>
  <c r="AD25" i="5"/>
  <c r="BM25" i="5"/>
  <c r="BK25" i="5"/>
  <c r="BB25" i="5"/>
  <c r="AZ25" i="5"/>
  <c r="AQ25" i="5"/>
  <c r="AO25" i="5"/>
  <c r="L75" i="1"/>
  <c r="D38" i="3"/>
  <c r="E37" i="3"/>
  <c r="F37" i="3" s="1"/>
  <c r="CG62" i="1" l="1"/>
  <c r="CH62" i="1" s="1"/>
  <c r="CK62" i="1"/>
  <c r="CM62" i="1"/>
  <c r="CJ62" i="1"/>
  <c r="CL62" i="1"/>
  <c r="CF63" i="1"/>
  <c r="Q64" i="1"/>
  <c r="AA63" i="1"/>
  <c r="AN63" i="1" s="1"/>
  <c r="CI62" i="1"/>
  <c r="L76" i="1"/>
  <c r="AI68" i="1"/>
  <c r="AI26" i="5"/>
  <c r="AL26" i="5" s="1"/>
  <c r="AN26" i="5"/>
  <c r="D32" i="5" s="1"/>
  <c r="AY26" i="5"/>
  <c r="E32" i="5" s="1"/>
  <c r="AJ68" i="1"/>
  <c r="AT26" i="5"/>
  <c r="AW26" i="5" s="1"/>
  <c r="BJ26" i="5"/>
  <c r="F32" i="5" s="1"/>
  <c r="BE26" i="5"/>
  <c r="BH26" i="5" s="1"/>
  <c r="AK68" i="1"/>
  <c r="X26" i="5"/>
  <c r="AA26" i="5" s="1"/>
  <c r="AC26" i="5"/>
  <c r="C32" i="5" s="1"/>
  <c r="G26" i="5" s="1"/>
  <c r="AO63" i="1" s="1"/>
  <c r="AP63" i="1" s="1"/>
  <c r="AH68" i="1"/>
  <c r="E38" i="3"/>
  <c r="F38" i="3" s="1"/>
  <c r="D39" i="3"/>
  <c r="CG63" i="1" l="1"/>
  <c r="CH63" i="1" s="1"/>
  <c r="CK63" i="1"/>
  <c r="CM63" i="1"/>
  <c r="CJ63" i="1"/>
  <c r="CL63" i="1"/>
  <c r="CI63" i="1"/>
  <c r="AM68" i="1"/>
  <c r="CF64" i="1"/>
  <c r="Q65" i="1"/>
  <c r="AA64" i="1"/>
  <c r="AN64" i="1" s="1"/>
  <c r="BL26" i="5"/>
  <c r="BG26" i="5"/>
  <c r="AE26" i="5"/>
  <c r="Z26" i="5"/>
  <c r="BA26" i="5"/>
  <c r="AV26" i="5"/>
  <c r="AP26" i="5"/>
  <c r="AK26" i="5"/>
  <c r="L77" i="1"/>
  <c r="E39" i="3"/>
  <c r="F39" i="3" s="1"/>
  <c r="D40" i="3"/>
  <c r="CG64" i="1" l="1"/>
  <c r="CH64" i="1" s="1"/>
  <c r="CJ64" i="1"/>
  <c r="CL64" i="1"/>
  <c r="CM64" i="1"/>
  <c r="CK64" i="1"/>
  <c r="CF65" i="1"/>
  <c r="Q66" i="1"/>
  <c r="AA65" i="1"/>
  <c r="AN65" i="1" s="1"/>
  <c r="CI65" i="1"/>
  <c r="CI64" i="1"/>
  <c r="L78" i="1"/>
  <c r="AQ26" i="5"/>
  <c r="AO26" i="5"/>
  <c r="BB26" i="5"/>
  <c r="AZ26" i="5"/>
  <c r="AF26" i="5"/>
  <c r="AD26" i="5"/>
  <c r="BM26" i="5"/>
  <c r="BK26" i="5"/>
  <c r="D41" i="3"/>
  <c r="E40" i="3"/>
  <c r="F40" i="3" s="1"/>
  <c r="CG65" i="1" l="1"/>
  <c r="CH65" i="1" s="1"/>
  <c r="CM65" i="1"/>
  <c r="CL65" i="1"/>
  <c r="CK65" i="1"/>
  <c r="CJ65" i="1"/>
  <c r="CF66" i="1"/>
  <c r="Q67" i="1"/>
  <c r="AA66" i="1"/>
  <c r="AN66" i="1" s="1"/>
  <c r="CI66" i="1"/>
  <c r="BJ27" i="5"/>
  <c r="F33" i="5" s="1"/>
  <c r="AK69" i="1"/>
  <c r="BE27" i="5"/>
  <c r="BH27" i="5" s="1"/>
  <c r="AI69" i="1"/>
  <c r="AI27" i="5"/>
  <c r="AL27" i="5" s="1"/>
  <c r="AN27" i="5"/>
  <c r="D33" i="5" s="1"/>
  <c r="X27" i="5"/>
  <c r="AA27" i="5" s="1"/>
  <c r="AC27" i="5"/>
  <c r="C33" i="5" s="1"/>
  <c r="G27" i="5" s="1"/>
  <c r="AO64" i="1" s="1"/>
  <c r="AP64" i="1" s="1"/>
  <c r="AH69" i="1"/>
  <c r="AJ69" i="1"/>
  <c r="AT27" i="5"/>
  <c r="AW27" i="5" s="1"/>
  <c r="AY27" i="5"/>
  <c r="E33" i="5" s="1"/>
  <c r="L79" i="1"/>
  <c r="E41" i="3"/>
  <c r="F41" i="3" s="1"/>
  <c r="D42" i="3"/>
  <c r="CL66" i="1" l="1"/>
  <c r="CM66" i="1"/>
  <c r="CG66" i="1"/>
  <c r="CH66" i="1" s="1"/>
  <c r="CK66" i="1"/>
  <c r="CJ66" i="1"/>
  <c r="CF67" i="1"/>
  <c r="Q68" i="1"/>
  <c r="AA67" i="1"/>
  <c r="AN67" i="1" s="1"/>
  <c r="BA27" i="5"/>
  <c r="AV27" i="5"/>
  <c r="L80" i="1"/>
  <c r="AE27" i="5"/>
  <c r="Z27" i="5"/>
  <c r="AM69" i="1"/>
  <c r="AP27" i="5"/>
  <c r="AK27" i="5"/>
  <c r="BL27" i="5"/>
  <c r="BG27" i="5"/>
  <c r="D43" i="3"/>
  <c r="E42" i="3"/>
  <c r="F42" i="3" s="1"/>
  <c r="CK67" i="1" l="1"/>
  <c r="CL67" i="1"/>
  <c r="CJ67" i="1"/>
  <c r="CG67" i="1"/>
  <c r="CH67" i="1" s="1"/>
  <c r="CM67" i="1"/>
  <c r="CF68" i="1"/>
  <c r="Q69" i="1"/>
  <c r="AA68" i="1"/>
  <c r="AN68" i="1" s="1"/>
  <c r="CI68" i="1"/>
  <c r="CI67" i="1"/>
  <c r="AQ27" i="5"/>
  <c r="AO27" i="5"/>
  <c r="BM27" i="5"/>
  <c r="BK27" i="5"/>
  <c r="BB27" i="5"/>
  <c r="AZ27" i="5"/>
  <c r="AF27" i="5"/>
  <c r="AD27" i="5"/>
  <c r="L81" i="1"/>
  <c r="D44" i="3"/>
  <c r="E43" i="3"/>
  <c r="F43" i="3" s="1"/>
  <c r="CF69" i="1" l="1"/>
  <c r="Q70" i="1"/>
  <c r="AA69" i="1"/>
  <c r="AN69" i="1" s="1"/>
  <c r="CG68" i="1"/>
  <c r="CH68" i="1" s="1"/>
  <c r="CL68" i="1"/>
  <c r="CK68" i="1"/>
  <c r="CJ68" i="1"/>
  <c r="CM68" i="1"/>
  <c r="CI69" i="1"/>
  <c r="X28" i="5"/>
  <c r="AA28" i="5" s="1"/>
  <c r="AH70" i="1"/>
  <c r="AC28" i="5"/>
  <c r="C34" i="5" s="1"/>
  <c r="G28" i="5" s="1"/>
  <c r="AO65" i="1" s="1"/>
  <c r="AP65" i="1" s="1"/>
  <c r="L82" i="1"/>
  <c r="AJ70" i="1"/>
  <c r="AT28" i="5"/>
  <c r="AW28" i="5" s="1"/>
  <c r="AY28" i="5"/>
  <c r="E34" i="5" s="1"/>
  <c r="BE28" i="5"/>
  <c r="BH28" i="5" s="1"/>
  <c r="BJ28" i="5"/>
  <c r="F34" i="5" s="1"/>
  <c r="AK70" i="1"/>
  <c r="AN28" i="5"/>
  <c r="D34" i="5" s="1"/>
  <c r="AI70" i="1"/>
  <c r="AI28" i="5"/>
  <c r="AL28" i="5" s="1"/>
  <c r="E44" i="3"/>
  <c r="F44" i="3" s="1"/>
  <c r="D45" i="3"/>
  <c r="CF70" i="1" l="1"/>
  <c r="Q71" i="1"/>
  <c r="AA70" i="1"/>
  <c r="CG69" i="1"/>
  <c r="CH69" i="1" s="1"/>
  <c r="CK69" i="1"/>
  <c r="CJ69" i="1"/>
  <c r="CM69" i="1"/>
  <c r="CL69" i="1"/>
  <c r="BA28" i="5"/>
  <c r="AV28" i="5"/>
  <c r="AP28" i="5"/>
  <c r="AK28" i="5"/>
  <c r="AM70" i="1"/>
  <c r="AN70" i="1" s="1"/>
  <c r="BL28" i="5"/>
  <c r="BG28" i="5"/>
  <c r="L83" i="1"/>
  <c r="AE28" i="5"/>
  <c r="Z28" i="5"/>
  <c r="E45" i="3"/>
  <c r="F45" i="3" s="1"/>
  <c r="D46" i="3"/>
  <c r="CF71" i="1" l="1"/>
  <c r="Q72" i="1"/>
  <c r="AA71" i="1"/>
  <c r="CL70" i="1"/>
  <c r="CG70" i="1"/>
  <c r="CH70" i="1" s="1"/>
  <c r="CK70" i="1"/>
  <c r="CM70" i="1"/>
  <c r="CJ70" i="1"/>
  <c r="CI70" i="1"/>
  <c r="L84" i="1"/>
  <c r="AF28" i="5"/>
  <c r="AD28" i="5"/>
  <c r="BM28" i="5"/>
  <c r="BK28" i="5"/>
  <c r="AQ28" i="5"/>
  <c r="AO28" i="5"/>
  <c r="BB28" i="5"/>
  <c r="AZ28" i="5"/>
  <c r="E46" i="3"/>
  <c r="F46" i="3" s="1"/>
  <c r="D47" i="3"/>
  <c r="CF72" i="1" l="1"/>
  <c r="Q73" i="1"/>
  <c r="AA72" i="1"/>
  <c r="CG71" i="1"/>
  <c r="CH71" i="1" s="1"/>
  <c r="CK71" i="1"/>
  <c r="CM71" i="1"/>
  <c r="CJ71" i="1"/>
  <c r="CL71" i="1"/>
  <c r="CI71" i="1"/>
  <c r="AJ71" i="1"/>
  <c r="AT29" i="5"/>
  <c r="AW29" i="5" s="1"/>
  <c r="AY29" i="5"/>
  <c r="E35" i="5" s="1"/>
  <c r="BJ29" i="5"/>
  <c r="F35" i="5" s="1"/>
  <c r="AK71" i="1"/>
  <c r="BE29" i="5"/>
  <c r="BH29" i="5" s="1"/>
  <c r="AN29" i="5"/>
  <c r="D35" i="5" s="1"/>
  <c r="AI71" i="1"/>
  <c r="AI29" i="5"/>
  <c r="AL29" i="5" s="1"/>
  <c r="X29" i="5"/>
  <c r="AA29" i="5" s="1"/>
  <c r="AC29" i="5"/>
  <c r="C35" i="5" s="1"/>
  <c r="G29" i="5" s="1"/>
  <c r="AO66" i="1" s="1"/>
  <c r="AP66" i="1" s="1"/>
  <c r="AH71" i="1"/>
  <c r="L85" i="1"/>
  <c r="E47" i="3"/>
  <c r="F47" i="3" s="1"/>
  <c r="D48" i="3"/>
  <c r="AM71" i="1" l="1"/>
  <c r="AN71" i="1" s="1"/>
  <c r="CF73" i="1"/>
  <c r="Q74" i="1"/>
  <c r="AA73" i="1"/>
  <c r="CG72" i="1"/>
  <c r="CH72" i="1" s="1"/>
  <c r="CL72" i="1"/>
  <c r="CK72" i="1"/>
  <c r="CM72" i="1"/>
  <c r="CJ72" i="1"/>
  <c r="CI72" i="1"/>
  <c r="L86" i="1"/>
  <c r="AP29" i="5"/>
  <c r="AK29" i="5"/>
  <c r="BL29" i="5"/>
  <c r="BG29" i="5"/>
  <c r="BA29" i="5"/>
  <c r="AV29" i="5"/>
  <c r="AE29" i="5"/>
  <c r="Z29" i="5"/>
  <c r="E48" i="3"/>
  <c r="F48" i="3" s="1"/>
  <c r="D49" i="3"/>
  <c r="CI74" i="1" l="1"/>
  <c r="CF74" i="1"/>
  <c r="Q75" i="1"/>
  <c r="AA74" i="1"/>
  <c r="CL73" i="1"/>
  <c r="CG73" i="1"/>
  <c r="CH73" i="1" s="1"/>
  <c r="CK73" i="1"/>
  <c r="CM73" i="1"/>
  <c r="CJ73" i="1"/>
  <c r="CI73" i="1"/>
  <c r="AF29" i="5"/>
  <c r="AD29" i="5"/>
  <c r="BM29" i="5"/>
  <c r="BK29" i="5"/>
  <c r="AQ29" i="5"/>
  <c r="AO29" i="5"/>
  <c r="BB29" i="5"/>
  <c r="AZ29" i="5"/>
  <c r="L87" i="1"/>
  <c r="D50" i="3"/>
  <c r="E49" i="3"/>
  <c r="F49" i="3" s="1"/>
  <c r="CI75" i="1" l="1"/>
  <c r="CF75" i="1"/>
  <c r="Q76" i="1"/>
  <c r="AA75" i="1"/>
  <c r="CJ74" i="1"/>
  <c r="CK74" i="1"/>
  <c r="CG74" i="1"/>
  <c r="CH74" i="1" s="1"/>
  <c r="CM74" i="1"/>
  <c r="CL74" i="1"/>
  <c r="AY30" i="5"/>
  <c r="E36" i="5" s="1"/>
  <c r="AT30" i="5"/>
  <c r="AW30" i="5" s="1"/>
  <c r="AJ72" i="1"/>
  <c r="AN30" i="5"/>
  <c r="D36" i="5" s="1"/>
  <c r="AI30" i="5"/>
  <c r="AL30" i="5" s="1"/>
  <c r="AI72" i="1"/>
  <c r="AK72" i="1"/>
  <c r="BJ30" i="5"/>
  <c r="F36" i="5" s="1"/>
  <c r="BE30" i="5"/>
  <c r="BH30" i="5" s="1"/>
  <c r="L88" i="1"/>
  <c r="X30" i="5"/>
  <c r="AA30" i="5" s="1"/>
  <c r="AH72" i="1"/>
  <c r="AC30" i="5"/>
  <c r="C36" i="5" s="1"/>
  <c r="G30" i="5" s="1"/>
  <c r="AO67" i="1" s="1"/>
  <c r="AP67" i="1" s="1"/>
  <c r="D51" i="3"/>
  <c r="E50" i="3"/>
  <c r="F50" i="3" s="1"/>
  <c r="AM72" i="1" l="1"/>
  <c r="AN72" i="1" s="1"/>
  <c r="CF76" i="1"/>
  <c r="Q77" i="1"/>
  <c r="AA76" i="1"/>
  <c r="CM75" i="1"/>
  <c r="CG75" i="1"/>
  <c r="CH75" i="1" s="1"/>
  <c r="CJ75" i="1"/>
  <c r="CL75" i="1"/>
  <c r="CK75" i="1"/>
  <c r="AP30" i="5"/>
  <c r="AK30" i="5"/>
  <c r="AE30" i="5"/>
  <c r="Z30" i="5"/>
  <c r="L89" i="1"/>
  <c r="BL30" i="5"/>
  <c r="BG30" i="5"/>
  <c r="BA30" i="5"/>
  <c r="AV30" i="5"/>
  <c r="E51" i="3"/>
  <c r="F51" i="3" s="1"/>
  <c r="D52" i="3"/>
  <c r="CF77" i="1" l="1"/>
  <c r="Q78" i="1"/>
  <c r="AA77" i="1"/>
  <c r="CG76" i="1"/>
  <c r="CH76" i="1" s="1"/>
  <c r="CL76" i="1"/>
  <c r="CM76" i="1"/>
  <c r="CJ76" i="1"/>
  <c r="CK76" i="1"/>
  <c r="CI76" i="1"/>
  <c r="L90" i="1"/>
  <c r="BB30" i="5"/>
  <c r="AZ30" i="5"/>
  <c r="BM30" i="5"/>
  <c r="BK30" i="5"/>
  <c r="AF30" i="5"/>
  <c r="AD30" i="5"/>
  <c r="AQ30" i="5"/>
  <c r="AO30" i="5"/>
  <c r="E52" i="3"/>
  <c r="F52" i="3" s="1"/>
  <c r="D53" i="3"/>
  <c r="CF78" i="1" l="1"/>
  <c r="Q79" i="1"/>
  <c r="AA78" i="1"/>
  <c r="CL77" i="1"/>
  <c r="CK77" i="1"/>
  <c r="CM77" i="1"/>
  <c r="CG77" i="1"/>
  <c r="CH77" i="1" s="1"/>
  <c r="CJ77" i="1"/>
  <c r="CI77" i="1"/>
  <c r="AH73" i="1"/>
  <c r="AC31" i="5"/>
  <c r="C37" i="5" s="1"/>
  <c r="G31" i="5" s="1"/>
  <c r="AO68" i="1" s="1"/>
  <c r="AP68" i="1" s="1"/>
  <c r="X31" i="5"/>
  <c r="AA31" i="5" s="1"/>
  <c r="AK73" i="1"/>
  <c r="BJ31" i="5"/>
  <c r="F37" i="5" s="1"/>
  <c r="BE31" i="5"/>
  <c r="BH31" i="5" s="1"/>
  <c r="AY31" i="5"/>
  <c r="E37" i="5" s="1"/>
  <c r="AT31" i="5"/>
  <c r="AW31" i="5" s="1"/>
  <c r="AJ73" i="1"/>
  <c r="AN31" i="5"/>
  <c r="D37" i="5" s="1"/>
  <c r="AI73" i="1"/>
  <c r="AI31" i="5"/>
  <c r="AL31" i="5" s="1"/>
  <c r="L91" i="1"/>
  <c r="D54" i="3"/>
  <c r="E53" i="3"/>
  <c r="F53" i="3" s="1"/>
  <c r="CF79" i="1" l="1"/>
  <c r="Q80" i="1"/>
  <c r="AA79" i="1"/>
  <c r="CM78" i="1"/>
  <c r="CG78" i="1"/>
  <c r="CH78" i="1" s="1"/>
  <c r="CL78" i="1"/>
  <c r="CK78" i="1"/>
  <c r="CJ78" i="1"/>
  <c r="CI78" i="1"/>
  <c r="AP31" i="5"/>
  <c r="AK31" i="5"/>
  <c r="BL31" i="5"/>
  <c r="BG31" i="5"/>
  <c r="AE31" i="5"/>
  <c r="Z31" i="5"/>
  <c r="L92" i="1"/>
  <c r="BA31" i="5"/>
  <c r="AV31" i="5"/>
  <c r="AM73" i="1"/>
  <c r="AN73" i="1" s="1"/>
  <c r="E54" i="3"/>
  <c r="F54" i="3" s="1"/>
  <c r="D55" i="3"/>
  <c r="CF80" i="1" l="1"/>
  <c r="Q81" i="1"/>
  <c r="AA80" i="1"/>
  <c r="CJ79" i="1"/>
  <c r="CM79" i="1"/>
  <c r="CG79" i="1"/>
  <c r="CH79" i="1" s="1"/>
  <c r="CL79" i="1"/>
  <c r="CK79" i="1"/>
  <c r="CI79" i="1"/>
  <c r="AF31" i="5"/>
  <c r="AD31" i="5"/>
  <c r="BB31" i="5"/>
  <c r="AZ31" i="5"/>
  <c r="L93" i="1"/>
  <c r="BM31" i="5"/>
  <c r="BK31" i="5"/>
  <c r="AQ31" i="5"/>
  <c r="AO31" i="5"/>
  <c r="D56" i="3"/>
  <c r="E55" i="3"/>
  <c r="F55" i="3" s="1"/>
  <c r="CF81" i="1" l="1"/>
  <c r="Q82" i="1"/>
  <c r="AA81" i="1"/>
  <c r="CK80" i="1"/>
  <c r="CM80" i="1"/>
  <c r="CL80" i="1"/>
  <c r="CG80" i="1"/>
  <c r="CH80" i="1" s="1"/>
  <c r="CJ80" i="1"/>
  <c r="CI80" i="1"/>
  <c r="L94" i="1"/>
  <c r="AN32" i="5"/>
  <c r="D38" i="5" s="1"/>
  <c r="AI74" i="1"/>
  <c r="AI32" i="5"/>
  <c r="AL32" i="5" s="1"/>
  <c r="AY32" i="5"/>
  <c r="E38" i="5" s="1"/>
  <c r="AJ74" i="1"/>
  <c r="AT32" i="5"/>
  <c r="AW32" i="5" s="1"/>
  <c r="X32" i="5"/>
  <c r="AA32" i="5" s="1"/>
  <c r="AC32" i="5"/>
  <c r="C38" i="5" s="1"/>
  <c r="G32" i="5" s="1"/>
  <c r="AO69" i="1" s="1"/>
  <c r="AP69" i="1" s="1"/>
  <c r="AH74" i="1"/>
  <c r="BJ32" i="5"/>
  <c r="F38" i="5" s="1"/>
  <c r="BE32" i="5"/>
  <c r="BH32" i="5" s="1"/>
  <c r="AK74" i="1"/>
  <c r="D57" i="3"/>
  <c r="E56" i="3"/>
  <c r="F56" i="3" s="1"/>
  <c r="CF82" i="1" l="1"/>
  <c r="Q83" i="1"/>
  <c r="AA82" i="1"/>
  <c r="CG81" i="1"/>
  <c r="CH81" i="1" s="1"/>
  <c r="CM81" i="1"/>
  <c r="CJ81" i="1"/>
  <c r="CL81" i="1"/>
  <c r="CK81" i="1"/>
  <c r="CI81" i="1"/>
  <c r="AM74" i="1"/>
  <c r="AN74" i="1" s="1"/>
  <c r="BA32" i="5"/>
  <c r="AV32" i="5"/>
  <c r="BL32" i="5"/>
  <c r="BG32" i="5"/>
  <c r="AE32" i="5"/>
  <c r="Z32" i="5"/>
  <c r="AP32" i="5"/>
  <c r="AK32" i="5"/>
  <c r="L95" i="1"/>
  <c r="E57" i="3"/>
  <c r="F57" i="3" s="1"/>
  <c r="D58" i="3"/>
  <c r="CF83" i="1" l="1"/>
  <c r="Q84" i="1"/>
  <c r="AA83" i="1"/>
  <c r="CK82" i="1"/>
  <c r="CM82" i="1"/>
  <c r="CL82" i="1"/>
  <c r="CJ82" i="1"/>
  <c r="CG82" i="1"/>
  <c r="CH82" i="1" s="1"/>
  <c r="CI82" i="1"/>
  <c r="L96" i="1"/>
  <c r="AF32" i="5"/>
  <c r="AD32" i="5"/>
  <c r="AQ32" i="5"/>
  <c r="AO32" i="5"/>
  <c r="BM32" i="5"/>
  <c r="BK32" i="5"/>
  <c r="BB32" i="5"/>
  <c r="AZ32" i="5"/>
  <c r="E58" i="3"/>
  <c r="F58" i="3" s="1"/>
  <c r="D59" i="3"/>
  <c r="CF84" i="1" l="1"/>
  <c r="Q85" i="1"/>
  <c r="AA84" i="1"/>
  <c r="CJ83" i="1"/>
  <c r="CM83" i="1"/>
  <c r="CK83" i="1"/>
  <c r="CG83" i="1"/>
  <c r="CH83" i="1" s="1"/>
  <c r="CL83" i="1"/>
  <c r="CI83" i="1"/>
  <c r="AY33" i="5"/>
  <c r="E39" i="5" s="1"/>
  <c r="AJ75" i="1"/>
  <c r="AT33" i="5"/>
  <c r="AW33" i="5" s="1"/>
  <c r="AK75" i="1"/>
  <c r="BJ33" i="5"/>
  <c r="F39" i="5" s="1"/>
  <c r="BE33" i="5"/>
  <c r="BH33" i="5" s="1"/>
  <c r="AN33" i="5"/>
  <c r="D39" i="5" s="1"/>
  <c r="AI33" i="5"/>
  <c r="AL33" i="5" s="1"/>
  <c r="AI75" i="1"/>
  <c r="X33" i="5"/>
  <c r="AA33" i="5" s="1"/>
  <c r="AH75" i="1"/>
  <c r="AC33" i="5"/>
  <c r="C39" i="5" s="1"/>
  <c r="G33" i="5" s="1"/>
  <c r="AO70" i="1" s="1"/>
  <c r="AP70" i="1" s="1"/>
  <c r="L97" i="1"/>
  <c r="D60" i="3"/>
  <c r="E59" i="3"/>
  <c r="F59" i="3" s="1"/>
  <c r="AM75" i="1" l="1"/>
  <c r="AN75" i="1" s="1"/>
  <c r="CF85" i="1"/>
  <c r="Q86" i="1"/>
  <c r="AA85" i="1"/>
  <c r="CG84" i="1"/>
  <c r="CH84" i="1" s="1"/>
  <c r="CM84" i="1"/>
  <c r="CL84" i="1"/>
  <c r="CJ84" i="1"/>
  <c r="CK84" i="1"/>
  <c r="CI84" i="1"/>
  <c r="AE33" i="5"/>
  <c r="Z33" i="5"/>
  <c r="AP33" i="5"/>
  <c r="AK33" i="5"/>
  <c r="BL33" i="5"/>
  <c r="BG33" i="5"/>
  <c r="BA33" i="5"/>
  <c r="AV33" i="5"/>
  <c r="L98" i="1"/>
  <c r="E60" i="3"/>
  <c r="F60" i="3" s="1"/>
  <c r="D61" i="3"/>
  <c r="CF86" i="1" l="1"/>
  <c r="Q87" i="1"/>
  <c r="AA86" i="1"/>
  <c r="CG85" i="1"/>
  <c r="CH85" i="1" s="1"/>
  <c r="CM85" i="1"/>
  <c r="CL85" i="1"/>
  <c r="CJ85" i="1"/>
  <c r="CK85" i="1"/>
  <c r="CI85" i="1"/>
  <c r="BB33" i="5"/>
  <c r="AZ33" i="5"/>
  <c r="L99" i="1"/>
  <c r="BM33" i="5"/>
  <c r="BK33" i="5"/>
  <c r="AQ33" i="5"/>
  <c r="AO33" i="5"/>
  <c r="AF33" i="5"/>
  <c r="AD33" i="5"/>
  <c r="D62" i="3"/>
  <c r="E61" i="3"/>
  <c r="F61" i="3" s="1"/>
  <c r="CF87" i="1" l="1"/>
  <c r="Q88" i="1"/>
  <c r="AA87" i="1"/>
  <c r="CK86" i="1"/>
  <c r="CM86" i="1"/>
  <c r="CJ86" i="1"/>
  <c r="CG86" i="1"/>
  <c r="CH86" i="1" s="1"/>
  <c r="CL86" i="1"/>
  <c r="CI86" i="1"/>
  <c r="AN34" i="5"/>
  <c r="D40" i="5" s="1"/>
  <c r="AI34" i="5"/>
  <c r="AL34" i="5" s="1"/>
  <c r="AI76" i="1"/>
  <c r="BJ34" i="5"/>
  <c r="F40" i="5" s="1"/>
  <c r="AK76" i="1"/>
  <c r="BE34" i="5"/>
  <c r="BH34" i="5" s="1"/>
  <c r="L100" i="1"/>
  <c r="X34" i="5"/>
  <c r="AA34" i="5" s="1"/>
  <c r="AC34" i="5"/>
  <c r="C40" i="5" s="1"/>
  <c r="G34" i="5" s="1"/>
  <c r="AO71" i="1" s="1"/>
  <c r="AP71" i="1" s="1"/>
  <c r="AH76" i="1"/>
  <c r="AJ76" i="1"/>
  <c r="AY34" i="5"/>
  <c r="E40" i="5" s="1"/>
  <c r="AT34" i="5"/>
  <c r="AW34" i="5" s="1"/>
  <c r="E62" i="3"/>
  <c r="F62" i="3" s="1"/>
  <c r="D63" i="3"/>
  <c r="CF88" i="1" l="1"/>
  <c r="Q89" i="1"/>
  <c r="AA88" i="1"/>
  <c r="CL87" i="1"/>
  <c r="CG87" i="1"/>
  <c r="CH87" i="1" s="1"/>
  <c r="CJ87" i="1"/>
  <c r="CM87" i="1"/>
  <c r="CK87" i="1"/>
  <c r="CI87" i="1"/>
  <c r="AM76" i="1"/>
  <c r="AN76" i="1" s="1"/>
  <c r="BL34" i="5"/>
  <c r="BG34" i="5"/>
  <c r="BA34" i="5"/>
  <c r="AV34" i="5"/>
  <c r="AE34" i="5"/>
  <c r="Z34" i="5"/>
  <c r="L101" i="1"/>
  <c r="AP34" i="5"/>
  <c r="AK34" i="5"/>
  <c r="E63" i="3"/>
  <c r="F63" i="3" s="1"/>
  <c r="D64" i="3"/>
  <c r="CF89" i="1" l="1"/>
  <c r="Q90" i="1"/>
  <c r="AA89" i="1"/>
  <c r="CL88" i="1"/>
  <c r="CJ88" i="1"/>
  <c r="CM88" i="1"/>
  <c r="CK88" i="1"/>
  <c r="CG88" i="1"/>
  <c r="CH88" i="1" s="1"/>
  <c r="CI88" i="1"/>
  <c r="AQ34" i="5"/>
  <c r="AO34" i="5"/>
  <c r="AF34" i="5"/>
  <c r="AD34" i="5"/>
  <c r="BB34" i="5"/>
  <c r="AZ34" i="5"/>
  <c r="L102" i="1"/>
  <c r="BM34" i="5"/>
  <c r="BK34" i="5"/>
  <c r="E64" i="3"/>
  <c r="F64" i="3" s="1"/>
  <c r="D65" i="3"/>
  <c r="CF90" i="1" l="1"/>
  <c r="Q91" i="1"/>
  <c r="AA90" i="1"/>
  <c r="CL89" i="1"/>
  <c r="CK89" i="1"/>
  <c r="CJ89" i="1"/>
  <c r="CG89" i="1"/>
  <c r="CH89" i="1" s="1"/>
  <c r="CM89" i="1"/>
  <c r="CI89" i="1"/>
  <c r="BJ35" i="5"/>
  <c r="F41" i="5" s="1"/>
  <c r="BE35" i="5"/>
  <c r="BH35" i="5" s="1"/>
  <c r="AK77" i="1"/>
  <c r="L103" i="1"/>
  <c r="AJ77" i="1"/>
  <c r="AY35" i="5"/>
  <c r="E41" i="5" s="1"/>
  <c r="AT35" i="5"/>
  <c r="AW35" i="5" s="1"/>
  <c r="AI77" i="1"/>
  <c r="AN35" i="5"/>
  <c r="D41" i="5" s="1"/>
  <c r="AI35" i="5"/>
  <c r="AL35" i="5" s="1"/>
  <c r="X35" i="5"/>
  <c r="AA35" i="5" s="1"/>
  <c r="AC35" i="5"/>
  <c r="C41" i="5" s="1"/>
  <c r="G35" i="5" s="1"/>
  <c r="AO72" i="1" s="1"/>
  <c r="AP72" i="1" s="1"/>
  <c r="AH77" i="1"/>
  <c r="D66" i="3"/>
  <c r="E65" i="3"/>
  <c r="F65" i="3" s="1"/>
  <c r="AM77" i="1" l="1"/>
  <c r="AN77" i="1" s="1"/>
  <c r="CF91" i="1"/>
  <c r="Q92" i="1"/>
  <c r="AA91" i="1"/>
  <c r="CM90" i="1"/>
  <c r="CG90" i="1"/>
  <c r="CH90" i="1" s="1"/>
  <c r="CL90" i="1"/>
  <c r="CK90" i="1"/>
  <c r="CJ90" i="1"/>
  <c r="CI90" i="1"/>
  <c r="BA35" i="5"/>
  <c r="AV35" i="5"/>
  <c r="Z35" i="5"/>
  <c r="AE35" i="5"/>
  <c r="BL35" i="5"/>
  <c r="BG35" i="5"/>
  <c r="AP35" i="5"/>
  <c r="AK35" i="5"/>
  <c r="L104" i="1"/>
  <c r="D67" i="3"/>
  <c r="E66" i="3"/>
  <c r="F66" i="3" s="1"/>
  <c r="CF92" i="1" l="1"/>
  <c r="Q93" i="1"/>
  <c r="AA92" i="1"/>
  <c r="CM91" i="1"/>
  <c r="CG91" i="1"/>
  <c r="CH91" i="1" s="1"/>
  <c r="CK91" i="1"/>
  <c r="CL91" i="1"/>
  <c r="CJ91" i="1"/>
  <c r="CI91" i="1"/>
  <c r="L105" i="1"/>
  <c r="AQ35" i="5"/>
  <c r="AO35" i="5"/>
  <c r="BM35" i="5"/>
  <c r="BK35" i="5"/>
  <c r="BB35" i="5"/>
  <c r="AZ35" i="5"/>
  <c r="AF35" i="5"/>
  <c r="AD35" i="5"/>
  <c r="E67" i="3"/>
  <c r="F67" i="3" s="1"/>
  <c r="D68" i="3"/>
  <c r="CF93" i="1" l="1"/>
  <c r="Q94" i="1"/>
  <c r="AA93" i="1"/>
  <c r="CG92" i="1"/>
  <c r="CH92" i="1" s="1"/>
  <c r="CK92" i="1"/>
  <c r="CJ92" i="1"/>
  <c r="CM92" i="1"/>
  <c r="CL92" i="1"/>
  <c r="CI92" i="1"/>
  <c r="AK78" i="1"/>
  <c r="BJ36" i="5"/>
  <c r="F42" i="5" s="1"/>
  <c r="BE36" i="5"/>
  <c r="BH36" i="5" s="1"/>
  <c r="AJ78" i="1"/>
  <c r="AY36" i="5"/>
  <c r="E42" i="5" s="1"/>
  <c r="AT36" i="5"/>
  <c r="AW36" i="5" s="1"/>
  <c r="X36" i="5"/>
  <c r="AA36" i="5" s="1"/>
  <c r="AH78" i="1"/>
  <c r="AC36" i="5"/>
  <c r="C42" i="5" s="1"/>
  <c r="G36" i="5" s="1"/>
  <c r="AO73" i="1" s="1"/>
  <c r="AP73" i="1" s="1"/>
  <c r="L106" i="1"/>
  <c r="AI78" i="1"/>
  <c r="AI36" i="5"/>
  <c r="AL36" i="5" s="1"/>
  <c r="AN36" i="5"/>
  <c r="D42" i="5" s="1"/>
  <c r="E68" i="3"/>
  <c r="F68" i="3" s="1"/>
  <c r="D69" i="3"/>
  <c r="CF94" i="1" l="1"/>
  <c r="Q95" i="1"/>
  <c r="AA94" i="1"/>
  <c r="CL93" i="1"/>
  <c r="CM93" i="1"/>
  <c r="CK93" i="1"/>
  <c r="CG93" i="1"/>
  <c r="CH93" i="1" s="1"/>
  <c r="CJ93" i="1"/>
  <c r="CI93" i="1"/>
  <c r="CI94" i="1"/>
  <c r="AM78" i="1"/>
  <c r="AN78" i="1" s="1"/>
  <c r="BA36" i="5"/>
  <c r="AV36" i="5"/>
  <c r="BL36" i="5"/>
  <c r="BG36" i="5"/>
  <c r="AP36" i="5"/>
  <c r="AK36" i="5"/>
  <c r="L107" i="1"/>
  <c r="AE36" i="5"/>
  <c r="Z36" i="5"/>
  <c r="D70" i="3"/>
  <c r="E69" i="3"/>
  <c r="F69" i="3" s="1"/>
  <c r="CF95" i="1" l="1"/>
  <c r="Q96" i="1"/>
  <c r="AA95" i="1"/>
  <c r="CK94" i="1"/>
  <c r="CG94" i="1"/>
  <c r="CH94" i="1" s="1"/>
  <c r="CL94" i="1"/>
  <c r="CM94" i="1"/>
  <c r="CJ94" i="1"/>
  <c r="AQ36" i="5"/>
  <c r="AO36" i="5"/>
  <c r="AF36" i="5"/>
  <c r="AD36" i="5"/>
  <c r="L108" i="1"/>
  <c r="BM36" i="5"/>
  <c r="BK36" i="5"/>
  <c r="BB36" i="5"/>
  <c r="AZ36" i="5"/>
  <c r="E70" i="3"/>
  <c r="F70" i="3" s="1"/>
  <c r="D71" i="3"/>
  <c r="CI96" i="1" l="1"/>
  <c r="CF96" i="1"/>
  <c r="Q97" i="1"/>
  <c r="AA96" i="1"/>
  <c r="CL95" i="1"/>
  <c r="CG95" i="1"/>
  <c r="CH95" i="1" s="1"/>
  <c r="CM95" i="1"/>
  <c r="CJ95" i="1"/>
  <c r="CK95" i="1"/>
  <c r="CI95" i="1"/>
  <c r="L109" i="1"/>
  <c r="X37" i="5"/>
  <c r="AA37" i="5" s="1"/>
  <c r="AC37" i="5"/>
  <c r="C43" i="5" s="1"/>
  <c r="G37" i="5" s="1"/>
  <c r="AO74" i="1" s="1"/>
  <c r="AP74" i="1" s="1"/>
  <c r="AH79" i="1"/>
  <c r="AN37" i="5"/>
  <c r="D43" i="5" s="1"/>
  <c r="AI37" i="5"/>
  <c r="AL37" i="5" s="1"/>
  <c r="AI79" i="1"/>
  <c r="AY37" i="5"/>
  <c r="E43" i="5" s="1"/>
  <c r="AJ79" i="1"/>
  <c r="AT37" i="5"/>
  <c r="AW37" i="5" s="1"/>
  <c r="BJ37" i="5"/>
  <c r="F43" i="5" s="1"/>
  <c r="AK79" i="1"/>
  <c r="BE37" i="5"/>
  <c r="BH37" i="5" s="1"/>
  <c r="D72" i="3"/>
  <c r="E71" i="3"/>
  <c r="F71" i="3" s="1"/>
  <c r="CF97" i="1" l="1"/>
  <c r="Q98" i="1"/>
  <c r="AA97" i="1"/>
  <c r="CK96" i="1"/>
  <c r="CL96" i="1"/>
  <c r="CM96" i="1"/>
  <c r="CJ96" i="1"/>
  <c r="CG96" i="1"/>
  <c r="CH96" i="1" s="1"/>
  <c r="AP37" i="5"/>
  <c r="AK37" i="5"/>
  <c r="BA37" i="5"/>
  <c r="AV37" i="5"/>
  <c r="AM79" i="1"/>
  <c r="AN79" i="1" s="1"/>
  <c r="AE37" i="5"/>
  <c r="Z37" i="5"/>
  <c r="BL37" i="5"/>
  <c r="BG37" i="5"/>
  <c r="L110" i="1"/>
  <c r="D73" i="3"/>
  <c r="E72" i="3"/>
  <c r="F72" i="3" s="1"/>
  <c r="CF98" i="1" l="1"/>
  <c r="Q99" i="1"/>
  <c r="AA98" i="1"/>
  <c r="CG97" i="1"/>
  <c r="CH97" i="1" s="1"/>
  <c r="CL97" i="1"/>
  <c r="CJ97" i="1"/>
  <c r="CK97" i="1"/>
  <c r="CM97" i="1"/>
  <c r="CI97" i="1"/>
  <c r="BB37" i="5"/>
  <c r="AZ37" i="5"/>
  <c r="BM37" i="5"/>
  <c r="BK37" i="5"/>
  <c r="AF37" i="5"/>
  <c r="AD37" i="5"/>
  <c r="AQ37" i="5"/>
  <c r="AO37" i="5"/>
  <c r="L111" i="1"/>
  <c r="E73" i="3"/>
  <c r="F73" i="3" s="1"/>
  <c r="D74" i="3"/>
  <c r="CF99" i="1" l="1"/>
  <c r="Q100" i="1"/>
  <c r="AA99" i="1"/>
  <c r="CK98" i="1"/>
  <c r="CM98" i="1"/>
  <c r="CL98" i="1"/>
  <c r="CG98" i="1"/>
  <c r="CH98" i="1" s="1"/>
  <c r="CJ98" i="1"/>
  <c r="CI98" i="1"/>
  <c r="L112" i="1"/>
  <c r="AI80" i="1"/>
  <c r="AN38" i="5"/>
  <c r="D44" i="5" s="1"/>
  <c r="AI38" i="5"/>
  <c r="AL38" i="5" s="1"/>
  <c r="X38" i="5"/>
  <c r="AA38" i="5" s="1"/>
  <c r="AC38" i="5"/>
  <c r="C44" i="5" s="1"/>
  <c r="G38" i="5" s="1"/>
  <c r="AO75" i="1" s="1"/>
  <c r="AP75" i="1" s="1"/>
  <c r="AH80" i="1"/>
  <c r="AK80" i="1"/>
  <c r="BJ38" i="5"/>
  <c r="F44" i="5" s="1"/>
  <c r="BE38" i="5"/>
  <c r="BH38" i="5" s="1"/>
  <c r="AJ80" i="1"/>
  <c r="AY38" i="5"/>
  <c r="E44" i="5" s="1"/>
  <c r="AT38" i="5"/>
  <c r="AW38" i="5" s="1"/>
  <c r="E74" i="3"/>
  <c r="F74" i="3" s="1"/>
  <c r="D75" i="3"/>
  <c r="CF100" i="1" l="1"/>
  <c r="Q101" i="1"/>
  <c r="AA100" i="1"/>
  <c r="CJ99" i="1"/>
  <c r="CM99" i="1"/>
  <c r="CG99" i="1"/>
  <c r="CH99" i="1" s="1"/>
  <c r="CK99" i="1"/>
  <c r="CL99" i="1"/>
  <c r="CI99" i="1"/>
  <c r="AE38" i="5"/>
  <c r="Z38" i="5"/>
  <c r="BL38" i="5"/>
  <c r="BG38" i="5"/>
  <c r="AP38" i="5"/>
  <c r="AK38" i="5"/>
  <c r="BA38" i="5"/>
  <c r="AV38" i="5"/>
  <c r="AM80" i="1"/>
  <c r="AN80" i="1" s="1"/>
  <c r="L113" i="1"/>
  <c r="D76" i="3"/>
  <c r="E75" i="3"/>
  <c r="F75" i="3" s="1"/>
  <c r="CF101" i="1" l="1"/>
  <c r="Q102" i="1"/>
  <c r="AA101" i="1"/>
  <c r="CM100" i="1"/>
  <c r="CG100" i="1"/>
  <c r="CH100" i="1" s="1"/>
  <c r="CL100" i="1"/>
  <c r="CK100" i="1"/>
  <c r="CJ100" i="1"/>
  <c r="CI100" i="1"/>
  <c r="BB38" i="5"/>
  <c r="AZ38" i="5"/>
  <c r="AQ38" i="5"/>
  <c r="AO38" i="5"/>
  <c r="L114" i="1"/>
  <c r="AF38" i="5"/>
  <c r="AD38" i="5"/>
  <c r="BM38" i="5"/>
  <c r="BK38" i="5"/>
  <c r="E76" i="3"/>
  <c r="F76" i="3" s="1"/>
  <c r="D77" i="3"/>
  <c r="CF102" i="1" l="1"/>
  <c r="Q103" i="1"/>
  <c r="AA102" i="1"/>
  <c r="CM101" i="1"/>
  <c r="CL101" i="1"/>
  <c r="CG101" i="1"/>
  <c r="CH101" i="1" s="1"/>
  <c r="CK101" i="1"/>
  <c r="CJ101" i="1"/>
  <c r="CI101" i="1"/>
  <c r="L115" i="1"/>
  <c r="AK81" i="1"/>
  <c r="BJ39" i="5"/>
  <c r="F45" i="5" s="1"/>
  <c r="BE39" i="5"/>
  <c r="BH39" i="5" s="1"/>
  <c r="AN39" i="5"/>
  <c r="D45" i="5" s="1"/>
  <c r="AI81" i="1"/>
  <c r="AI39" i="5"/>
  <c r="AL39" i="5" s="1"/>
  <c r="AJ81" i="1"/>
  <c r="AY39" i="5"/>
  <c r="E45" i="5" s="1"/>
  <c r="AT39" i="5"/>
  <c r="AW39" i="5" s="1"/>
  <c r="AH81" i="1"/>
  <c r="AC39" i="5"/>
  <c r="C45" i="5" s="1"/>
  <c r="G39" i="5" s="1"/>
  <c r="AO76" i="1" s="1"/>
  <c r="AP76" i="1" s="1"/>
  <c r="X39" i="5"/>
  <c r="AA39" i="5" s="1"/>
  <c r="D78" i="3"/>
  <c r="E77" i="3"/>
  <c r="F77" i="3" s="1"/>
  <c r="AM81" i="1" l="1"/>
  <c r="AN81" i="1" s="1"/>
  <c r="CF103" i="1"/>
  <c r="Q104" i="1"/>
  <c r="AA103" i="1"/>
  <c r="CG102" i="1"/>
  <c r="CH102" i="1" s="1"/>
  <c r="CK102" i="1"/>
  <c r="CM102" i="1"/>
  <c r="CJ102" i="1"/>
  <c r="CL102" i="1"/>
  <c r="CI102" i="1"/>
  <c r="AE39" i="5"/>
  <c r="Z39" i="5"/>
  <c r="BA39" i="5"/>
  <c r="AV39" i="5"/>
  <c r="BL39" i="5"/>
  <c r="BG39" i="5"/>
  <c r="AP39" i="5"/>
  <c r="AK39" i="5"/>
  <c r="L116" i="1"/>
  <c r="D79" i="3"/>
  <c r="E78" i="3"/>
  <c r="F78" i="3" s="1"/>
  <c r="CF104" i="1" l="1"/>
  <c r="Q105" i="1"/>
  <c r="AA104" i="1"/>
  <c r="CG103" i="1"/>
  <c r="CH103" i="1" s="1"/>
  <c r="CM103" i="1"/>
  <c r="CL103" i="1"/>
  <c r="CK103" i="1"/>
  <c r="CJ103" i="1"/>
  <c r="CI103" i="1"/>
  <c r="L117" i="1"/>
  <c r="AQ39" i="5"/>
  <c r="AO39" i="5"/>
  <c r="BM39" i="5"/>
  <c r="BK39" i="5"/>
  <c r="BB39" i="5"/>
  <c r="AZ39" i="5"/>
  <c r="AF39" i="5"/>
  <c r="AD39" i="5"/>
  <c r="E79" i="3"/>
  <c r="F79" i="3" s="1"/>
  <c r="D80" i="3"/>
  <c r="CF105" i="1" l="1"/>
  <c r="Q106" i="1"/>
  <c r="AA105" i="1"/>
  <c r="CL104" i="1"/>
  <c r="CG104" i="1"/>
  <c r="CH104" i="1" s="1"/>
  <c r="CJ104" i="1"/>
  <c r="CK104" i="1"/>
  <c r="CM104" i="1"/>
  <c r="CI104" i="1"/>
  <c r="AK82" i="1"/>
  <c r="BJ40" i="5"/>
  <c r="F46" i="5" s="1"/>
  <c r="BE40" i="5"/>
  <c r="BH40" i="5" s="1"/>
  <c r="X40" i="5"/>
  <c r="AA40" i="5" s="1"/>
  <c r="AC40" i="5"/>
  <c r="C46" i="5" s="1"/>
  <c r="G40" i="5" s="1"/>
  <c r="AO77" i="1" s="1"/>
  <c r="AP77" i="1" s="1"/>
  <c r="AH82" i="1"/>
  <c r="AI82" i="1"/>
  <c r="AI40" i="5"/>
  <c r="AL40" i="5" s="1"/>
  <c r="AN40" i="5"/>
  <c r="D46" i="5" s="1"/>
  <c r="L118" i="1"/>
  <c r="AT40" i="5"/>
  <c r="AW40" i="5" s="1"/>
  <c r="AJ82" i="1"/>
  <c r="AY40" i="5"/>
  <c r="E46" i="5" s="1"/>
  <c r="E80" i="3"/>
  <c r="F80" i="3" s="1"/>
  <c r="D81" i="3"/>
  <c r="CF106" i="1" l="1"/>
  <c r="Q107" i="1"/>
  <c r="AA106" i="1"/>
  <c r="CM105" i="1"/>
  <c r="CG105" i="1"/>
  <c r="CH105" i="1" s="1"/>
  <c r="CL105" i="1"/>
  <c r="CK105" i="1"/>
  <c r="CJ105" i="1"/>
  <c r="CI105" i="1"/>
  <c r="AP40" i="5"/>
  <c r="AK40" i="5"/>
  <c r="BA40" i="5"/>
  <c r="AV40" i="5"/>
  <c r="AM82" i="1"/>
  <c r="AN82" i="1" s="1"/>
  <c r="BL40" i="5"/>
  <c r="BG40" i="5"/>
  <c r="L119" i="1"/>
  <c r="AE40" i="5"/>
  <c r="Z40" i="5"/>
  <c r="D82" i="3"/>
  <c r="E81" i="3"/>
  <c r="F81" i="3" s="1"/>
  <c r="CF107" i="1" l="1"/>
  <c r="Q108" i="1"/>
  <c r="AA107" i="1"/>
  <c r="CK106" i="1"/>
  <c r="CJ106" i="1"/>
  <c r="CG106" i="1"/>
  <c r="CH106" i="1" s="1"/>
  <c r="CL106" i="1"/>
  <c r="CM106" i="1"/>
  <c r="CI106" i="1"/>
  <c r="AF40" i="5"/>
  <c r="AD40" i="5"/>
  <c r="BM40" i="5"/>
  <c r="BK40" i="5"/>
  <c r="AQ40" i="5"/>
  <c r="AO40" i="5"/>
  <c r="L120" i="1"/>
  <c r="BB40" i="5"/>
  <c r="AZ40" i="5"/>
  <c r="D83" i="3"/>
  <c r="E82" i="3"/>
  <c r="F82" i="3" s="1"/>
  <c r="CF108" i="1" l="1"/>
  <c r="Q109" i="1"/>
  <c r="AA108" i="1"/>
  <c r="CK107" i="1"/>
  <c r="CM107" i="1"/>
  <c r="CG107" i="1"/>
  <c r="CH107" i="1" s="1"/>
  <c r="CL107" i="1"/>
  <c r="CJ107" i="1"/>
  <c r="CI107" i="1"/>
  <c r="X41" i="5"/>
  <c r="AA41" i="5" s="1"/>
  <c r="AH83" i="1"/>
  <c r="AC41" i="5"/>
  <c r="C47" i="5" s="1"/>
  <c r="G41" i="5" s="1"/>
  <c r="AO78" i="1" s="1"/>
  <c r="AP78" i="1" s="1"/>
  <c r="AY41" i="5"/>
  <c r="E47" i="5" s="1"/>
  <c r="AJ83" i="1"/>
  <c r="AT41" i="5"/>
  <c r="AW41" i="5" s="1"/>
  <c r="L121" i="1"/>
  <c r="AI83" i="1"/>
  <c r="AN41" i="5"/>
  <c r="D47" i="5" s="1"/>
  <c r="AI41" i="5"/>
  <c r="AL41" i="5" s="1"/>
  <c r="AK83" i="1"/>
  <c r="BJ41" i="5"/>
  <c r="F47" i="5" s="1"/>
  <c r="BE41" i="5"/>
  <c r="BH41" i="5" s="1"/>
  <c r="E83" i="3"/>
  <c r="F83" i="3" s="1"/>
  <c r="D84" i="3"/>
  <c r="CF109" i="1" l="1"/>
  <c r="Q110" i="1"/>
  <c r="AA109" i="1"/>
  <c r="CL108" i="1"/>
  <c r="CK108" i="1"/>
  <c r="CM108" i="1"/>
  <c r="CJ108" i="1"/>
  <c r="CG108" i="1"/>
  <c r="CH108" i="1" s="1"/>
  <c r="CI108" i="1"/>
  <c r="AP41" i="5"/>
  <c r="AK41" i="5"/>
  <c r="BL41" i="5"/>
  <c r="BG41" i="5"/>
  <c r="L122" i="1"/>
  <c r="AM83" i="1"/>
  <c r="AN83" i="1" s="1"/>
  <c r="BA41" i="5"/>
  <c r="AV41" i="5"/>
  <c r="AE41" i="5"/>
  <c r="Z41" i="5"/>
  <c r="D85" i="3"/>
  <c r="E84" i="3"/>
  <c r="F84" i="3" s="1"/>
  <c r="CF110" i="1" l="1"/>
  <c r="Q111" i="1"/>
  <c r="AA110" i="1"/>
  <c r="CM109" i="1"/>
  <c r="CL109" i="1"/>
  <c r="CJ109" i="1"/>
  <c r="CK109" i="1"/>
  <c r="CG109" i="1"/>
  <c r="CH109" i="1" s="1"/>
  <c r="CI109" i="1"/>
  <c r="BB41" i="5"/>
  <c r="AZ41" i="5"/>
  <c r="BM41" i="5"/>
  <c r="BK41" i="5"/>
  <c r="AF41" i="5"/>
  <c r="AD41" i="5"/>
  <c r="L123" i="1"/>
  <c r="AQ41" i="5"/>
  <c r="AO41" i="5"/>
  <c r="D86" i="3"/>
  <c r="E85" i="3"/>
  <c r="F85" i="3" s="1"/>
  <c r="CF111" i="1" l="1"/>
  <c r="Q112" i="1"/>
  <c r="AA111" i="1"/>
  <c r="CG110" i="1"/>
  <c r="CH110" i="1" s="1"/>
  <c r="CK110" i="1"/>
  <c r="CM110" i="1"/>
  <c r="CL110" i="1"/>
  <c r="CJ110" i="1"/>
  <c r="CI110" i="1"/>
  <c r="L124" i="1"/>
  <c r="BE42" i="5"/>
  <c r="BH42" i="5" s="1"/>
  <c r="AK84" i="1"/>
  <c r="BJ42" i="5"/>
  <c r="F48" i="5" s="1"/>
  <c r="X42" i="5"/>
  <c r="AA42" i="5" s="1"/>
  <c r="AH84" i="1"/>
  <c r="AC42" i="5"/>
  <c r="C48" i="5" s="1"/>
  <c r="G42" i="5" s="1"/>
  <c r="AO79" i="1" s="1"/>
  <c r="AP79" i="1" s="1"/>
  <c r="AN42" i="5"/>
  <c r="D48" i="5" s="1"/>
  <c r="AI84" i="1"/>
  <c r="AI42" i="5"/>
  <c r="AL42" i="5" s="1"/>
  <c r="AY42" i="5"/>
  <c r="E48" i="5" s="1"/>
  <c r="AJ84" i="1"/>
  <c r="AT42" i="5"/>
  <c r="AW42" i="5" s="1"/>
  <c r="E86" i="3"/>
  <c r="F86" i="3" s="1"/>
  <c r="D87" i="3"/>
  <c r="CF112" i="1" l="1"/>
  <c r="Q113" i="1"/>
  <c r="AA112" i="1"/>
  <c r="CL111" i="1"/>
  <c r="CK111" i="1"/>
  <c r="CG111" i="1"/>
  <c r="CH111" i="1" s="1"/>
  <c r="CM111" i="1"/>
  <c r="CJ111" i="1"/>
  <c r="CI111" i="1"/>
  <c r="AP42" i="5"/>
  <c r="AK42" i="5"/>
  <c r="AM84" i="1"/>
  <c r="AN84" i="1" s="1"/>
  <c r="BL42" i="5"/>
  <c r="BG42" i="5"/>
  <c r="BA42" i="5"/>
  <c r="AV42" i="5"/>
  <c r="AE42" i="5"/>
  <c r="Z42" i="5"/>
  <c r="L125" i="1"/>
  <c r="E87" i="3"/>
  <c r="F87" i="3" s="1"/>
  <c r="D88" i="3"/>
  <c r="CF113" i="1" l="1"/>
  <c r="Q114" i="1"/>
  <c r="AA113" i="1"/>
  <c r="CL112" i="1"/>
  <c r="CK112" i="1"/>
  <c r="CM112" i="1"/>
  <c r="CG112" i="1"/>
  <c r="CH112" i="1" s="1"/>
  <c r="CJ112" i="1"/>
  <c r="CI112" i="1"/>
  <c r="AF42" i="5"/>
  <c r="AD42" i="5"/>
  <c r="BB42" i="5"/>
  <c r="AZ42" i="5"/>
  <c r="BM42" i="5"/>
  <c r="BK42" i="5"/>
  <c r="AQ42" i="5"/>
  <c r="AO42" i="5"/>
  <c r="L126" i="1"/>
  <c r="D89" i="3"/>
  <c r="E88" i="3"/>
  <c r="F88" i="3" s="1"/>
  <c r="CF114" i="1" l="1"/>
  <c r="Q115" i="1"/>
  <c r="AA114" i="1"/>
  <c r="CG113" i="1"/>
  <c r="CH113" i="1" s="1"/>
  <c r="CL113" i="1"/>
  <c r="CK113" i="1"/>
  <c r="CJ113" i="1"/>
  <c r="CM113" i="1"/>
  <c r="CI113" i="1"/>
  <c r="AY43" i="5"/>
  <c r="E49" i="5" s="1"/>
  <c r="AJ85" i="1"/>
  <c r="AT43" i="5"/>
  <c r="AW43" i="5" s="1"/>
  <c r="L127" i="1"/>
  <c r="AN43" i="5"/>
  <c r="D49" i="5" s="1"/>
  <c r="AI43" i="5"/>
  <c r="AL43" i="5" s="1"/>
  <c r="AI85" i="1"/>
  <c r="BJ43" i="5"/>
  <c r="F49" i="5" s="1"/>
  <c r="AK85" i="1"/>
  <c r="BE43" i="5"/>
  <c r="BH43" i="5" s="1"/>
  <c r="X43" i="5"/>
  <c r="AA43" i="5" s="1"/>
  <c r="AC43" i="5"/>
  <c r="C49" i="5" s="1"/>
  <c r="G43" i="5" s="1"/>
  <c r="AO80" i="1" s="1"/>
  <c r="AP80" i="1" s="1"/>
  <c r="AH85" i="1"/>
  <c r="E89" i="3"/>
  <c r="F89" i="3" s="1"/>
  <c r="D90" i="3"/>
  <c r="CF115" i="1" l="1"/>
  <c r="Q116" i="1"/>
  <c r="AA115" i="1"/>
  <c r="CM114" i="1"/>
  <c r="CJ114" i="1"/>
  <c r="CK114" i="1"/>
  <c r="CL114" i="1"/>
  <c r="CG114" i="1"/>
  <c r="CH114" i="1" s="1"/>
  <c r="CI114" i="1"/>
  <c r="AM85" i="1"/>
  <c r="AN85" i="1" s="1"/>
  <c r="BL43" i="5"/>
  <c r="BG43" i="5"/>
  <c r="BA43" i="5"/>
  <c r="AV43" i="5"/>
  <c r="AE43" i="5"/>
  <c r="Z43" i="5"/>
  <c r="AP43" i="5"/>
  <c r="AK43" i="5"/>
  <c r="L128" i="1"/>
  <c r="D91" i="3"/>
  <c r="E90" i="3"/>
  <c r="F90" i="3" s="1"/>
  <c r="CF116" i="1" l="1"/>
  <c r="Q117" i="1"/>
  <c r="AA116" i="1"/>
  <c r="CK115" i="1"/>
  <c r="CG115" i="1"/>
  <c r="CH115" i="1" s="1"/>
  <c r="CM115" i="1"/>
  <c r="CL115" i="1"/>
  <c r="CJ115" i="1"/>
  <c r="CI115" i="1"/>
  <c r="AQ43" i="5"/>
  <c r="AO43" i="5"/>
  <c r="L129" i="1"/>
  <c r="AF43" i="5"/>
  <c r="AD43" i="5"/>
  <c r="BB43" i="5"/>
  <c r="AZ43" i="5"/>
  <c r="BM43" i="5"/>
  <c r="BK43" i="5"/>
  <c r="D92" i="3"/>
  <c r="E91" i="3"/>
  <c r="F91" i="3" s="1"/>
  <c r="CF117" i="1" l="1"/>
  <c r="Q118" i="1"/>
  <c r="AA117" i="1"/>
  <c r="CG116" i="1"/>
  <c r="CH116" i="1" s="1"/>
  <c r="CM116" i="1"/>
  <c r="CL116" i="1"/>
  <c r="CK116" i="1"/>
  <c r="CJ116" i="1"/>
  <c r="CI116" i="1"/>
  <c r="AY44" i="5"/>
  <c r="E50" i="5" s="1"/>
  <c r="AJ86" i="1"/>
  <c r="AT44" i="5"/>
  <c r="AW44" i="5" s="1"/>
  <c r="AC44" i="5"/>
  <c r="C50" i="5" s="1"/>
  <c r="G44" i="5" s="1"/>
  <c r="AO81" i="1" s="1"/>
  <c r="AP81" i="1" s="1"/>
  <c r="X44" i="5"/>
  <c r="AA44" i="5" s="1"/>
  <c r="AH86" i="1"/>
  <c r="L130" i="1"/>
  <c r="AI44" i="5"/>
  <c r="AL44" i="5" s="1"/>
  <c r="AN44" i="5"/>
  <c r="D50" i="5" s="1"/>
  <c r="AI86" i="1"/>
  <c r="BJ44" i="5"/>
  <c r="F50" i="5" s="1"/>
  <c r="BE44" i="5"/>
  <c r="BH44" i="5" s="1"/>
  <c r="AK86" i="1"/>
  <c r="E92" i="3"/>
  <c r="F92" i="3" s="1"/>
  <c r="D93" i="3"/>
  <c r="CF118" i="1" l="1"/>
  <c r="Q119" i="1"/>
  <c r="AA118" i="1"/>
  <c r="CM117" i="1"/>
  <c r="CG117" i="1"/>
  <c r="CH117" i="1" s="1"/>
  <c r="CL117" i="1"/>
  <c r="CK117" i="1"/>
  <c r="CJ117" i="1"/>
  <c r="CI117" i="1"/>
  <c r="AE44" i="5"/>
  <c r="Z44" i="5"/>
  <c r="AP44" i="5"/>
  <c r="AK44" i="5"/>
  <c r="L131" i="1"/>
  <c r="BA44" i="5"/>
  <c r="AV44" i="5"/>
  <c r="BL44" i="5"/>
  <c r="BG44" i="5"/>
  <c r="AM86" i="1"/>
  <c r="AN86" i="1" s="1"/>
  <c r="D94" i="3"/>
  <c r="E93" i="3"/>
  <c r="F93" i="3" s="1"/>
  <c r="CM118" i="1" l="1"/>
  <c r="CK118" i="1"/>
  <c r="CL118" i="1"/>
  <c r="CG118" i="1"/>
  <c r="CH118" i="1" s="1"/>
  <c r="CJ118" i="1"/>
  <c r="CI118" i="1"/>
  <c r="CF119" i="1"/>
  <c r="Q120" i="1"/>
  <c r="AA119" i="1"/>
  <c r="BB44" i="5"/>
  <c r="AZ44" i="5"/>
  <c r="BM44" i="5"/>
  <c r="BK44" i="5"/>
  <c r="AQ44" i="5"/>
  <c r="AO44" i="5"/>
  <c r="AF44" i="5"/>
  <c r="AD44" i="5"/>
  <c r="L132" i="1"/>
  <c r="E94" i="3"/>
  <c r="F94" i="3" s="1"/>
  <c r="D95" i="3"/>
  <c r="CM119" i="1" l="1"/>
  <c r="CL119" i="1"/>
  <c r="CK119" i="1"/>
  <c r="CJ119" i="1"/>
  <c r="CG119" i="1"/>
  <c r="CH119" i="1" s="1"/>
  <c r="CF120" i="1"/>
  <c r="Q121" i="1"/>
  <c r="AA120" i="1"/>
  <c r="CI119" i="1"/>
  <c r="CI120" i="1"/>
  <c r="L133" i="1"/>
  <c r="AI87" i="1"/>
  <c r="AN45" i="5"/>
  <c r="D51" i="5" s="1"/>
  <c r="AI45" i="5"/>
  <c r="AL45" i="5" s="1"/>
  <c r="BJ45" i="5"/>
  <c r="F51" i="5" s="1"/>
  <c r="BE45" i="5"/>
  <c r="BH45" i="5" s="1"/>
  <c r="AK87" i="1"/>
  <c r="X45" i="5"/>
  <c r="AA45" i="5" s="1"/>
  <c r="AH87" i="1"/>
  <c r="AC45" i="5"/>
  <c r="C51" i="5" s="1"/>
  <c r="G45" i="5" s="1"/>
  <c r="AO82" i="1" s="1"/>
  <c r="AP82" i="1" s="1"/>
  <c r="AY45" i="5"/>
  <c r="E51" i="5" s="1"/>
  <c r="AJ87" i="1"/>
  <c r="AT45" i="5"/>
  <c r="AW45" i="5" s="1"/>
  <c r="E95" i="3"/>
  <c r="F95" i="3" s="1"/>
  <c r="D96" i="3"/>
  <c r="CF121" i="1" l="1"/>
  <c r="Q122" i="1"/>
  <c r="AA121" i="1"/>
  <c r="CL120" i="1"/>
  <c r="CJ120" i="1"/>
  <c r="CG120" i="1"/>
  <c r="CH120" i="1" s="1"/>
  <c r="CK120" i="1"/>
  <c r="CM120" i="1"/>
  <c r="AP45" i="5"/>
  <c r="AK45" i="5"/>
  <c r="AM87" i="1"/>
  <c r="AN87" i="1" s="1"/>
  <c r="BA45" i="5"/>
  <c r="AV45" i="5"/>
  <c r="AE45" i="5"/>
  <c r="Z45" i="5"/>
  <c r="BL45" i="5"/>
  <c r="BG45" i="5"/>
  <c r="L134" i="1"/>
  <c r="E96" i="3"/>
  <c r="F96" i="3" s="1"/>
  <c r="D97" i="3"/>
  <c r="CF122" i="1" l="1"/>
  <c r="Q123" i="1"/>
  <c r="AA122" i="1"/>
  <c r="CG121" i="1"/>
  <c r="CH121" i="1" s="1"/>
  <c r="CK121" i="1"/>
  <c r="CM121" i="1"/>
  <c r="CJ121" i="1"/>
  <c r="CL121" i="1"/>
  <c r="CI121" i="1"/>
  <c r="AQ45" i="5"/>
  <c r="AO45" i="5"/>
  <c r="L135" i="1"/>
  <c r="BM45" i="5"/>
  <c r="BK45" i="5"/>
  <c r="AF45" i="5"/>
  <c r="AD45" i="5"/>
  <c r="BB45" i="5"/>
  <c r="AZ45" i="5"/>
  <c r="D98" i="3"/>
  <c r="E97" i="3"/>
  <c r="F97" i="3" s="1"/>
  <c r="CF123" i="1" l="1"/>
  <c r="Q124" i="1"/>
  <c r="AA123" i="1"/>
  <c r="CM122" i="1"/>
  <c r="CG122" i="1"/>
  <c r="CH122" i="1" s="1"/>
  <c r="CK122" i="1"/>
  <c r="CL122" i="1"/>
  <c r="CJ122" i="1"/>
  <c r="CI122" i="1"/>
  <c r="AK88" i="1"/>
  <c r="BJ46" i="5"/>
  <c r="F52" i="5" s="1"/>
  <c r="BE46" i="5"/>
  <c r="BH46" i="5" s="1"/>
  <c r="AJ88" i="1"/>
  <c r="AT46" i="5"/>
  <c r="AW46" i="5" s="1"/>
  <c r="AY46" i="5"/>
  <c r="E52" i="5" s="1"/>
  <c r="X46" i="5"/>
  <c r="AA46" i="5" s="1"/>
  <c r="AH88" i="1"/>
  <c r="AC46" i="5"/>
  <c r="C52" i="5" s="1"/>
  <c r="G46" i="5" s="1"/>
  <c r="AO83" i="1" s="1"/>
  <c r="AP83" i="1" s="1"/>
  <c r="L136" i="1"/>
  <c r="AI88" i="1"/>
  <c r="AN46" i="5"/>
  <c r="D52" i="5" s="1"/>
  <c r="AI46" i="5"/>
  <c r="AL46" i="5" s="1"/>
  <c r="D99" i="3"/>
  <c r="E98" i="3"/>
  <c r="F98" i="3" s="1"/>
  <c r="CL123" i="1" l="1"/>
  <c r="CM123" i="1"/>
  <c r="CK123" i="1"/>
  <c r="CG123" i="1"/>
  <c r="CH123" i="1" s="1"/>
  <c r="CJ123" i="1"/>
  <c r="CI123" i="1"/>
  <c r="CF124" i="1"/>
  <c r="Q125" i="1"/>
  <c r="AA124" i="1"/>
  <c r="AP46" i="5"/>
  <c r="AK46" i="5"/>
  <c r="AM88" i="1"/>
  <c r="AN88" i="1" s="1"/>
  <c r="AE46" i="5"/>
  <c r="Z46" i="5"/>
  <c r="L137" i="1"/>
  <c r="BA46" i="5"/>
  <c r="AV46" i="5"/>
  <c r="BL46" i="5"/>
  <c r="BG46" i="5"/>
  <c r="E99" i="3"/>
  <c r="F99" i="3" s="1"/>
  <c r="D100" i="3"/>
  <c r="CJ124" i="1" l="1"/>
  <c r="CG124" i="1"/>
  <c r="CH124" i="1" s="1"/>
  <c r="CM124" i="1"/>
  <c r="CK124" i="1"/>
  <c r="CL124" i="1"/>
  <c r="CI124" i="1"/>
  <c r="CF125" i="1"/>
  <c r="Q126" i="1"/>
  <c r="AA125" i="1"/>
  <c r="BM46" i="5"/>
  <c r="BK46" i="5"/>
  <c r="AF46" i="5"/>
  <c r="AD46" i="5"/>
  <c r="BB46" i="5"/>
  <c r="AZ46" i="5"/>
  <c r="L138" i="1"/>
  <c r="AQ46" i="5"/>
  <c r="AO46" i="5"/>
  <c r="D101" i="3"/>
  <c r="E100" i="3"/>
  <c r="F100" i="3" s="1"/>
  <c r="CF126" i="1" l="1"/>
  <c r="Q127" i="1"/>
  <c r="AA126" i="1"/>
  <c r="CM125" i="1"/>
  <c r="CJ125" i="1"/>
  <c r="CG125" i="1"/>
  <c r="CH125" i="1" s="1"/>
  <c r="CL125" i="1"/>
  <c r="CK125" i="1"/>
  <c r="CI125" i="1"/>
  <c r="CI126" i="1"/>
  <c r="X47" i="5"/>
  <c r="AA47" i="5" s="1"/>
  <c r="AH89" i="1"/>
  <c r="AC47" i="5"/>
  <c r="C53" i="5" s="1"/>
  <c r="G47" i="5" s="1"/>
  <c r="AO84" i="1" s="1"/>
  <c r="AP84" i="1" s="1"/>
  <c r="AI89" i="1"/>
  <c r="AN47" i="5"/>
  <c r="D53" i="5" s="1"/>
  <c r="AI47" i="5"/>
  <c r="AL47" i="5" s="1"/>
  <c r="L139" i="1"/>
  <c r="AY47" i="5"/>
  <c r="E53" i="5" s="1"/>
  <c r="AT47" i="5"/>
  <c r="AW47" i="5" s="1"/>
  <c r="AJ89" i="1"/>
  <c r="BJ47" i="5"/>
  <c r="F53" i="5" s="1"/>
  <c r="AK89" i="1"/>
  <c r="BE47" i="5"/>
  <c r="BH47" i="5" s="1"/>
  <c r="D102" i="3"/>
  <c r="E101" i="3"/>
  <c r="F101" i="3" s="1"/>
  <c r="CF127" i="1" l="1"/>
  <c r="Q128" i="1"/>
  <c r="AA127" i="1"/>
  <c r="CK126" i="1"/>
  <c r="CJ126" i="1"/>
  <c r="CM126" i="1"/>
  <c r="CL126" i="1"/>
  <c r="CG126" i="1"/>
  <c r="CH126" i="1" s="1"/>
  <c r="BA47" i="5"/>
  <c r="AV47" i="5"/>
  <c r="L140" i="1"/>
  <c r="AM89" i="1"/>
  <c r="AN89" i="1" s="1"/>
  <c r="AE47" i="5"/>
  <c r="Z47" i="5"/>
  <c r="BL47" i="5"/>
  <c r="BG47" i="5"/>
  <c r="AP47" i="5"/>
  <c r="AK47" i="5"/>
  <c r="E102" i="3"/>
  <c r="F102" i="3" s="1"/>
  <c r="D103" i="3"/>
  <c r="CF128" i="1" l="1"/>
  <c r="Q129" i="1"/>
  <c r="AA128" i="1"/>
  <c r="CG127" i="1"/>
  <c r="CH127" i="1" s="1"/>
  <c r="CM127" i="1"/>
  <c r="CL127" i="1"/>
  <c r="CK127" i="1"/>
  <c r="CJ127" i="1"/>
  <c r="CI127" i="1"/>
  <c r="AQ47" i="5"/>
  <c r="AO47" i="5"/>
  <c r="L141" i="1"/>
  <c r="BM47" i="5"/>
  <c r="BK47" i="5"/>
  <c r="AF47" i="5"/>
  <c r="AD47" i="5"/>
  <c r="BB47" i="5"/>
  <c r="AZ47" i="5"/>
  <c r="E103" i="3"/>
  <c r="F103" i="3" s="1"/>
  <c r="D104" i="3"/>
  <c r="CF129" i="1" l="1"/>
  <c r="Q130" i="1"/>
  <c r="AA129" i="1"/>
  <c r="CG128" i="1"/>
  <c r="CH128" i="1" s="1"/>
  <c r="CM128" i="1"/>
  <c r="CL128" i="1"/>
  <c r="CK128" i="1"/>
  <c r="CJ128" i="1"/>
  <c r="CI128" i="1"/>
  <c r="AJ90" i="1"/>
  <c r="AY48" i="5"/>
  <c r="E54" i="5" s="1"/>
  <c r="AT48" i="5"/>
  <c r="AW48" i="5" s="1"/>
  <c r="X48" i="5"/>
  <c r="AA48" i="5" s="1"/>
  <c r="AH90" i="1"/>
  <c r="AC48" i="5"/>
  <c r="C54" i="5" s="1"/>
  <c r="G48" i="5" s="1"/>
  <c r="AO85" i="1" s="1"/>
  <c r="AP85" i="1" s="1"/>
  <c r="L142" i="1"/>
  <c r="AK90" i="1"/>
  <c r="BJ48" i="5"/>
  <c r="F54" i="5" s="1"/>
  <c r="BE48" i="5"/>
  <c r="BH48" i="5" s="1"/>
  <c r="AN48" i="5"/>
  <c r="D54" i="5" s="1"/>
  <c r="AI48" i="5"/>
  <c r="AL48" i="5" s="1"/>
  <c r="AI90" i="1"/>
  <c r="D105" i="3"/>
  <c r="E104" i="3"/>
  <c r="F104" i="3" s="1"/>
  <c r="CF130" i="1" l="1"/>
  <c r="Q131" i="1"/>
  <c r="AA130" i="1"/>
  <c r="CL129" i="1"/>
  <c r="CJ129" i="1"/>
  <c r="CM129" i="1"/>
  <c r="CG129" i="1"/>
  <c r="CH129" i="1" s="1"/>
  <c r="CK129" i="1"/>
  <c r="CI129" i="1"/>
  <c r="AP48" i="5"/>
  <c r="AK48" i="5"/>
  <c r="BL48" i="5"/>
  <c r="BG48" i="5"/>
  <c r="L143" i="1"/>
  <c r="AM90" i="1"/>
  <c r="AN90" i="1" s="1"/>
  <c r="AE48" i="5"/>
  <c r="Z48" i="5"/>
  <c r="BA48" i="5"/>
  <c r="AV48" i="5"/>
  <c r="E105" i="3"/>
  <c r="F105" i="3" s="1"/>
  <c r="D106" i="3"/>
  <c r="CF131" i="1" l="1"/>
  <c r="Q132" i="1"/>
  <c r="AA131" i="1"/>
  <c r="CK130" i="1"/>
  <c r="CL130" i="1"/>
  <c r="CJ130" i="1"/>
  <c r="CG130" i="1"/>
  <c r="CH130" i="1" s="1"/>
  <c r="CM130" i="1"/>
  <c r="CI130" i="1"/>
  <c r="L144" i="1"/>
  <c r="AQ48" i="5"/>
  <c r="AO48" i="5"/>
  <c r="BB48" i="5"/>
  <c r="AZ48" i="5"/>
  <c r="AF48" i="5"/>
  <c r="AD48" i="5"/>
  <c r="BM48" i="5"/>
  <c r="BK48" i="5"/>
  <c r="D107" i="3"/>
  <c r="E106" i="3"/>
  <c r="F106" i="3" s="1"/>
  <c r="CF132" i="1" l="1"/>
  <c r="Q133" i="1"/>
  <c r="AA132" i="1"/>
  <c r="CM131" i="1"/>
  <c r="CJ131" i="1"/>
  <c r="CL131" i="1"/>
  <c r="CK131" i="1"/>
  <c r="CG131" i="1"/>
  <c r="CH131" i="1" s="1"/>
  <c r="CI131" i="1"/>
  <c r="AY49" i="5"/>
  <c r="E55" i="5" s="1"/>
  <c r="AJ91" i="1"/>
  <c r="AT49" i="5"/>
  <c r="AW49" i="5" s="1"/>
  <c r="X49" i="5"/>
  <c r="AA49" i="5" s="1"/>
  <c r="AC49" i="5"/>
  <c r="C55" i="5" s="1"/>
  <c r="G49" i="5" s="1"/>
  <c r="AO86" i="1" s="1"/>
  <c r="AP86" i="1" s="1"/>
  <c r="AH91" i="1"/>
  <c r="BJ49" i="5"/>
  <c r="F55" i="5" s="1"/>
  <c r="AK91" i="1"/>
  <c r="BE49" i="5"/>
  <c r="BH49" i="5" s="1"/>
  <c r="AI91" i="1"/>
  <c r="AN49" i="5"/>
  <c r="D55" i="5" s="1"/>
  <c r="AI49" i="5"/>
  <c r="AL49" i="5" s="1"/>
  <c r="L145" i="1"/>
  <c r="D108" i="3"/>
  <c r="E107" i="3"/>
  <c r="F107" i="3" s="1"/>
  <c r="CF133" i="1" l="1"/>
  <c r="Q134" i="1"/>
  <c r="AA133" i="1"/>
  <c r="CM132" i="1"/>
  <c r="CL132" i="1"/>
  <c r="CG132" i="1"/>
  <c r="CH132" i="1" s="1"/>
  <c r="CK132" i="1"/>
  <c r="CJ132" i="1"/>
  <c r="CI132" i="1"/>
  <c r="AP49" i="5"/>
  <c r="AK49" i="5"/>
  <c r="AM91" i="1"/>
  <c r="AN91" i="1" s="1"/>
  <c r="L146" i="1"/>
  <c r="AE49" i="5"/>
  <c r="Z49" i="5"/>
  <c r="BA49" i="5"/>
  <c r="AV49" i="5"/>
  <c r="BL49" i="5"/>
  <c r="BG49" i="5"/>
  <c r="E108" i="3"/>
  <c r="F108" i="3" s="1"/>
  <c r="D109" i="3"/>
  <c r="CF134" i="1" l="1"/>
  <c r="Q135" i="1"/>
  <c r="AA134" i="1"/>
  <c r="CL133" i="1"/>
  <c r="CM133" i="1"/>
  <c r="CJ133" i="1"/>
  <c r="CG133" i="1"/>
  <c r="CH133" i="1" s="1"/>
  <c r="CK133" i="1"/>
  <c r="CI133" i="1"/>
  <c r="BM49" i="5"/>
  <c r="BK49" i="5"/>
  <c r="L147" i="1"/>
  <c r="BB49" i="5"/>
  <c r="AZ49" i="5"/>
  <c r="AF49" i="5"/>
  <c r="AD49" i="5"/>
  <c r="AQ49" i="5"/>
  <c r="AO49" i="5"/>
  <c r="E109" i="3"/>
  <c r="F109" i="3" s="1"/>
  <c r="D110" i="3"/>
  <c r="CF135" i="1" l="1"/>
  <c r="Q136" i="1"/>
  <c r="AA135" i="1"/>
  <c r="CL134" i="1"/>
  <c r="CK134" i="1"/>
  <c r="CG134" i="1"/>
  <c r="CH134" i="1" s="1"/>
  <c r="CM134" i="1"/>
  <c r="CJ134" i="1"/>
  <c r="CI134" i="1"/>
  <c r="AK92" i="1"/>
  <c r="BJ50" i="5"/>
  <c r="F56" i="5" s="1"/>
  <c r="BE50" i="5"/>
  <c r="BH50" i="5" s="1"/>
  <c r="AN50" i="5"/>
  <c r="D56" i="5" s="1"/>
  <c r="AI92" i="1"/>
  <c r="AI50" i="5"/>
  <c r="AL50" i="5" s="1"/>
  <c r="X50" i="5"/>
  <c r="AA50" i="5" s="1"/>
  <c r="AH92" i="1"/>
  <c r="AC50" i="5"/>
  <c r="C56" i="5" s="1"/>
  <c r="G50" i="5" s="1"/>
  <c r="AO87" i="1" s="1"/>
  <c r="AP87" i="1" s="1"/>
  <c r="AJ92" i="1"/>
  <c r="AT50" i="5"/>
  <c r="AW50" i="5" s="1"/>
  <c r="AY50" i="5"/>
  <c r="E56" i="5" s="1"/>
  <c r="L148" i="1"/>
  <c r="D111" i="3"/>
  <c r="E110" i="3"/>
  <c r="F110" i="3" s="1"/>
  <c r="CF136" i="1" l="1"/>
  <c r="Q137" i="1"/>
  <c r="AA136" i="1"/>
  <c r="CM135" i="1"/>
  <c r="CL135" i="1"/>
  <c r="CJ135" i="1"/>
  <c r="CK135" i="1"/>
  <c r="CG135" i="1"/>
  <c r="CH135" i="1" s="1"/>
  <c r="CI135" i="1"/>
  <c r="L149" i="1"/>
  <c r="AE50" i="5"/>
  <c r="Z50" i="5"/>
  <c r="AP50" i="5"/>
  <c r="AK50" i="5"/>
  <c r="BA50" i="5"/>
  <c r="AV50" i="5"/>
  <c r="AM92" i="1"/>
  <c r="AN92" i="1" s="1"/>
  <c r="BL50" i="5"/>
  <c r="BG50" i="5"/>
  <c r="E111" i="3"/>
  <c r="F111" i="3" s="1"/>
  <c r="D112" i="3"/>
  <c r="CF137" i="1" l="1"/>
  <c r="Q138" i="1"/>
  <c r="AA137" i="1"/>
  <c r="CL136" i="1"/>
  <c r="CK136" i="1"/>
  <c r="CM136" i="1"/>
  <c r="CG136" i="1"/>
  <c r="CH136" i="1" s="1"/>
  <c r="CJ136" i="1"/>
  <c r="CI136" i="1"/>
  <c r="AQ50" i="5"/>
  <c r="AO50" i="5"/>
  <c r="BM50" i="5"/>
  <c r="BK50" i="5"/>
  <c r="BB50" i="5"/>
  <c r="AZ50" i="5"/>
  <c r="AF50" i="5"/>
  <c r="AD50" i="5"/>
  <c r="L150" i="1"/>
  <c r="E112" i="3"/>
  <c r="F112" i="3" s="1"/>
  <c r="D113" i="3"/>
  <c r="CL137" i="1" l="1"/>
  <c r="CJ137" i="1"/>
  <c r="CK137" i="1"/>
  <c r="CM137" i="1"/>
  <c r="CG137" i="1"/>
  <c r="CH137" i="1" s="1"/>
  <c r="CI137" i="1"/>
  <c r="CF138" i="1"/>
  <c r="Q139" i="1"/>
  <c r="AA138" i="1"/>
  <c r="X51" i="5"/>
  <c r="AA51" i="5" s="1"/>
  <c r="AH93" i="1"/>
  <c r="AC51" i="5"/>
  <c r="C57" i="5" s="1"/>
  <c r="G51" i="5" s="1"/>
  <c r="AO88" i="1" s="1"/>
  <c r="AP88" i="1" s="1"/>
  <c r="AY51" i="5"/>
  <c r="E57" i="5" s="1"/>
  <c r="AJ93" i="1"/>
  <c r="AT51" i="5"/>
  <c r="AW51" i="5" s="1"/>
  <c r="L151" i="1"/>
  <c r="BJ51" i="5"/>
  <c r="F57" i="5" s="1"/>
  <c r="BE51" i="5"/>
  <c r="BH51" i="5" s="1"/>
  <c r="AK93" i="1"/>
  <c r="AI93" i="1"/>
  <c r="AN51" i="5"/>
  <c r="D57" i="5" s="1"/>
  <c r="AI51" i="5"/>
  <c r="AL51" i="5" s="1"/>
  <c r="D114" i="3"/>
  <c r="E113" i="3"/>
  <c r="F113" i="3" s="1"/>
  <c r="CK138" i="1" l="1"/>
  <c r="CM138" i="1"/>
  <c r="CJ138" i="1"/>
  <c r="CG138" i="1"/>
  <c r="CH138" i="1" s="1"/>
  <c r="CL138" i="1"/>
  <c r="CF139" i="1"/>
  <c r="Q140" i="1"/>
  <c r="AA139" i="1"/>
  <c r="CI138" i="1"/>
  <c r="BL51" i="5"/>
  <c r="BG51" i="5"/>
  <c r="L152" i="1"/>
  <c r="AP51" i="5"/>
  <c r="AK51" i="5"/>
  <c r="BA51" i="5"/>
  <c r="AV51" i="5"/>
  <c r="AM93" i="1"/>
  <c r="AN93" i="1" s="1"/>
  <c r="AE51" i="5"/>
  <c r="Z51" i="5"/>
  <c r="D115" i="3"/>
  <c r="E114" i="3"/>
  <c r="F114" i="3" s="1"/>
  <c r="CI139" i="1" l="1"/>
  <c r="CF140" i="1"/>
  <c r="Q141" i="1"/>
  <c r="AA140" i="1"/>
  <c r="CL139" i="1"/>
  <c r="CG139" i="1"/>
  <c r="CH139" i="1" s="1"/>
  <c r="CM139" i="1"/>
  <c r="CK139" i="1"/>
  <c r="CJ139" i="1"/>
  <c r="BM51" i="5"/>
  <c r="BK51" i="5"/>
  <c r="AQ51" i="5"/>
  <c r="AO51" i="5"/>
  <c r="AF51" i="5"/>
  <c r="AD51" i="5"/>
  <c r="BB51" i="5"/>
  <c r="AZ51" i="5"/>
  <c r="L153" i="1"/>
  <c r="E115" i="3"/>
  <c r="F115" i="3" s="1"/>
  <c r="D116" i="3"/>
  <c r="CF141" i="1" l="1"/>
  <c r="Q142" i="1"/>
  <c r="AA141" i="1"/>
  <c r="CG140" i="1"/>
  <c r="CH140" i="1" s="1"/>
  <c r="CM140" i="1"/>
  <c r="CK140" i="1"/>
  <c r="CL140" i="1"/>
  <c r="CJ140" i="1"/>
  <c r="CI140" i="1"/>
  <c r="L154" i="1"/>
  <c r="AJ94" i="1"/>
  <c r="AY52" i="5"/>
  <c r="E58" i="5" s="1"/>
  <c r="AT52" i="5"/>
  <c r="AW52" i="5" s="1"/>
  <c r="AH94" i="1"/>
  <c r="AC52" i="5"/>
  <c r="C58" i="5" s="1"/>
  <c r="G52" i="5" s="1"/>
  <c r="AO89" i="1" s="1"/>
  <c r="AP89" i="1" s="1"/>
  <c r="X52" i="5"/>
  <c r="AA52" i="5" s="1"/>
  <c r="AI94" i="1"/>
  <c r="AN52" i="5"/>
  <c r="D58" i="5" s="1"/>
  <c r="AI52" i="5"/>
  <c r="AL52" i="5" s="1"/>
  <c r="BJ52" i="5"/>
  <c r="F58" i="5" s="1"/>
  <c r="BE52" i="5"/>
  <c r="BH52" i="5" s="1"/>
  <c r="AK94" i="1"/>
  <c r="E116" i="3"/>
  <c r="F116" i="3" s="1"/>
  <c r="D117" i="3"/>
  <c r="CI142" i="1" l="1"/>
  <c r="CF142" i="1"/>
  <c r="Q143" i="1"/>
  <c r="AA142" i="1"/>
  <c r="CL141" i="1"/>
  <c r="CM141" i="1"/>
  <c r="CJ141" i="1"/>
  <c r="CG141" i="1"/>
  <c r="CH141" i="1" s="1"/>
  <c r="CK141" i="1"/>
  <c r="CI141" i="1"/>
  <c r="AE52" i="5"/>
  <c r="Z52" i="5"/>
  <c r="AP52" i="5"/>
  <c r="AK52" i="5"/>
  <c r="BA52" i="5"/>
  <c r="AV52" i="5"/>
  <c r="AM94" i="1"/>
  <c r="AN94" i="1" s="1"/>
  <c r="L155" i="1"/>
  <c r="BL52" i="5"/>
  <c r="BG52" i="5"/>
  <c r="D118" i="3"/>
  <c r="E117" i="3"/>
  <c r="F117" i="3" s="1"/>
  <c r="CF143" i="1" l="1"/>
  <c r="Q144" i="1"/>
  <c r="AA143" i="1"/>
  <c r="CM142" i="1"/>
  <c r="CL142" i="1"/>
  <c r="CK142" i="1"/>
  <c r="CG142" i="1"/>
  <c r="CH142" i="1" s="1"/>
  <c r="CJ142" i="1"/>
  <c r="BM52" i="5"/>
  <c r="BK52" i="5"/>
  <c r="L156" i="1"/>
  <c r="AQ52" i="5"/>
  <c r="AO52" i="5"/>
  <c r="BB52" i="5"/>
  <c r="AZ52" i="5"/>
  <c r="AF52" i="5"/>
  <c r="AD52" i="5"/>
  <c r="E118" i="3"/>
  <c r="F118" i="3" s="1"/>
  <c r="D119" i="3"/>
  <c r="CF144" i="1" l="1"/>
  <c r="Q145" i="1"/>
  <c r="AA144" i="1"/>
  <c r="CG143" i="1"/>
  <c r="CH143" i="1" s="1"/>
  <c r="CK143" i="1"/>
  <c r="CM143" i="1"/>
  <c r="CJ143" i="1"/>
  <c r="CL143" i="1"/>
  <c r="CI143" i="1"/>
  <c r="AY53" i="5"/>
  <c r="E59" i="5" s="1"/>
  <c r="AJ95" i="1"/>
  <c r="AT53" i="5"/>
  <c r="AW53" i="5" s="1"/>
  <c r="X53" i="5"/>
  <c r="AA53" i="5" s="1"/>
  <c r="AC53" i="5"/>
  <c r="C59" i="5" s="1"/>
  <c r="G53" i="5" s="1"/>
  <c r="AO90" i="1" s="1"/>
  <c r="AP90" i="1" s="1"/>
  <c r="AH95" i="1"/>
  <c r="AI53" i="5"/>
  <c r="AL53" i="5" s="1"/>
  <c r="AI95" i="1"/>
  <c r="AN53" i="5"/>
  <c r="D59" i="5" s="1"/>
  <c r="L157" i="1"/>
  <c r="BJ53" i="5"/>
  <c r="F59" i="5" s="1"/>
  <c r="BE53" i="5"/>
  <c r="BH53" i="5" s="1"/>
  <c r="AK95" i="1"/>
  <c r="E119" i="3"/>
  <c r="F119" i="3" s="1"/>
  <c r="D120" i="3"/>
  <c r="CF145" i="1" l="1"/>
  <c r="Q146" i="1"/>
  <c r="AA145" i="1"/>
  <c r="CG144" i="1"/>
  <c r="CH144" i="1" s="1"/>
  <c r="CL144" i="1"/>
  <c r="CM144" i="1"/>
  <c r="CK144" i="1"/>
  <c r="CJ144" i="1"/>
  <c r="CI144" i="1"/>
  <c r="AM95" i="1"/>
  <c r="AN95" i="1" s="1"/>
  <c r="AE53" i="5"/>
  <c r="Z53" i="5"/>
  <c r="L158" i="1"/>
  <c r="BA53" i="5"/>
  <c r="AV53" i="5"/>
  <c r="BL53" i="5"/>
  <c r="BG53" i="5"/>
  <c r="AP53" i="5"/>
  <c r="AK53" i="5"/>
  <c r="D121" i="3"/>
  <c r="E120" i="3"/>
  <c r="F120" i="3" s="1"/>
  <c r="CF146" i="1" l="1"/>
  <c r="Q147" i="1"/>
  <c r="AA146" i="1"/>
  <c r="CJ145" i="1"/>
  <c r="CG145" i="1"/>
  <c r="CH145" i="1" s="1"/>
  <c r="CM145" i="1"/>
  <c r="CK145" i="1"/>
  <c r="CL145" i="1"/>
  <c r="CI145" i="1"/>
  <c r="BM53" i="5"/>
  <c r="BK53" i="5"/>
  <c r="AF53" i="5"/>
  <c r="AD53" i="5"/>
  <c r="AQ53" i="5"/>
  <c r="AO53" i="5"/>
  <c r="BB53" i="5"/>
  <c r="AZ53" i="5"/>
  <c r="L159" i="1"/>
  <c r="E121" i="3"/>
  <c r="F121" i="3" s="1"/>
  <c r="D122" i="3"/>
  <c r="CF147" i="1" l="1"/>
  <c r="Q148" i="1"/>
  <c r="AA147" i="1"/>
  <c r="CK146" i="1"/>
  <c r="CL146" i="1"/>
  <c r="CG146" i="1"/>
  <c r="CH146" i="1" s="1"/>
  <c r="CJ146" i="1"/>
  <c r="CM146" i="1"/>
  <c r="CI146" i="1"/>
  <c r="AI96" i="1"/>
  <c r="AN54" i="5"/>
  <c r="D60" i="5" s="1"/>
  <c r="AI54" i="5"/>
  <c r="AL54" i="5" s="1"/>
  <c r="AJ96" i="1"/>
  <c r="AY54" i="5"/>
  <c r="E60" i="5" s="1"/>
  <c r="AT54" i="5"/>
  <c r="AW54" i="5" s="1"/>
  <c r="L160" i="1"/>
  <c r="X54" i="5"/>
  <c r="AA54" i="5" s="1"/>
  <c r="AC54" i="5"/>
  <c r="C60" i="5" s="1"/>
  <c r="G54" i="5" s="1"/>
  <c r="AO91" i="1" s="1"/>
  <c r="AP91" i="1" s="1"/>
  <c r="AH96" i="1"/>
  <c r="AK96" i="1"/>
  <c r="BE54" i="5"/>
  <c r="BH54" i="5" s="1"/>
  <c r="BJ54" i="5"/>
  <c r="F60" i="5" s="1"/>
  <c r="D123" i="3"/>
  <c r="E122" i="3"/>
  <c r="F122" i="3" s="1"/>
  <c r="CF148" i="1" l="1"/>
  <c r="Q149" i="1"/>
  <c r="AA148" i="1"/>
  <c r="CK147" i="1"/>
  <c r="CM147" i="1"/>
  <c r="CG147" i="1"/>
  <c r="CH147" i="1" s="1"/>
  <c r="CJ147" i="1"/>
  <c r="CL147" i="1"/>
  <c r="CI147" i="1"/>
  <c r="AE54" i="5"/>
  <c r="Z54" i="5"/>
  <c r="L161" i="1"/>
  <c r="BA54" i="5"/>
  <c r="AV54" i="5"/>
  <c r="AP54" i="5"/>
  <c r="AK54" i="5"/>
  <c r="BL54" i="5"/>
  <c r="BG54" i="5"/>
  <c r="AM96" i="1"/>
  <c r="AN96" i="1" s="1"/>
  <c r="D124" i="3"/>
  <c r="E123" i="3"/>
  <c r="F123" i="3" s="1"/>
  <c r="CF149" i="1" l="1"/>
  <c r="Q150" i="1"/>
  <c r="AA149" i="1"/>
  <c r="CL148" i="1"/>
  <c r="CK148" i="1"/>
  <c r="CM148" i="1"/>
  <c r="CG148" i="1"/>
  <c r="CH148" i="1" s="1"/>
  <c r="CJ148" i="1"/>
  <c r="CI148" i="1"/>
  <c r="BM54" i="5"/>
  <c r="BK54" i="5"/>
  <c r="AQ54" i="5"/>
  <c r="AO54" i="5"/>
  <c r="L162" i="1"/>
  <c r="BB54" i="5"/>
  <c r="AZ54" i="5"/>
  <c r="AF54" i="5"/>
  <c r="AD54" i="5"/>
  <c r="E124" i="3"/>
  <c r="F124" i="3" s="1"/>
  <c r="D125" i="3"/>
  <c r="CI150" i="1" l="1"/>
  <c r="CF150" i="1"/>
  <c r="Q151" i="1"/>
  <c r="AA150" i="1"/>
  <c r="CL149" i="1"/>
  <c r="CJ149" i="1"/>
  <c r="CG149" i="1"/>
  <c r="CH149" i="1" s="1"/>
  <c r="CK149" i="1"/>
  <c r="CM149" i="1"/>
  <c r="CI149" i="1"/>
  <c r="L163" i="1"/>
  <c r="AC55" i="5"/>
  <c r="C61" i="5" s="1"/>
  <c r="G55" i="5" s="1"/>
  <c r="AO92" i="1" s="1"/>
  <c r="AP92" i="1" s="1"/>
  <c r="X55" i="5"/>
  <c r="AA55" i="5" s="1"/>
  <c r="AH97" i="1"/>
  <c r="BJ55" i="5"/>
  <c r="F61" i="5" s="1"/>
  <c r="AK97" i="1"/>
  <c r="BE55" i="5"/>
  <c r="BH55" i="5" s="1"/>
  <c r="AY55" i="5"/>
  <c r="E61" i="5" s="1"/>
  <c r="AT55" i="5"/>
  <c r="AW55" i="5" s="1"/>
  <c r="AJ97" i="1"/>
  <c r="AN55" i="5"/>
  <c r="D61" i="5" s="1"/>
  <c r="AI55" i="5"/>
  <c r="AL55" i="5" s="1"/>
  <c r="AI97" i="1"/>
  <c r="E125" i="3"/>
  <c r="F125" i="3" s="1"/>
  <c r="D126" i="3"/>
  <c r="CF151" i="1" l="1"/>
  <c r="Q152" i="1"/>
  <c r="AA151" i="1"/>
  <c r="CM150" i="1"/>
  <c r="CL150" i="1"/>
  <c r="CG150" i="1"/>
  <c r="CH150" i="1" s="1"/>
  <c r="CK150" i="1"/>
  <c r="CJ150" i="1"/>
  <c r="BL55" i="5"/>
  <c r="BG55" i="5"/>
  <c r="AM97" i="1"/>
  <c r="AN97" i="1" s="1"/>
  <c r="L164" i="1"/>
  <c r="AP55" i="5"/>
  <c r="AK55" i="5"/>
  <c r="BA55" i="5"/>
  <c r="AV55" i="5"/>
  <c r="AE55" i="5"/>
  <c r="Z55" i="5"/>
  <c r="E126" i="3"/>
  <c r="F126" i="3" s="1"/>
  <c r="D127" i="3"/>
  <c r="CF152" i="1" l="1"/>
  <c r="Q153" i="1"/>
  <c r="AA152" i="1"/>
  <c r="CM151" i="1"/>
  <c r="CK151" i="1"/>
  <c r="CJ151" i="1"/>
  <c r="CG151" i="1"/>
  <c r="CH151" i="1" s="1"/>
  <c r="CL151" i="1"/>
  <c r="CI151" i="1"/>
  <c r="AF55" i="5"/>
  <c r="AD55" i="5"/>
  <c r="AQ55" i="5"/>
  <c r="AO55" i="5"/>
  <c r="L165" i="1"/>
  <c r="BB55" i="5"/>
  <c r="AZ55" i="5"/>
  <c r="BM55" i="5"/>
  <c r="BK55" i="5"/>
  <c r="E127" i="3"/>
  <c r="F127" i="3" s="1"/>
  <c r="D128" i="3"/>
  <c r="CF153" i="1" l="1"/>
  <c r="Q154" i="1"/>
  <c r="AA153" i="1"/>
  <c r="CM152" i="1"/>
  <c r="CJ152" i="1"/>
  <c r="CG152" i="1"/>
  <c r="CH152" i="1" s="1"/>
  <c r="CK152" i="1"/>
  <c r="CL152" i="1"/>
  <c r="CI152" i="1"/>
  <c r="L166" i="1"/>
  <c r="BJ56" i="5"/>
  <c r="F62" i="5" s="1"/>
  <c r="BE56" i="5"/>
  <c r="BH56" i="5" s="1"/>
  <c r="AK98" i="1"/>
  <c r="AN56" i="5"/>
  <c r="D62" i="5" s="1"/>
  <c r="AI98" i="1"/>
  <c r="AI56" i="5"/>
  <c r="AL56" i="5" s="1"/>
  <c r="AJ98" i="1"/>
  <c r="AY56" i="5"/>
  <c r="E62" i="5" s="1"/>
  <c r="AT56" i="5"/>
  <c r="AW56" i="5" s="1"/>
  <c r="X56" i="5"/>
  <c r="AA56" i="5" s="1"/>
  <c r="AC56" i="5"/>
  <c r="C62" i="5" s="1"/>
  <c r="G56" i="5" s="1"/>
  <c r="AO93" i="1" s="1"/>
  <c r="AP93" i="1" s="1"/>
  <c r="AH98" i="1"/>
  <c r="E128" i="3"/>
  <c r="F128" i="3" s="1"/>
  <c r="D129" i="3"/>
  <c r="AM98" i="1" l="1"/>
  <c r="AN98" i="1" s="1"/>
  <c r="CG153" i="1"/>
  <c r="CH153" i="1" s="1"/>
  <c r="CL153" i="1"/>
  <c r="CK153" i="1"/>
  <c r="CM153" i="1"/>
  <c r="CJ153" i="1"/>
  <c r="CI153" i="1"/>
  <c r="CF154" i="1"/>
  <c r="Q155" i="1"/>
  <c r="AA154" i="1"/>
  <c r="AE56" i="5"/>
  <c r="Z56" i="5"/>
  <c r="BA56" i="5"/>
  <c r="AV56" i="5"/>
  <c r="BL56" i="5"/>
  <c r="BG56" i="5"/>
  <c r="AP56" i="5"/>
  <c r="AK56" i="5"/>
  <c r="L167" i="1"/>
  <c r="D130" i="3"/>
  <c r="E129" i="3"/>
  <c r="F129" i="3" s="1"/>
  <c r="CF155" i="1" l="1"/>
  <c r="Q156" i="1"/>
  <c r="AA155" i="1"/>
  <c r="CM154" i="1"/>
  <c r="CK154" i="1"/>
  <c r="CG154" i="1"/>
  <c r="CH154" i="1" s="1"/>
  <c r="CL154" i="1"/>
  <c r="CJ154" i="1"/>
  <c r="CI154" i="1"/>
  <c r="BB56" i="5"/>
  <c r="AZ56" i="5"/>
  <c r="AQ56" i="5"/>
  <c r="AO56" i="5"/>
  <c r="BM56" i="5"/>
  <c r="BK56" i="5"/>
  <c r="AF56" i="5"/>
  <c r="AD56" i="5"/>
  <c r="L168" i="1"/>
  <c r="D131" i="3"/>
  <c r="E130" i="3"/>
  <c r="F130" i="3" s="1"/>
  <c r="CI155" i="1" l="1"/>
  <c r="CF156" i="1"/>
  <c r="Q157" i="1"/>
  <c r="AA156" i="1"/>
  <c r="CM155" i="1"/>
  <c r="CL155" i="1"/>
  <c r="CK155" i="1"/>
  <c r="CG155" i="1"/>
  <c r="CH155" i="1" s="1"/>
  <c r="CJ155" i="1"/>
  <c r="AK99" i="1"/>
  <c r="BE57" i="5"/>
  <c r="BH57" i="5" s="1"/>
  <c r="BJ57" i="5"/>
  <c r="F63" i="5" s="1"/>
  <c r="L169" i="1"/>
  <c r="AN57" i="5"/>
  <c r="D63" i="5" s="1"/>
  <c r="AI99" i="1"/>
  <c r="AI57" i="5"/>
  <c r="AL57" i="5" s="1"/>
  <c r="X57" i="5"/>
  <c r="AA57" i="5" s="1"/>
  <c r="AC57" i="5"/>
  <c r="C63" i="5" s="1"/>
  <c r="G57" i="5" s="1"/>
  <c r="AO94" i="1" s="1"/>
  <c r="AP94" i="1" s="1"/>
  <c r="AH99" i="1"/>
  <c r="AJ99" i="1"/>
  <c r="AY57" i="5"/>
  <c r="E63" i="5" s="1"/>
  <c r="AT57" i="5"/>
  <c r="AW57" i="5" s="1"/>
  <c r="E131" i="3"/>
  <c r="F131" i="3" s="1"/>
  <c r="D132" i="3"/>
  <c r="CF157" i="1" l="1"/>
  <c r="Q158" i="1"/>
  <c r="AA157" i="1"/>
  <c r="CK156" i="1"/>
  <c r="CL156" i="1"/>
  <c r="CJ156" i="1"/>
  <c r="CG156" i="1"/>
  <c r="CH156" i="1" s="1"/>
  <c r="CM156" i="1"/>
  <c r="CI156" i="1"/>
  <c r="AM99" i="1"/>
  <c r="AN99" i="1" s="1"/>
  <c r="BA57" i="5"/>
  <c r="AV57" i="5"/>
  <c r="AP57" i="5"/>
  <c r="AK57" i="5"/>
  <c r="L170" i="1"/>
  <c r="AE57" i="5"/>
  <c r="Z57" i="5"/>
  <c r="BL57" i="5"/>
  <c r="BG57" i="5"/>
  <c r="E132" i="3"/>
  <c r="F132" i="3" s="1"/>
  <c r="D133" i="3"/>
  <c r="CF158" i="1" l="1"/>
  <c r="Q159" i="1"/>
  <c r="AA158" i="1"/>
  <c r="CK157" i="1"/>
  <c r="CM157" i="1"/>
  <c r="CG157" i="1"/>
  <c r="CH157" i="1" s="1"/>
  <c r="CL157" i="1"/>
  <c r="CJ157" i="1"/>
  <c r="CI157" i="1"/>
  <c r="AF57" i="5"/>
  <c r="AD57" i="5"/>
  <c r="AQ57" i="5"/>
  <c r="AO57" i="5"/>
  <c r="BM57" i="5"/>
  <c r="BK57" i="5"/>
  <c r="L171" i="1"/>
  <c r="BB57" i="5"/>
  <c r="AZ57" i="5"/>
  <c r="D134" i="3"/>
  <c r="E133" i="3"/>
  <c r="F133" i="3" s="1"/>
  <c r="CF159" i="1" l="1"/>
  <c r="Q160" i="1"/>
  <c r="AA159" i="1"/>
  <c r="CM158" i="1"/>
  <c r="CG158" i="1"/>
  <c r="CH158" i="1" s="1"/>
  <c r="CJ158" i="1"/>
  <c r="CK158" i="1"/>
  <c r="CL158" i="1"/>
  <c r="CI158" i="1"/>
  <c r="AY58" i="5"/>
  <c r="E64" i="5" s="1"/>
  <c r="AJ100" i="1"/>
  <c r="AT58" i="5"/>
  <c r="AW58" i="5" s="1"/>
  <c r="L172" i="1"/>
  <c r="AK100" i="1"/>
  <c r="BJ58" i="5"/>
  <c r="F64" i="5" s="1"/>
  <c r="BE58" i="5"/>
  <c r="BH58" i="5" s="1"/>
  <c r="AI100" i="1"/>
  <c r="AI58" i="5"/>
  <c r="AL58" i="5" s="1"/>
  <c r="AN58" i="5"/>
  <c r="D64" i="5" s="1"/>
  <c r="X58" i="5"/>
  <c r="AA58" i="5" s="1"/>
  <c r="AH100" i="1"/>
  <c r="AC58" i="5"/>
  <c r="C64" i="5" s="1"/>
  <c r="G58" i="5" s="1"/>
  <c r="AO95" i="1" s="1"/>
  <c r="AP95" i="1" s="1"/>
  <c r="E134" i="3"/>
  <c r="F134" i="3" s="1"/>
  <c r="D135" i="3"/>
  <c r="AM100" i="1" l="1"/>
  <c r="AN100" i="1" s="1"/>
  <c r="CF160" i="1"/>
  <c r="Q161" i="1"/>
  <c r="AA160" i="1"/>
  <c r="CJ159" i="1"/>
  <c r="CG159" i="1"/>
  <c r="CH159" i="1" s="1"/>
  <c r="CK159" i="1"/>
  <c r="CM159" i="1"/>
  <c r="CL159" i="1"/>
  <c r="CI159" i="1"/>
  <c r="Z58" i="5"/>
  <c r="AE58" i="5"/>
  <c r="BL58" i="5"/>
  <c r="BG58" i="5"/>
  <c r="AP58" i="5"/>
  <c r="AK58" i="5"/>
  <c r="L173" i="1"/>
  <c r="BA58" i="5"/>
  <c r="AV58" i="5"/>
  <c r="D136" i="3"/>
  <c r="E135" i="3"/>
  <c r="F135" i="3" s="1"/>
  <c r="CF161" i="1" l="1"/>
  <c r="Q162" i="1"/>
  <c r="AA161" i="1"/>
  <c r="CG160" i="1"/>
  <c r="CH160" i="1" s="1"/>
  <c r="CL160" i="1"/>
  <c r="CM160" i="1"/>
  <c r="CJ160" i="1"/>
  <c r="CK160" i="1"/>
  <c r="CI160" i="1"/>
  <c r="AQ58" i="5"/>
  <c r="AO58" i="5"/>
  <c r="BB58" i="5"/>
  <c r="AZ58" i="5"/>
  <c r="L174" i="1"/>
  <c r="BM58" i="5"/>
  <c r="BK58" i="5"/>
  <c r="AF58" i="5"/>
  <c r="AD58" i="5"/>
  <c r="D137" i="3"/>
  <c r="E136" i="3"/>
  <c r="F136" i="3" s="1"/>
  <c r="CF162" i="1" l="1"/>
  <c r="Q163" i="1"/>
  <c r="AA162" i="1"/>
  <c r="CG161" i="1"/>
  <c r="CH161" i="1" s="1"/>
  <c r="CL161" i="1"/>
  <c r="CJ161" i="1"/>
  <c r="CM161" i="1"/>
  <c r="CK161" i="1"/>
  <c r="CI161" i="1"/>
  <c r="X59" i="5"/>
  <c r="AA59" i="5" s="1"/>
  <c r="AC59" i="5"/>
  <c r="C65" i="5" s="1"/>
  <c r="G59" i="5" s="1"/>
  <c r="AO96" i="1" s="1"/>
  <c r="AP96" i="1" s="1"/>
  <c r="AH101" i="1"/>
  <c r="AT59" i="5"/>
  <c r="AW59" i="5" s="1"/>
  <c r="AY59" i="5"/>
  <c r="E65" i="5" s="1"/>
  <c r="AJ101" i="1"/>
  <c r="L175" i="1"/>
  <c r="AK101" i="1"/>
  <c r="BJ59" i="5"/>
  <c r="F65" i="5" s="1"/>
  <c r="BE59" i="5"/>
  <c r="BH59" i="5" s="1"/>
  <c r="AN59" i="5"/>
  <c r="D65" i="5" s="1"/>
  <c r="AI101" i="1"/>
  <c r="AI59" i="5"/>
  <c r="AL59" i="5" s="1"/>
  <c r="E137" i="3"/>
  <c r="F137" i="3" s="1"/>
  <c r="D138" i="3"/>
  <c r="CF163" i="1" l="1"/>
  <c r="Q164" i="1"/>
  <c r="AA163" i="1"/>
  <c r="CJ162" i="1"/>
  <c r="CL162" i="1"/>
  <c r="CK162" i="1"/>
  <c r="CM162" i="1"/>
  <c r="CG162" i="1"/>
  <c r="CH162" i="1" s="1"/>
  <c r="CI162" i="1"/>
  <c r="AM101" i="1"/>
  <c r="AN101" i="1" s="1"/>
  <c r="BL59" i="5"/>
  <c r="BG59" i="5"/>
  <c r="AP59" i="5"/>
  <c r="AK59" i="5"/>
  <c r="AE59" i="5"/>
  <c r="Z59" i="5"/>
  <c r="L176" i="1"/>
  <c r="BA59" i="5"/>
  <c r="AV59" i="5"/>
  <c r="E138" i="3"/>
  <c r="F138" i="3" s="1"/>
  <c r="D139" i="3"/>
  <c r="CF164" i="1" l="1"/>
  <c r="Q165" i="1"/>
  <c r="AA164" i="1"/>
  <c r="CG163" i="1"/>
  <c r="CH163" i="1" s="1"/>
  <c r="CM163" i="1"/>
  <c r="CL163" i="1"/>
  <c r="CK163" i="1"/>
  <c r="CJ163" i="1"/>
  <c r="CI163" i="1"/>
  <c r="BB59" i="5"/>
  <c r="AZ59" i="5"/>
  <c r="AQ59" i="5"/>
  <c r="AO59" i="5"/>
  <c r="L177" i="1"/>
  <c r="AF59" i="5"/>
  <c r="AD59" i="5"/>
  <c r="BM59" i="5"/>
  <c r="BK59" i="5"/>
  <c r="D140" i="3"/>
  <c r="E139" i="3"/>
  <c r="F139" i="3" s="1"/>
  <c r="CI165" i="1" l="1"/>
  <c r="CF165" i="1"/>
  <c r="Q166" i="1"/>
  <c r="AA165" i="1"/>
  <c r="CG164" i="1"/>
  <c r="CH164" i="1" s="1"/>
  <c r="CL164" i="1"/>
  <c r="CJ164" i="1"/>
  <c r="CM164" i="1"/>
  <c r="CK164" i="1"/>
  <c r="CI164" i="1"/>
  <c r="BJ60" i="5"/>
  <c r="F66" i="5" s="1"/>
  <c r="AK102" i="1"/>
  <c r="BE60" i="5"/>
  <c r="BH60" i="5" s="1"/>
  <c r="AI102" i="1"/>
  <c r="AN60" i="5"/>
  <c r="D66" i="5" s="1"/>
  <c r="AI60" i="5"/>
  <c r="AL60" i="5" s="1"/>
  <c r="X60" i="5"/>
  <c r="AA60" i="5" s="1"/>
  <c r="AC60" i="5"/>
  <c r="C66" i="5" s="1"/>
  <c r="G60" i="5" s="1"/>
  <c r="AO97" i="1" s="1"/>
  <c r="AP97" i="1" s="1"/>
  <c r="AH102" i="1"/>
  <c r="L178" i="1"/>
  <c r="AY60" i="5"/>
  <c r="E66" i="5" s="1"/>
  <c r="AJ102" i="1"/>
  <c r="AT60" i="5"/>
  <c r="AW60" i="5" s="1"/>
  <c r="E140" i="3"/>
  <c r="F140" i="3" s="1"/>
  <c r="D141" i="3"/>
  <c r="CF166" i="1" l="1"/>
  <c r="Q167" i="1"/>
  <c r="AA166" i="1"/>
  <c r="CL165" i="1"/>
  <c r="CK165" i="1"/>
  <c r="CG165" i="1"/>
  <c r="CH165" i="1" s="1"/>
  <c r="CJ165" i="1"/>
  <c r="CM165" i="1"/>
  <c r="BA60" i="5"/>
  <c r="AV60" i="5"/>
  <c r="AM102" i="1"/>
  <c r="AN102" i="1" s="1"/>
  <c r="BL60" i="5"/>
  <c r="BG60" i="5"/>
  <c r="Z60" i="5"/>
  <c r="AE60" i="5"/>
  <c r="L179" i="1"/>
  <c r="AP60" i="5"/>
  <c r="AK60" i="5"/>
  <c r="E141" i="3"/>
  <c r="F141" i="3" s="1"/>
  <c r="D142" i="3"/>
  <c r="CF167" i="1" l="1"/>
  <c r="Q168" i="1"/>
  <c r="AA167" i="1"/>
  <c r="CG166" i="1"/>
  <c r="CH166" i="1" s="1"/>
  <c r="CK166" i="1"/>
  <c r="CM166" i="1"/>
  <c r="CL166" i="1"/>
  <c r="CJ166" i="1"/>
  <c r="CI166" i="1"/>
  <c r="L180" i="1"/>
  <c r="AQ60" i="5"/>
  <c r="AO60" i="5"/>
  <c r="AF60" i="5"/>
  <c r="AD60" i="5"/>
  <c r="BB60" i="5"/>
  <c r="AZ60" i="5"/>
  <c r="BM60" i="5"/>
  <c r="BK60" i="5"/>
  <c r="D143" i="3"/>
  <c r="E142" i="3"/>
  <c r="F142" i="3" s="1"/>
  <c r="CF168" i="1" l="1"/>
  <c r="Q169" i="1"/>
  <c r="AA168" i="1"/>
  <c r="CG167" i="1"/>
  <c r="CH167" i="1" s="1"/>
  <c r="CM167" i="1"/>
  <c r="CK167" i="1"/>
  <c r="CL167" i="1"/>
  <c r="CJ167" i="1"/>
  <c r="CI167" i="1"/>
  <c r="BJ61" i="5"/>
  <c r="F67" i="5" s="1"/>
  <c r="AK103" i="1"/>
  <c r="BE61" i="5"/>
  <c r="BH61" i="5" s="1"/>
  <c r="X61" i="5"/>
  <c r="AA61" i="5" s="1"/>
  <c r="AH103" i="1"/>
  <c r="AC61" i="5"/>
  <c r="C67" i="5" s="1"/>
  <c r="G61" i="5" s="1"/>
  <c r="AO98" i="1" s="1"/>
  <c r="AP98" i="1" s="1"/>
  <c r="AN61" i="5"/>
  <c r="D67" i="5" s="1"/>
  <c r="AI103" i="1"/>
  <c r="AI61" i="5"/>
  <c r="AL61" i="5" s="1"/>
  <c r="AY61" i="5"/>
  <c r="E67" i="5" s="1"/>
  <c r="AJ103" i="1"/>
  <c r="AT61" i="5"/>
  <c r="AW61" i="5" s="1"/>
  <c r="L181" i="1"/>
  <c r="E143" i="3"/>
  <c r="F143" i="3" s="1"/>
  <c r="D144" i="3"/>
  <c r="CF169" i="1" l="1"/>
  <c r="Q170" i="1"/>
  <c r="AA169" i="1"/>
  <c r="CK168" i="1"/>
  <c r="CL168" i="1"/>
  <c r="CG168" i="1"/>
  <c r="CH168" i="1" s="1"/>
  <c r="CJ168" i="1"/>
  <c r="CM168" i="1"/>
  <c r="CI168" i="1"/>
  <c r="BA61" i="5"/>
  <c r="AV61" i="5"/>
  <c r="L182" i="1"/>
  <c r="AP61" i="5"/>
  <c r="AK61" i="5"/>
  <c r="Z61" i="5"/>
  <c r="AE61" i="5"/>
  <c r="BL61" i="5"/>
  <c r="BG61" i="5"/>
  <c r="AM103" i="1"/>
  <c r="AN103" i="1" s="1"/>
  <c r="E144" i="3"/>
  <c r="F144" i="3" s="1"/>
  <c r="D145" i="3"/>
  <c r="CF170" i="1" l="1"/>
  <c r="Q171" i="1"/>
  <c r="AA170" i="1"/>
  <c r="CG169" i="1"/>
  <c r="CH169" i="1" s="1"/>
  <c r="CM169" i="1"/>
  <c r="CL169" i="1"/>
  <c r="CK169" i="1"/>
  <c r="CJ169" i="1"/>
  <c r="CI169" i="1"/>
  <c r="BM61" i="5"/>
  <c r="BK61" i="5"/>
  <c r="L183" i="1"/>
  <c r="AF61" i="5"/>
  <c r="AD61" i="5"/>
  <c r="AQ61" i="5"/>
  <c r="AO61" i="5"/>
  <c r="BB61" i="5"/>
  <c r="AZ61" i="5"/>
  <c r="D146" i="3"/>
  <c r="E145" i="3"/>
  <c r="F145" i="3" s="1"/>
  <c r="CF171" i="1" l="1"/>
  <c r="Q172" i="1"/>
  <c r="AA171" i="1"/>
  <c r="CK170" i="1"/>
  <c r="CG170" i="1"/>
  <c r="CH170" i="1" s="1"/>
  <c r="CM170" i="1"/>
  <c r="CJ170" i="1"/>
  <c r="CL170" i="1"/>
  <c r="CI170" i="1"/>
  <c r="AI104" i="1"/>
  <c r="AN62" i="5"/>
  <c r="D68" i="5" s="1"/>
  <c r="AI62" i="5"/>
  <c r="AL62" i="5" s="1"/>
  <c r="AJ104" i="1"/>
  <c r="AY62" i="5"/>
  <c r="E68" i="5" s="1"/>
  <c r="AT62" i="5"/>
  <c r="AW62" i="5" s="1"/>
  <c r="AC62" i="5"/>
  <c r="C68" i="5" s="1"/>
  <c r="G62" i="5" s="1"/>
  <c r="AO99" i="1" s="1"/>
  <c r="AP99" i="1" s="1"/>
  <c r="X62" i="5"/>
  <c r="AA62" i="5" s="1"/>
  <c r="AH104" i="1"/>
  <c r="L184" i="1"/>
  <c r="BJ62" i="5"/>
  <c r="F68" i="5" s="1"/>
  <c r="AK104" i="1"/>
  <c r="BE62" i="5"/>
  <c r="BH62" i="5" s="1"/>
  <c r="D147" i="3"/>
  <c r="E146" i="3"/>
  <c r="F146" i="3" s="1"/>
  <c r="CF172" i="1" l="1"/>
  <c r="Q173" i="1"/>
  <c r="AA172" i="1"/>
  <c r="CK171" i="1"/>
  <c r="CM171" i="1"/>
  <c r="CL171" i="1"/>
  <c r="CG171" i="1"/>
  <c r="CH171" i="1" s="1"/>
  <c r="CJ171" i="1"/>
  <c r="CI171" i="1"/>
  <c r="L185" i="1"/>
  <c r="AM104" i="1"/>
  <c r="AN104" i="1" s="1"/>
  <c r="AE62" i="5"/>
  <c r="Z62" i="5"/>
  <c r="BL62" i="5"/>
  <c r="BG62" i="5"/>
  <c r="BA62" i="5"/>
  <c r="AV62" i="5"/>
  <c r="AP62" i="5"/>
  <c r="AK62" i="5"/>
  <c r="E147" i="3"/>
  <c r="F147" i="3" s="1"/>
  <c r="D148" i="3"/>
  <c r="CM172" i="1" l="1"/>
  <c r="CG172" i="1"/>
  <c r="CH172" i="1" s="1"/>
  <c r="CK172" i="1"/>
  <c r="CL172" i="1"/>
  <c r="CJ172" i="1"/>
  <c r="CI172" i="1"/>
  <c r="CF173" i="1"/>
  <c r="Q174" i="1"/>
  <c r="AA173" i="1"/>
  <c r="AQ62" i="5"/>
  <c r="AO62" i="5"/>
  <c r="BB62" i="5"/>
  <c r="AZ62" i="5"/>
  <c r="BM62" i="5"/>
  <c r="BK62" i="5"/>
  <c r="AF62" i="5"/>
  <c r="AD62" i="5"/>
  <c r="L186" i="1"/>
  <c r="D149" i="3"/>
  <c r="E148" i="3"/>
  <c r="F148" i="3" s="1"/>
  <c r="CF174" i="1" l="1"/>
  <c r="Q175" i="1"/>
  <c r="AA174" i="1"/>
  <c r="CJ173" i="1"/>
  <c r="CG173" i="1"/>
  <c r="CH173" i="1" s="1"/>
  <c r="CL173" i="1"/>
  <c r="CM173" i="1"/>
  <c r="CK173" i="1"/>
  <c r="CI173" i="1"/>
  <c r="CI174" i="1"/>
  <c r="X63" i="5"/>
  <c r="AA63" i="5" s="1"/>
  <c r="AH105" i="1"/>
  <c r="AC63" i="5"/>
  <c r="C69" i="5" s="1"/>
  <c r="G63" i="5" s="1"/>
  <c r="AO100" i="1" s="1"/>
  <c r="AP100" i="1" s="1"/>
  <c r="AY63" i="5"/>
  <c r="E69" i="5" s="1"/>
  <c r="AT63" i="5"/>
  <c r="AW63" i="5" s="1"/>
  <c r="AJ105" i="1"/>
  <c r="L187" i="1"/>
  <c r="BJ63" i="5"/>
  <c r="F69" i="5" s="1"/>
  <c r="AK105" i="1"/>
  <c r="BE63" i="5"/>
  <c r="BH63" i="5" s="1"/>
  <c r="AI105" i="1"/>
  <c r="AN63" i="5"/>
  <c r="D69" i="5" s="1"/>
  <c r="AI63" i="5"/>
  <c r="AL63" i="5" s="1"/>
  <c r="D150" i="3"/>
  <c r="E149" i="3"/>
  <c r="F149" i="3" s="1"/>
  <c r="CF175" i="1" l="1"/>
  <c r="Q176" i="1"/>
  <c r="AA175" i="1"/>
  <c r="CG174" i="1"/>
  <c r="CH174" i="1" s="1"/>
  <c r="CK174" i="1"/>
  <c r="CM174" i="1"/>
  <c r="CL174" i="1"/>
  <c r="CJ174" i="1"/>
  <c r="AP63" i="5"/>
  <c r="AK63" i="5"/>
  <c r="BL63" i="5"/>
  <c r="BG63" i="5"/>
  <c r="BA63" i="5"/>
  <c r="AV63" i="5"/>
  <c r="AE63" i="5"/>
  <c r="Z63" i="5"/>
  <c r="L188" i="1"/>
  <c r="AM105" i="1"/>
  <c r="AN105" i="1" s="1"/>
  <c r="E150" i="3"/>
  <c r="F150" i="3" s="1"/>
  <c r="D151" i="3"/>
  <c r="CF176" i="1" l="1"/>
  <c r="Q177" i="1"/>
  <c r="AA176" i="1"/>
  <c r="CL175" i="1"/>
  <c r="CK175" i="1"/>
  <c r="CG175" i="1"/>
  <c r="CH175" i="1" s="1"/>
  <c r="CJ175" i="1"/>
  <c r="CM175" i="1"/>
  <c r="CI175" i="1"/>
  <c r="L189" i="1"/>
  <c r="BB63" i="5"/>
  <c r="AZ63" i="5"/>
  <c r="AQ63" i="5"/>
  <c r="AO63" i="5"/>
  <c r="AF63" i="5"/>
  <c r="AD63" i="5"/>
  <c r="BM63" i="5"/>
  <c r="BK63" i="5"/>
  <c r="E151" i="3"/>
  <c r="F151" i="3" s="1"/>
  <c r="D152" i="3"/>
  <c r="CF177" i="1" l="1"/>
  <c r="Q178" i="1"/>
  <c r="AA177" i="1"/>
  <c r="CK176" i="1"/>
  <c r="CG176" i="1"/>
  <c r="CH176" i="1" s="1"/>
  <c r="CM176" i="1"/>
  <c r="CJ176" i="1"/>
  <c r="CL176" i="1"/>
  <c r="CI176" i="1"/>
  <c r="L190" i="1"/>
  <c r="BE64" i="5"/>
  <c r="BH64" i="5" s="1"/>
  <c r="AK106" i="1"/>
  <c r="BJ64" i="5"/>
  <c r="F70" i="5" s="1"/>
  <c r="BM64" i="5"/>
  <c r="AC64" i="5"/>
  <c r="C70" i="5" s="1"/>
  <c r="G64" i="5" s="1"/>
  <c r="AO101" i="1" s="1"/>
  <c r="AP101" i="1" s="1"/>
  <c r="X64" i="5"/>
  <c r="AA64" i="5" s="1"/>
  <c r="AH106" i="1"/>
  <c r="AI64" i="5"/>
  <c r="AL64" i="5" s="1"/>
  <c r="AI106" i="1"/>
  <c r="AN64" i="5"/>
  <c r="D70" i="5" s="1"/>
  <c r="AQ64" i="5"/>
  <c r="AT64" i="5"/>
  <c r="AW64" i="5" s="1"/>
  <c r="AJ106" i="1"/>
  <c r="AY64" i="5"/>
  <c r="E70" i="5" s="1"/>
  <c r="BB64" i="5"/>
  <c r="D153" i="3"/>
  <c r="E152" i="3"/>
  <c r="F152" i="3" s="1"/>
  <c r="CF178" i="1" l="1"/>
  <c r="Q179" i="1"/>
  <c r="AA178" i="1"/>
  <c r="CM177" i="1"/>
  <c r="CG177" i="1"/>
  <c r="CH177" i="1" s="1"/>
  <c r="CK177" i="1"/>
  <c r="CJ177" i="1"/>
  <c r="CL177" i="1"/>
  <c r="CI177" i="1"/>
  <c r="AM106" i="1"/>
  <c r="AN106" i="1" s="1"/>
  <c r="BA64" i="5"/>
  <c r="AV64" i="5"/>
  <c r="AZ64" i="5" s="1"/>
  <c r="AP64" i="5"/>
  <c r="AK64" i="5"/>
  <c r="AO64" i="5" s="1"/>
  <c r="BJ65" i="5"/>
  <c r="F71" i="5" s="1"/>
  <c r="AK107" i="1"/>
  <c r="BM65" i="5"/>
  <c r="BE65" i="5"/>
  <c r="BH65" i="5" s="1"/>
  <c r="BL64" i="5"/>
  <c r="BG64" i="5"/>
  <c r="BK64" i="5" s="1"/>
  <c r="AI107" i="1"/>
  <c r="AN65" i="5"/>
  <c r="D71" i="5" s="1"/>
  <c r="AI65" i="5"/>
  <c r="AL65" i="5" s="1"/>
  <c r="AQ65" i="5"/>
  <c r="AE64" i="5"/>
  <c r="Z64" i="5"/>
  <c r="AY65" i="5"/>
  <c r="E71" i="5" s="1"/>
  <c r="AJ107" i="1"/>
  <c r="AT65" i="5"/>
  <c r="AW65" i="5" s="1"/>
  <c r="BB65" i="5"/>
  <c r="L191" i="1"/>
  <c r="E153" i="3"/>
  <c r="F153" i="3" s="1"/>
  <c r="D154" i="3"/>
  <c r="CF179" i="1" l="1"/>
  <c r="Q180" i="1"/>
  <c r="AA179" i="1"/>
  <c r="CG178" i="1"/>
  <c r="CH178" i="1" s="1"/>
  <c r="CK178" i="1"/>
  <c r="CM178" i="1"/>
  <c r="CJ178" i="1"/>
  <c r="CL178" i="1"/>
  <c r="CI178" i="1"/>
  <c r="AN66" i="5"/>
  <c r="D72" i="5" s="1"/>
  <c r="AI108" i="1"/>
  <c r="AI66" i="5"/>
  <c r="AL66" i="5" s="1"/>
  <c r="AQ66" i="5"/>
  <c r="L192" i="1"/>
  <c r="AY66" i="5"/>
  <c r="E72" i="5" s="1"/>
  <c r="AJ108" i="1"/>
  <c r="AT66" i="5"/>
  <c r="AW66" i="5" s="1"/>
  <c r="BB66" i="5"/>
  <c r="BA65" i="5"/>
  <c r="AV65" i="5"/>
  <c r="AZ65" i="5" s="1"/>
  <c r="AP65" i="5"/>
  <c r="AK65" i="5"/>
  <c r="AO65" i="5" s="1"/>
  <c r="BL65" i="5"/>
  <c r="BG65" i="5"/>
  <c r="BK65" i="5" s="1"/>
  <c r="BE66" i="5"/>
  <c r="BH66" i="5" s="1"/>
  <c r="BJ66" i="5"/>
  <c r="F72" i="5" s="1"/>
  <c r="AK108" i="1"/>
  <c r="BM66" i="5"/>
  <c r="AF64" i="5"/>
  <c r="AD64" i="5"/>
  <c r="D155" i="3"/>
  <c r="E154" i="3"/>
  <c r="F154" i="3" s="1"/>
  <c r="CF180" i="1" l="1"/>
  <c r="Q181" i="1"/>
  <c r="AA180" i="1"/>
  <c r="CG179" i="1"/>
  <c r="CH179" i="1" s="1"/>
  <c r="CL179" i="1"/>
  <c r="CM179" i="1"/>
  <c r="CJ179" i="1"/>
  <c r="CK179" i="1"/>
  <c r="CI179" i="1"/>
  <c r="AY67" i="5"/>
  <c r="E73" i="5" s="1"/>
  <c r="AJ109" i="1"/>
  <c r="AT67" i="5"/>
  <c r="AW67" i="5" s="1"/>
  <c r="BB67" i="5"/>
  <c r="AC65" i="5"/>
  <c r="C71" i="5" s="1"/>
  <c r="G65" i="5" s="1"/>
  <c r="AO102" i="1" s="1"/>
  <c r="AP102" i="1" s="1"/>
  <c r="AH107" i="1"/>
  <c r="AM107" i="1" s="1"/>
  <c r="AN107" i="1" s="1"/>
  <c r="X65" i="5"/>
  <c r="AA65" i="5" s="1"/>
  <c r="BA66" i="5"/>
  <c r="AV66" i="5"/>
  <c r="AZ66" i="5" s="1"/>
  <c r="L193" i="1"/>
  <c r="AK66" i="5"/>
  <c r="AO66" i="5" s="1"/>
  <c r="AP66" i="5"/>
  <c r="BE67" i="5"/>
  <c r="BH67" i="5" s="1"/>
  <c r="BJ67" i="5"/>
  <c r="F73" i="5" s="1"/>
  <c r="AK109" i="1"/>
  <c r="BM67" i="5"/>
  <c r="AN67" i="5"/>
  <c r="D73" i="5" s="1"/>
  <c r="AI67" i="5"/>
  <c r="AL67" i="5" s="1"/>
  <c r="AI109" i="1"/>
  <c r="AQ67" i="5"/>
  <c r="BL66" i="5"/>
  <c r="BG66" i="5"/>
  <c r="BK66" i="5" s="1"/>
  <c r="D156" i="3"/>
  <c r="E155" i="3"/>
  <c r="F155" i="3" s="1"/>
  <c r="CF181" i="1" l="1"/>
  <c r="Q182" i="1"/>
  <c r="AA181" i="1"/>
  <c r="CG180" i="1"/>
  <c r="CH180" i="1" s="1"/>
  <c r="CJ180" i="1"/>
  <c r="CL180" i="1"/>
  <c r="CK180" i="1"/>
  <c r="CM180" i="1"/>
  <c r="CI180" i="1"/>
  <c r="AY68" i="5"/>
  <c r="E74" i="5" s="1"/>
  <c r="AT68" i="5"/>
  <c r="AW68" i="5" s="1"/>
  <c r="AJ110" i="1"/>
  <c r="BB68" i="5"/>
  <c r="AE65" i="5"/>
  <c r="Z65" i="5"/>
  <c r="AN68" i="5"/>
  <c r="D74" i="5" s="1"/>
  <c r="AI110" i="1"/>
  <c r="AI68" i="5"/>
  <c r="AL68" i="5" s="1"/>
  <c r="AQ68" i="5"/>
  <c r="AP67" i="5"/>
  <c r="AK67" i="5"/>
  <c r="AO67" i="5" s="1"/>
  <c r="BA67" i="5"/>
  <c r="AV67" i="5"/>
  <c r="AZ67" i="5" s="1"/>
  <c r="BL67" i="5"/>
  <c r="BG67" i="5"/>
  <c r="BK67" i="5" s="1"/>
  <c r="L194" i="1"/>
  <c r="BJ68" i="5"/>
  <c r="F74" i="5" s="1"/>
  <c r="BE68" i="5"/>
  <c r="BH68" i="5" s="1"/>
  <c r="AK110" i="1"/>
  <c r="BM68" i="5"/>
  <c r="E156" i="3"/>
  <c r="F156" i="3" s="1"/>
  <c r="D157" i="3"/>
  <c r="CF182" i="1" l="1"/>
  <c r="Q183" i="1"/>
  <c r="AA182" i="1"/>
  <c r="CL181" i="1"/>
  <c r="CK181" i="1"/>
  <c r="CG181" i="1"/>
  <c r="CH181" i="1" s="1"/>
  <c r="CM181" i="1"/>
  <c r="CJ181" i="1"/>
  <c r="CI181" i="1"/>
  <c r="AI69" i="5"/>
  <c r="AL69" i="5" s="1"/>
  <c r="AN69" i="5"/>
  <c r="D75" i="5" s="1"/>
  <c r="AQ69" i="5"/>
  <c r="AI111" i="1"/>
  <c r="BJ69" i="5"/>
  <c r="F75" i="5" s="1"/>
  <c r="AK111" i="1"/>
  <c r="BE69" i="5"/>
  <c r="BH69" i="5" s="1"/>
  <c r="BM69" i="5"/>
  <c r="AJ111" i="1"/>
  <c r="AT69" i="5"/>
  <c r="AW69" i="5" s="1"/>
  <c r="AY69" i="5"/>
  <c r="E75" i="5" s="1"/>
  <c r="BB69" i="5"/>
  <c r="AP68" i="5"/>
  <c r="AK68" i="5"/>
  <c r="AO68" i="5" s="1"/>
  <c r="AF65" i="5"/>
  <c r="AD65" i="5"/>
  <c r="BL68" i="5"/>
  <c r="BG68" i="5"/>
  <c r="BK68" i="5" s="1"/>
  <c r="BA68" i="5"/>
  <c r="AV68" i="5"/>
  <c r="AZ68" i="5" s="1"/>
  <c r="L195" i="1"/>
  <c r="E157" i="3"/>
  <c r="F157" i="3" s="1"/>
  <c r="D158" i="3"/>
  <c r="CJ182" i="1" l="1"/>
  <c r="CK182" i="1"/>
  <c r="CG182" i="1"/>
  <c r="CH182" i="1" s="1"/>
  <c r="CL182" i="1"/>
  <c r="CM182" i="1"/>
  <c r="CI182" i="1"/>
  <c r="CF183" i="1"/>
  <c r="Q184" i="1"/>
  <c r="AA183" i="1"/>
  <c r="X66" i="5"/>
  <c r="AA66" i="5" s="1"/>
  <c r="AC66" i="5"/>
  <c r="C72" i="5" s="1"/>
  <c r="G66" i="5" s="1"/>
  <c r="AO103" i="1" s="1"/>
  <c r="AP103" i="1" s="1"/>
  <c r="AH108" i="1"/>
  <c r="AM108" i="1" s="1"/>
  <c r="AN108" i="1" s="1"/>
  <c r="AY70" i="5"/>
  <c r="E76" i="5" s="1"/>
  <c r="AT70" i="5"/>
  <c r="AW70" i="5" s="1"/>
  <c r="AJ112" i="1"/>
  <c r="BB70" i="5"/>
  <c r="BA69" i="5"/>
  <c r="AV69" i="5"/>
  <c r="AZ69" i="5" s="1"/>
  <c r="AN70" i="5"/>
  <c r="D76" i="5" s="1"/>
  <c r="AI112" i="1"/>
  <c r="AI70" i="5"/>
  <c r="AL70" i="5" s="1"/>
  <c r="AQ70" i="5"/>
  <c r="BJ70" i="5"/>
  <c r="F76" i="5" s="1"/>
  <c r="AK112" i="1"/>
  <c r="BE70" i="5"/>
  <c r="BH70" i="5" s="1"/>
  <c r="BM70" i="5"/>
  <c r="BL69" i="5"/>
  <c r="BG69" i="5"/>
  <c r="BK69" i="5" s="1"/>
  <c r="L196" i="1"/>
  <c r="AK69" i="5"/>
  <c r="AO69" i="5" s="1"/>
  <c r="AP69" i="5"/>
  <c r="E158" i="3"/>
  <c r="F158" i="3" s="1"/>
  <c r="D159" i="3"/>
  <c r="CF184" i="1" l="1"/>
  <c r="Q185" i="1"/>
  <c r="AA184" i="1"/>
  <c r="CM183" i="1"/>
  <c r="CL183" i="1"/>
  <c r="CJ183" i="1"/>
  <c r="CK183" i="1"/>
  <c r="CG183" i="1"/>
  <c r="CH183" i="1" s="1"/>
  <c r="CI183" i="1"/>
  <c r="CI184" i="1"/>
  <c r="BL70" i="5"/>
  <c r="BG70" i="5"/>
  <c r="BK70" i="5" s="1"/>
  <c r="AI71" i="5"/>
  <c r="AL71" i="5" s="1"/>
  <c r="AI113" i="1"/>
  <c r="AN71" i="5"/>
  <c r="D77" i="5" s="1"/>
  <c r="AQ71" i="5"/>
  <c r="AY71" i="5"/>
  <c r="E77" i="5" s="1"/>
  <c r="AJ113" i="1"/>
  <c r="AT71" i="5"/>
  <c r="AW71" i="5" s="1"/>
  <c r="BB71" i="5"/>
  <c r="L197" i="1"/>
  <c r="AP70" i="5"/>
  <c r="AK70" i="5"/>
  <c r="AO70" i="5" s="1"/>
  <c r="BA70" i="5"/>
  <c r="AV70" i="5"/>
  <c r="AZ70" i="5" s="1"/>
  <c r="BJ71" i="5"/>
  <c r="F77" i="5" s="1"/>
  <c r="AK113" i="1"/>
  <c r="BE71" i="5"/>
  <c r="BH71" i="5" s="1"/>
  <c r="BM71" i="5"/>
  <c r="AE66" i="5"/>
  <c r="Z66" i="5"/>
  <c r="E159" i="3"/>
  <c r="F159" i="3" s="1"/>
  <c r="D160" i="3"/>
  <c r="CF185" i="1" l="1"/>
  <c r="Q186" i="1"/>
  <c r="AA185" i="1"/>
  <c r="CG184" i="1"/>
  <c r="CH184" i="1" s="1"/>
  <c r="CM184" i="1"/>
  <c r="CL184" i="1"/>
  <c r="CJ184" i="1"/>
  <c r="CK184" i="1"/>
  <c r="AY72" i="5"/>
  <c r="E78" i="5" s="1"/>
  <c r="AT72" i="5"/>
  <c r="AW72" i="5" s="1"/>
  <c r="AJ114" i="1"/>
  <c r="BB72" i="5"/>
  <c r="L198" i="1"/>
  <c r="AN72" i="5"/>
  <c r="D78" i="5" s="1"/>
  <c r="AI114" i="1"/>
  <c r="AI72" i="5"/>
  <c r="AL72" i="5" s="1"/>
  <c r="AQ72" i="5"/>
  <c r="BJ72" i="5"/>
  <c r="F78" i="5" s="1"/>
  <c r="BE72" i="5"/>
  <c r="BH72" i="5" s="1"/>
  <c r="AK114" i="1"/>
  <c r="BM72" i="5"/>
  <c r="AP71" i="5"/>
  <c r="AK71" i="5"/>
  <c r="AO71" i="5" s="1"/>
  <c r="BA71" i="5"/>
  <c r="AV71" i="5"/>
  <c r="AZ71" i="5" s="1"/>
  <c r="BG71" i="5"/>
  <c r="BK71" i="5" s="1"/>
  <c r="BL71" i="5"/>
  <c r="AF66" i="5"/>
  <c r="AD66" i="5"/>
  <c r="E160" i="3"/>
  <c r="F160" i="3" s="1"/>
  <c r="D161" i="3"/>
  <c r="CI186" i="1" l="1"/>
  <c r="CF186" i="1"/>
  <c r="Q187" i="1"/>
  <c r="AA186" i="1"/>
  <c r="AN186" i="1" s="1"/>
  <c r="CL185" i="1"/>
  <c r="CG185" i="1"/>
  <c r="CH185" i="1" s="1"/>
  <c r="CK185" i="1"/>
  <c r="CJ185" i="1"/>
  <c r="CM185" i="1"/>
  <c r="CI185" i="1"/>
  <c r="AY73" i="5"/>
  <c r="E79" i="5" s="1"/>
  <c r="AJ115" i="1"/>
  <c r="AT73" i="5"/>
  <c r="AW73" i="5" s="1"/>
  <c r="BB73" i="5"/>
  <c r="BL72" i="5"/>
  <c r="BG72" i="5"/>
  <c r="BK72" i="5" s="1"/>
  <c r="AN73" i="5"/>
  <c r="D79" i="5" s="1"/>
  <c r="AI73" i="5"/>
  <c r="AL73" i="5" s="1"/>
  <c r="AI115" i="1"/>
  <c r="AQ73" i="5"/>
  <c r="L199" i="1"/>
  <c r="BJ73" i="5"/>
  <c r="F79" i="5" s="1"/>
  <c r="BE73" i="5"/>
  <c r="BH73" i="5" s="1"/>
  <c r="AK115" i="1"/>
  <c r="BM73" i="5"/>
  <c r="AP72" i="5"/>
  <c r="AK72" i="5"/>
  <c r="AO72" i="5" s="1"/>
  <c r="AC67" i="5"/>
  <c r="C73" i="5" s="1"/>
  <c r="G67" i="5" s="1"/>
  <c r="AO104" i="1" s="1"/>
  <c r="AP104" i="1" s="1"/>
  <c r="X67" i="5"/>
  <c r="AA67" i="5" s="1"/>
  <c r="AH109" i="1"/>
  <c r="AM109" i="1" s="1"/>
  <c r="AN109" i="1" s="1"/>
  <c r="BA72" i="5"/>
  <c r="AV72" i="5"/>
  <c r="AZ72" i="5" s="1"/>
  <c r="E161" i="3"/>
  <c r="F161" i="3" s="1"/>
  <c r="D162" i="3"/>
  <c r="CF187" i="1" l="1"/>
  <c r="Q188" i="1"/>
  <c r="AA187" i="1"/>
  <c r="AN187" i="1" s="1"/>
  <c r="CK186" i="1"/>
  <c r="CM186" i="1"/>
  <c r="CL186" i="1"/>
  <c r="CG186" i="1"/>
  <c r="CH186" i="1" s="1"/>
  <c r="CJ186" i="1"/>
  <c r="BJ74" i="5"/>
  <c r="F80" i="5" s="1"/>
  <c r="AK116" i="1"/>
  <c r="BE74" i="5"/>
  <c r="BH74" i="5" s="1"/>
  <c r="BM74" i="5"/>
  <c r="AE67" i="5"/>
  <c r="Z67" i="5"/>
  <c r="BL73" i="5"/>
  <c r="BG73" i="5"/>
  <c r="BK73" i="5" s="1"/>
  <c r="L200" i="1"/>
  <c r="AP73" i="5"/>
  <c r="AK73" i="5"/>
  <c r="AO73" i="5" s="1"/>
  <c r="AY74" i="5"/>
  <c r="E80" i="5" s="1"/>
  <c r="AT74" i="5"/>
  <c r="AW74" i="5" s="1"/>
  <c r="AJ116" i="1"/>
  <c r="BB74" i="5"/>
  <c r="AI116" i="1"/>
  <c r="AI74" i="5"/>
  <c r="AL74" i="5" s="1"/>
  <c r="AN74" i="5"/>
  <c r="D80" i="5" s="1"/>
  <c r="AQ74" i="5"/>
  <c r="AV73" i="5"/>
  <c r="AZ73" i="5" s="1"/>
  <c r="BA73" i="5"/>
  <c r="D163" i="3"/>
  <c r="E162" i="3"/>
  <c r="F162" i="3" s="1"/>
  <c r="CI188" i="1" l="1"/>
  <c r="CF188" i="1"/>
  <c r="Q189" i="1"/>
  <c r="AA188" i="1"/>
  <c r="AN188" i="1" s="1"/>
  <c r="CG187" i="1"/>
  <c r="CH187" i="1" s="1"/>
  <c r="CJ187" i="1"/>
  <c r="CL187" i="1"/>
  <c r="CK187" i="1"/>
  <c r="CM187" i="1"/>
  <c r="CI187" i="1"/>
  <c r="AV74" i="5"/>
  <c r="AZ74" i="5" s="1"/>
  <c r="BA74" i="5"/>
  <c r="AF67" i="5"/>
  <c r="AD67" i="5"/>
  <c r="AK117" i="1"/>
  <c r="BE75" i="5"/>
  <c r="BH75" i="5" s="1"/>
  <c r="BJ75" i="5"/>
  <c r="F81" i="5" s="1"/>
  <c r="BM75" i="5"/>
  <c r="L201" i="1"/>
  <c r="BL74" i="5"/>
  <c r="BG74" i="5"/>
  <c r="BK74" i="5" s="1"/>
  <c r="AJ117" i="1"/>
  <c r="AY75" i="5"/>
  <c r="E81" i="5" s="1"/>
  <c r="AT75" i="5"/>
  <c r="AW75" i="5" s="1"/>
  <c r="BB75" i="5"/>
  <c r="AI75" i="5"/>
  <c r="AL75" i="5" s="1"/>
  <c r="AN75" i="5"/>
  <c r="D81" i="5" s="1"/>
  <c r="AI117" i="1"/>
  <c r="AQ75" i="5"/>
  <c r="AP74" i="5"/>
  <c r="AK74" i="5"/>
  <c r="AO74" i="5" s="1"/>
  <c r="E163" i="3"/>
  <c r="F163" i="3" s="1"/>
  <c r="D164" i="3"/>
  <c r="CF189" i="1" l="1"/>
  <c r="Q190" i="1"/>
  <c r="AA189" i="1"/>
  <c r="AN189" i="1" s="1"/>
  <c r="CK188" i="1"/>
  <c r="CG188" i="1"/>
  <c r="CH188" i="1" s="1"/>
  <c r="CJ188" i="1"/>
  <c r="CL188" i="1"/>
  <c r="CM188" i="1"/>
  <c r="BA75" i="5"/>
  <c r="AV75" i="5"/>
  <c r="AZ75" i="5" s="1"/>
  <c r="AN76" i="5"/>
  <c r="D82" i="5" s="1"/>
  <c r="AI118" i="1"/>
  <c r="AI76" i="5"/>
  <c r="AL76" i="5" s="1"/>
  <c r="AQ76" i="5"/>
  <c r="BJ76" i="5"/>
  <c r="F82" i="5" s="1"/>
  <c r="BE76" i="5"/>
  <c r="BH76" i="5" s="1"/>
  <c r="AK118" i="1"/>
  <c r="BM76" i="5"/>
  <c r="AC68" i="5"/>
  <c r="C74" i="5" s="1"/>
  <c r="G68" i="5" s="1"/>
  <c r="AO105" i="1" s="1"/>
  <c r="AP105" i="1" s="1"/>
  <c r="X68" i="5"/>
  <c r="AA68" i="5" s="1"/>
  <c r="AH110" i="1"/>
  <c r="AM110" i="1" s="1"/>
  <c r="AN110" i="1" s="1"/>
  <c r="L202" i="1"/>
  <c r="BL75" i="5"/>
  <c r="BG75" i="5"/>
  <c r="BK75" i="5" s="1"/>
  <c r="AJ118" i="1"/>
  <c r="AT76" i="5"/>
  <c r="AW76" i="5" s="1"/>
  <c r="AY76" i="5"/>
  <c r="E82" i="5" s="1"/>
  <c r="BB76" i="5"/>
  <c r="AP75" i="5"/>
  <c r="AK75" i="5"/>
  <c r="AO75" i="5" s="1"/>
  <c r="E164" i="3"/>
  <c r="F164" i="3" s="1"/>
  <c r="D165" i="3"/>
  <c r="CF190" i="1" l="1"/>
  <c r="Q191" i="1"/>
  <c r="AA190" i="1"/>
  <c r="AN190" i="1" s="1"/>
  <c r="CM189" i="1"/>
  <c r="CJ189" i="1"/>
  <c r="CL189" i="1"/>
  <c r="CG189" i="1"/>
  <c r="CH189" i="1" s="1"/>
  <c r="CK189" i="1"/>
  <c r="CI189" i="1"/>
  <c r="L203" i="1"/>
  <c r="BJ77" i="5"/>
  <c r="F83" i="5" s="1"/>
  <c r="BE77" i="5"/>
  <c r="BH77" i="5" s="1"/>
  <c r="AK119" i="1"/>
  <c r="BM77" i="5"/>
  <c r="AN77" i="5"/>
  <c r="D83" i="5" s="1"/>
  <c r="AI119" i="1"/>
  <c r="AI77" i="5"/>
  <c r="AL77" i="5" s="1"/>
  <c r="AQ77" i="5"/>
  <c r="AJ119" i="1"/>
  <c r="AY77" i="5"/>
  <c r="E83" i="5" s="1"/>
  <c r="AT77" i="5"/>
  <c r="AW77" i="5" s="1"/>
  <c r="BB77" i="5"/>
  <c r="BL76" i="5"/>
  <c r="BG76" i="5"/>
  <c r="BK76" i="5" s="1"/>
  <c r="AE68" i="5"/>
  <c r="Z68" i="5"/>
  <c r="AP76" i="5"/>
  <c r="AK76" i="5"/>
  <c r="AO76" i="5" s="1"/>
  <c r="BA76" i="5"/>
  <c r="AV76" i="5"/>
  <c r="AZ76" i="5" s="1"/>
  <c r="D166" i="3"/>
  <c r="E165" i="3"/>
  <c r="F165" i="3" s="1"/>
  <c r="CF191" i="1" l="1"/>
  <c r="Q192" i="1"/>
  <c r="AA191" i="1"/>
  <c r="AN191" i="1" s="1"/>
  <c r="CJ190" i="1"/>
  <c r="CK190" i="1"/>
  <c r="CL190" i="1"/>
  <c r="CM190" i="1"/>
  <c r="CG190" i="1"/>
  <c r="CH190" i="1" s="1"/>
  <c r="CI190" i="1"/>
  <c r="AT78" i="5"/>
  <c r="AW78" i="5" s="1"/>
  <c r="AY78" i="5"/>
  <c r="E84" i="5" s="1"/>
  <c r="AJ120" i="1"/>
  <c r="BB78" i="5"/>
  <c r="BJ78" i="5"/>
  <c r="F84" i="5" s="1"/>
  <c r="AK120" i="1"/>
  <c r="BE78" i="5"/>
  <c r="BH78" i="5" s="1"/>
  <c r="BM78" i="5"/>
  <c r="AI120" i="1"/>
  <c r="AI78" i="5"/>
  <c r="AL78" i="5" s="1"/>
  <c r="AN78" i="5"/>
  <c r="D84" i="5" s="1"/>
  <c r="AQ78" i="5"/>
  <c r="BA77" i="5"/>
  <c r="AV77" i="5"/>
  <c r="AZ77" i="5" s="1"/>
  <c r="AP77" i="5"/>
  <c r="AK77" i="5"/>
  <c r="AO77" i="5" s="1"/>
  <c r="BL77" i="5"/>
  <c r="BG77" i="5"/>
  <c r="BK77" i="5" s="1"/>
  <c r="AF68" i="5"/>
  <c r="AD68" i="5"/>
  <c r="L204" i="1"/>
  <c r="E166" i="3"/>
  <c r="F166" i="3" s="1"/>
  <c r="D167" i="3"/>
  <c r="CF192" i="1" l="1"/>
  <c r="Q193" i="1"/>
  <c r="AA192" i="1"/>
  <c r="AN192" i="1" s="1"/>
  <c r="CG191" i="1"/>
  <c r="CH191" i="1" s="1"/>
  <c r="CK191" i="1"/>
  <c r="CJ191" i="1"/>
  <c r="CL191" i="1"/>
  <c r="CM191" i="1"/>
  <c r="CI191" i="1"/>
  <c r="BL78" i="5"/>
  <c r="BG78" i="5"/>
  <c r="BK78" i="5" s="1"/>
  <c r="AK78" i="5"/>
  <c r="AO78" i="5" s="1"/>
  <c r="AP78" i="5"/>
  <c r="AN79" i="5"/>
  <c r="D85" i="5" s="1"/>
  <c r="AI121" i="1"/>
  <c r="AI79" i="5"/>
  <c r="AL79" i="5" s="1"/>
  <c r="AQ79" i="5"/>
  <c r="BJ79" i="5"/>
  <c r="F85" i="5" s="1"/>
  <c r="AK121" i="1"/>
  <c r="BE79" i="5"/>
  <c r="BH79" i="5" s="1"/>
  <c r="BM79" i="5"/>
  <c r="AY79" i="5"/>
  <c r="E85" i="5" s="1"/>
  <c r="AT79" i="5"/>
  <c r="AW79" i="5" s="1"/>
  <c r="AJ121" i="1"/>
  <c r="BB79" i="5"/>
  <c r="L205" i="1"/>
  <c r="AC69" i="5"/>
  <c r="C75" i="5" s="1"/>
  <c r="G69" i="5" s="1"/>
  <c r="AO106" i="1" s="1"/>
  <c r="AP106" i="1" s="1"/>
  <c r="X69" i="5"/>
  <c r="AA69" i="5" s="1"/>
  <c r="AH111" i="1"/>
  <c r="AM111" i="1" s="1"/>
  <c r="AN111" i="1" s="1"/>
  <c r="BA78" i="5"/>
  <c r="AV78" i="5"/>
  <c r="AZ78" i="5" s="1"/>
  <c r="E167" i="3"/>
  <c r="F167" i="3" s="1"/>
  <c r="D168" i="3"/>
  <c r="CF193" i="1" l="1"/>
  <c r="Q194" i="1"/>
  <c r="AA193" i="1"/>
  <c r="AN193" i="1" s="1"/>
  <c r="CM192" i="1"/>
  <c r="CJ192" i="1"/>
  <c r="CL192" i="1"/>
  <c r="CK192" i="1"/>
  <c r="CG192" i="1"/>
  <c r="CH192" i="1" s="1"/>
  <c r="CI192" i="1"/>
  <c r="BL79" i="5"/>
  <c r="BG79" i="5"/>
  <c r="BK79" i="5" s="1"/>
  <c r="AV79" i="5"/>
  <c r="AZ79" i="5" s="1"/>
  <c r="BA79" i="5"/>
  <c r="AY80" i="5"/>
  <c r="E86" i="5" s="1"/>
  <c r="AT80" i="5"/>
  <c r="AW80" i="5" s="1"/>
  <c r="AJ122" i="1"/>
  <c r="BB80" i="5"/>
  <c r="AN80" i="5"/>
  <c r="D86" i="5" s="1"/>
  <c r="AI80" i="5"/>
  <c r="AL80" i="5" s="1"/>
  <c r="AI122" i="1"/>
  <c r="AQ80" i="5"/>
  <c r="BJ80" i="5"/>
  <c r="F86" i="5" s="1"/>
  <c r="AK122" i="1"/>
  <c r="BE80" i="5"/>
  <c r="BH80" i="5" s="1"/>
  <c r="BM80" i="5"/>
  <c r="AP79" i="5"/>
  <c r="AK79" i="5"/>
  <c r="AO79" i="5" s="1"/>
  <c r="AE69" i="5"/>
  <c r="Z69" i="5"/>
  <c r="L206" i="1"/>
  <c r="D169" i="3"/>
  <c r="E168" i="3"/>
  <c r="F168" i="3" s="1"/>
  <c r="CF194" i="1" l="1"/>
  <c r="Q195" i="1"/>
  <c r="AA194" i="1"/>
  <c r="AN194" i="1" s="1"/>
  <c r="CG193" i="1"/>
  <c r="CH193" i="1" s="1"/>
  <c r="CM193" i="1"/>
  <c r="CK193" i="1"/>
  <c r="CL193" i="1"/>
  <c r="CJ193" i="1"/>
  <c r="CI193" i="1"/>
  <c r="AP80" i="5"/>
  <c r="AK80" i="5"/>
  <c r="AO80" i="5" s="1"/>
  <c r="AI123" i="1"/>
  <c r="AI81" i="5"/>
  <c r="AL81" i="5" s="1"/>
  <c r="AN81" i="5"/>
  <c r="D87" i="5" s="1"/>
  <c r="AQ81" i="5"/>
  <c r="AY81" i="5"/>
  <c r="E87" i="5" s="1"/>
  <c r="AJ123" i="1"/>
  <c r="AT81" i="5"/>
  <c r="AW81" i="5" s="1"/>
  <c r="BB81" i="5"/>
  <c r="BL80" i="5"/>
  <c r="BG80" i="5"/>
  <c r="BK80" i="5" s="1"/>
  <c r="BA80" i="5"/>
  <c r="AV80" i="5"/>
  <c r="AZ80" i="5" s="1"/>
  <c r="BJ81" i="5"/>
  <c r="F87" i="5" s="1"/>
  <c r="AK123" i="1"/>
  <c r="BE81" i="5"/>
  <c r="BH81" i="5" s="1"/>
  <c r="BM81" i="5"/>
  <c r="L207" i="1"/>
  <c r="AF69" i="5"/>
  <c r="AD69" i="5"/>
  <c r="E169" i="3"/>
  <c r="F169" i="3" s="1"/>
  <c r="D170" i="3"/>
  <c r="CF195" i="1" l="1"/>
  <c r="Q196" i="1"/>
  <c r="AA195" i="1"/>
  <c r="AN195" i="1" s="1"/>
  <c r="CM194" i="1"/>
  <c r="CL194" i="1"/>
  <c r="CK194" i="1"/>
  <c r="CJ194" i="1"/>
  <c r="CG194" i="1"/>
  <c r="CH194" i="1" s="1"/>
  <c r="CI194" i="1"/>
  <c r="AN82" i="5"/>
  <c r="D88" i="5" s="1"/>
  <c r="AI124" i="1"/>
  <c r="AI82" i="5"/>
  <c r="AL82" i="5" s="1"/>
  <c r="AQ82" i="5"/>
  <c r="BA81" i="5"/>
  <c r="AV81" i="5"/>
  <c r="AZ81" i="5" s="1"/>
  <c r="AC70" i="5"/>
  <c r="C76" i="5" s="1"/>
  <c r="G70" i="5" s="1"/>
  <c r="AO107" i="1" s="1"/>
  <c r="AP107" i="1" s="1"/>
  <c r="X70" i="5"/>
  <c r="AA70" i="5" s="1"/>
  <c r="AH112" i="1"/>
  <c r="AM112" i="1" s="1"/>
  <c r="AN112" i="1" s="1"/>
  <c r="L208" i="1"/>
  <c r="BJ82" i="5"/>
  <c r="F88" i="5" s="1"/>
  <c r="BE82" i="5"/>
  <c r="BH82" i="5" s="1"/>
  <c r="AK124" i="1"/>
  <c r="BM82" i="5"/>
  <c r="AT82" i="5"/>
  <c r="AW82" i="5" s="1"/>
  <c r="AJ124" i="1"/>
  <c r="AY82" i="5"/>
  <c r="E88" i="5" s="1"/>
  <c r="BB82" i="5"/>
  <c r="AP81" i="5"/>
  <c r="AK81" i="5"/>
  <c r="AO81" i="5" s="1"/>
  <c r="BL81" i="5"/>
  <c r="BG81" i="5"/>
  <c r="BK81" i="5" s="1"/>
  <c r="D171" i="3"/>
  <c r="E170" i="3"/>
  <c r="F170" i="3" s="1"/>
  <c r="CF196" i="1" l="1"/>
  <c r="Q197" i="1"/>
  <c r="AA196" i="1"/>
  <c r="AN196" i="1" s="1"/>
  <c r="CG195" i="1"/>
  <c r="CH195" i="1" s="1"/>
  <c r="CL195" i="1"/>
  <c r="CM195" i="1"/>
  <c r="CK195" i="1"/>
  <c r="CJ195" i="1"/>
  <c r="CI195" i="1"/>
  <c r="BA82" i="5"/>
  <c r="AV82" i="5"/>
  <c r="AZ82" i="5" s="1"/>
  <c r="L209" i="1"/>
  <c r="AK82" i="5"/>
  <c r="AO82" i="5" s="1"/>
  <c r="AP82" i="5"/>
  <c r="BE83" i="5"/>
  <c r="BH83" i="5" s="1"/>
  <c r="AK125" i="1"/>
  <c r="BJ83" i="5"/>
  <c r="F89" i="5" s="1"/>
  <c r="BM83" i="5"/>
  <c r="AE70" i="5"/>
  <c r="Z70" i="5"/>
  <c r="BL82" i="5"/>
  <c r="BG82" i="5"/>
  <c r="BK82" i="5" s="1"/>
  <c r="AN83" i="5"/>
  <c r="D89" i="5" s="1"/>
  <c r="AI83" i="5"/>
  <c r="AL83" i="5" s="1"/>
  <c r="AI125" i="1"/>
  <c r="AQ83" i="5"/>
  <c r="AY83" i="5"/>
  <c r="E89" i="5" s="1"/>
  <c r="AT83" i="5"/>
  <c r="AW83" i="5" s="1"/>
  <c r="AJ125" i="1"/>
  <c r="BB83" i="5"/>
  <c r="E171" i="3"/>
  <c r="F171" i="3" s="1"/>
  <c r="D172" i="3"/>
  <c r="CF197" i="1" l="1"/>
  <c r="Q198" i="1"/>
  <c r="AA197" i="1"/>
  <c r="AN197" i="1" s="1"/>
  <c r="CG196" i="1"/>
  <c r="CH196" i="1" s="1"/>
  <c r="CL196" i="1"/>
  <c r="CK196" i="1"/>
  <c r="CM196" i="1"/>
  <c r="CJ196" i="1"/>
  <c r="CI196" i="1"/>
  <c r="AK126" i="1"/>
  <c r="BE84" i="5"/>
  <c r="BH84" i="5" s="1"/>
  <c r="BJ84" i="5"/>
  <c r="F90" i="5" s="1"/>
  <c r="BM84" i="5"/>
  <c r="AP83" i="5"/>
  <c r="AK83" i="5"/>
  <c r="AO83" i="5" s="1"/>
  <c r="BA83" i="5"/>
  <c r="AV83" i="5"/>
  <c r="AZ83" i="5" s="1"/>
  <c r="AF70" i="5"/>
  <c r="AD70" i="5"/>
  <c r="AY84" i="5"/>
  <c r="E90" i="5" s="1"/>
  <c r="AT84" i="5"/>
  <c r="AW84" i="5" s="1"/>
  <c r="AJ126" i="1"/>
  <c r="BB84" i="5"/>
  <c r="BL83" i="5"/>
  <c r="BG83" i="5"/>
  <c r="BK83" i="5" s="1"/>
  <c r="L210" i="1"/>
  <c r="AI126" i="1"/>
  <c r="AI84" i="5"/>
  <c r="AL84" i="5" s="1"/>
  <c r="AN84" i="5"/>
  <c r="D90" i="5" s="1"/>
  <c r="AQ84" i="5"/>
  <c r="E172" i="3"/>
  <c r="F172" i="3" s="1"/>
  <c r="D173" i="3"/>
  <c r="CF198" i="1" l="1"/>
  <c r="Q199" i="1"/>
  <c r="AA198" i="1"/>
  <c r="AN198" i="1" s="1"/>
  <c r="CG197" i="1"/>
  <c r="CH197" i="1" s="1"/>
  <c r="CL197" i="1"/>
  <c r="CK197" i="1"/>
  <c r="CM197" i="1"/>
  <c r="CJ197" i="1"/>
  <c r="CI197" i="1"/>
  <c r="AT85" i="5"/>
  <c r="AW85" i="5" s="1"/>
  <c r="AY85" i="5"/>
  <c r="E91" i="5" s="1"/>
  <c r="AJ127" i="1"/>
  <c r="BB85" i="5"/>
  <c r="AP84" i="5"/>
  <c r="AK84" i="5"/>
  <c r="AO84" i="5" s="1"/>
  <c r="AI85" i="5"/>
  <c r="AL85" i="5" s="1"/>
  <c r="AN85" i="5"/>
  <c r="D91" i="5" s="1"/>
  <c r="AI127" i="1"/>
  <c r="AQ85" i="5"/>
  <c r="AC71" i="5"/>
  <c r="C77" i="5" s="1"/>
  <c r="G71" i="5" s="1"/>
  <c r="AO108" i="1" s="1"/>
  <c r="AP108" i="1" s="1"/>
  <c r="AH113" i="1"/>
  <c r="AM113" i="1" s="1"/>
  <c r="AN113" i="1" s="1"/>
  <c r="X71" i="5"/>
  <c r="AA71" i="5" s="1"/>
  <c r="BL84" i="5"/>
  <c r="BG84" i="5"/>
  <c r="BK84" i="5" s="1"/>
  <c r="BA84" i="5"/>
  <c r="AV84" i="5"/>
  <c r="AZ84" i="5" s="1"/>
  <c r="AK127" i="1"/>
  <c r="BJ85" i="5"/>
  <c r="F91" i="5" s="1"/>
  <c r="BE85" i="5"/>
  <c r="BH85" i="5" s="1"/>
  <c r="BM85" i="5"/>
  <c r="L211" i="1"/>
  <c r="D174" i="3"/>
  <c r="E173" i="3"/>
  <c r="F173" i="3" s="1"/>
  <c r="CF199" i="1" l="1"/>
  <c r="Q200" i="1"/>
  <c r="AA199" i="1"/>
  <c r="AN199" i="1" s="1"/>
  <c r="CG198" i="1"/>
  <c r="CH198" i="1" s="1"/>
  <c r="CJ198" i="1"/>
  <c r="CM198" i="1"/>
  <c r="CL198" i="1"/>
  <c r="CK198" i="1"/>
  <c r="CI198" i="1"/>
  <c r="AP85" i="5"/>
  <c r="AK85" i="5"/>
  <c r="AO85" i="5" s="1"/>
  <c r="AN86" i="5"/>
  <c r="D92" i="5" s="1"/>
  <c r="AI86" i="5"/>
  <c r="AL86" i="5" s="1"/>
  <c r="AI128" i="1"/>
  <c r="AQ86" i="5"/>
  <c r="AE71" i="5"/>
  <c r="Z71" i="5"/>
  <c r="L212" i="1"/>
  <c r="BE86" i="5"/>
  <c r="BH86" i="5" s="1"/>
  <c r="BJ86" i="5"/>
  <c r="F92" i="5" s="1"/>
  <c r="AK128" i="1"/>
  <c r="BM86" i="5"/>
  <c r="BL85" i="5"/>
  <c r="BG85" i="5"/>
  <c r="BK85" i="5" s="1"/>
  <c r="AY86" i="5"/>
  <c r="E92" i="5" s="1"/>
  <c r="AJ128" i="1"/>
  <c r="AT86" i="5"/>
  <c r="AW86" i="5" s="1"/>
  <c r="BB86" i="5"/>
  <c r="BA85" i="5"/>
  <c r="AV85" i="5"/>
  <c r="AZ85" i="5" s="1"/>
  <c r="D175" i="3"/>
  <c r="E174" i="3"/>
  <c r="F174" i="3" s="1"/>
  <c r="CF200" i="1" l="1"/>
  <c r="Q201" i="1"/>
  <c r="AA200" i="1"/>
  <c r="AN200" i="1" s="1"/>
  <c r="CM199" i="1"/>
  <c r="CG199" i="1"/>
  <c r="CH199" i="1" s="1"/>
  <c r="CJ199" i="1"/>
  <c r="CK199" i="1"/>
  <c r="CL199" i="1"/>
  <c r="CI199" i="1"/>
  <c r="BL86" i="5"/>
  <c r="BG86" i="5"/>
  <c r="BK86" i="5" s="1"/>
  <c r="BJ87" i="5"/>
  <c r="F93" i="5" s="1"/>
  <c r="BE87" i="5"/>
  <c r="BH87" i="5" s="1"/>
  <c r="AK129" i="1"/>
  <c r="BM87" i="5"/>
  <c r="L213" i="1"/>
  <c r="AV86" i="5"/>
  <c r="AZ86" i="5" s="1"/>
  <c r="BA86" i="5"/>
  <c r="AP86" i="5"/>
  <c r="AK86" i="5"/>
  <c r="AO86" i="5" s="1"/>
  <c r="AF71" i="5"/>
  <c r="AD71" i="5"/>
  <c r="AN87" i="5"/>
  <c r="D93" i="5" s="1"/>
  <c r="AI87" i="5"/>
  <c r="AL87" i="5" s="1"/>
  <c r="AI129" i="1"/>
  <c r="AQ87" i="5"/>
  <c r="AY87" i="5"/>
  <c r="E93" i="5" s="1"/>
  <c r="AT87" i="5"/>
  <c r="AW87" i="5" s="1"/>
  <c r="AJ129" i="1"/>
  <c r="BB87" i="5"/>
  <c r="D176" i="3"/>
  <c r="E175" i="3"/>
  <c r="F175" i="3" s="1"/>
  <c r="CF201" i="1" l="1"/>
  <c r="Q202" i="1"/>
  <c r="AA201" i="1"/>
  <c r="AN201" i="1" s="1"/>
  <c r="CM200" i="1"/>
  <c r="CL200" i="1"/>
  <c r="CG200" i="1"/>
  <c r="CH200" i="1" s="1"/>
  <c r="CK200" i="1"/>
  <c r="CJ200" i="1"/>
  <c r="CI200" i="1"/>
  <c r="AC72" i="5"/>
  <c r="C78" i="5" s="1"/>
  <c r="G72" i="5" s="1"/>
  <c r="AO109" i="1" s="1"/>
  <c r="AP109" i="1" s="1"/>
  <c r="X72" i="5"/>
  <c r="AA72" i="5" s="1"/>
  <c r="AH114" i="1"/>
  <c r="AM114" i="1" s="1"/>
  <c r="AN114" i="1" s="1"/>
  <c r="AP87" i="5"/>
  <c r="AK87" i="5"/>
  <c r="AO87" i="5" s="1"/>
  <c r="AK130" i="1"/>
  <c r="BJ88" i="5"/>
  <c r="F94" i="5" s="1"/>
  <c r="BE88" i="5"/>
  <c r="BH88" i="5" s="1"/>
  <c r="BM88" i="5"/>
  <c r="BL87" i="5"/>
  <c r="BG87" i="5"/>
  <c r="BK87" i="5" s="1"/>
  <c r="AN88" i="5"/>
  <c r="D94" i="5" s="1"/>
  <c r="AI130" i="1"/>
  <c r="AI88" i="5"/>
  <c r="AL88" i="5" s="1"/>
  <c r="AQ88" i="5"/>
  <c r="L214" i="1"/>
  <c r="AY88" i="5"/>
  <c r="E94" i="5" s="1"/>
  <c r="AT88" i="5"/>
  <c r="AW88" i="5" s="1"/>
  <c r="AJ130" i="1"/>
  <c r="BB88" i="5"/>
  <c r="AV87" i="5"/>
  <c r="AZ87" i="5" s="1"/>
  <c r="BA87" i="5"/>
  <c r="E176" i="3"/>
  <c r="F176" i="3" s="1"/>
  <c r="D177" i="3"/>
  <c r="CF202" i="1" l="1"/>
  <c r="Q203" i="1"/>
  <c r="AA202" i="1"/>
  <c r="AN202" i="1" s="1"/>
  <c r="CG201" i="1"/>
  <c r="CH201" i="1" s="1"/>
  <c r="CL201" i="1"/>
  <c r="CM201" i="1"/>
  <c r="CK201" i="1"/>
  <c r="CJ201" i="1"/>
  <c r="CI201" i="1"/>
  <c r="L215" i="1"/>
  <c r="BL88" i="5"/>
  <c r="BG88" i="5"/>
  <c r="BK88" i="5" s="1"/>
  <c r="AY89" i="5"/>
  <c r="E95" i="5" s="1"/>
  <c r="AJ131" i="1"/>
  <c r="AT89" i="5"/>
  <c r="AW89" i="5" s="1"/>
  <c r="BB89" i="5"/>
  <c r="AN89" i="5"/>
  <c r="D95" i="5" s="1"/>
  <c r="AI131" i="1"/>
  <c r="AI89" i="5"/>
  <c r="AL89" i="5" s="1"/>
  <c r="AQ89" i="5"/>
  <c r="BJ89" i="5"/>
  <c r="F95" i="5" s="1"/>
  <c r="AK131" i="1"/>
  <c r="BE89" i="5"/>
  <c r="BH89" i="5" s="1"/>
  <c r="BM89" i="5"/>
  <c r="BA88" i="5"/>
  <c r="AV88" i="5"/>
  <c r="AZ88" i="5" s="1"/>
  <c r="AK88" i="5"/>
  <c r="AO88" i="5" s="1"/>
  <c r="AP88" i="5"/>
  <c r="AE72" i="5"/>
  <c r="Z72" i="5"/>
  <c r="E177" i="3"/>
  <c r="F177" i="3" s="1"/>
  <c r="D178" i="3"/>
  <c r="CM202" i="1" l="1"/>
  <c r="CK202" i="1"/>
  <c r="CG202" i="1"/>
  <c r="CH202" i="1" s="1"/>
  <c r="CJ202" i="1"/>
  <c r="CL202" i="1"/>
  <c r="CI202" i="1"/>
  <c r="CF203" i="1"/>
  <c r="CI203" i="1" s="1"/>
  <c r="Q204" i="1"/>
  <c r="AA203" i="1"/>
  <c r="AN203" i="1" s="1"/>
  <c r="BE90" i="5"/>
  <c r="BH90" i="5" s="1"/>
  <c r="BJ90" i="5"/>
  <c r="F96" i="5" s="1"/>
  <c r="AK132" i="1"/>
  <c r="BM90" i="5"/>
  <c r="BL89" i="5"/>
  <c r="BG89" i="5"/>
  <c r="BK89" i="5" s="1"/>
  <c r="AF72" i="5"/>
  <c r="AD72" i="5"/>
  <c r="AY90" i="5"/>
  <c r="E96" i="5" s="1"/>
  <c r="AT90" i="5"/>
  <c r="AW90" i="5" s="1"/>
  <c r="AJ132" i="1"/>
  <c r="BB90" i="5"/>
  <c r="AN90" i="5"/>
  <c r="D96" i="5" s="1"/>
  <c r="AI132" i="1"/>
  <c r="AI90" i="5"/>
  <c r="AL90" i="5" s="1"/>
  <c r="AQ90" i="5"/>
  <c r="AP89" i="5"/>
  <c r="AK89" i="5"/>
  <c r="AO89" i="5" s="1"/>
  <c r="BA89" i="5"/>
  <c r="AV89" i="5"/>
  <c r="AZ89" i="5" s="1"/>
  <c r="L216" i="1"/>
  <c r="D179" i="3"/>
  <c r="E178" i="3"/>
  <c r="F178" i="3" s="1"/>
  <c r="CF204" i="1" l="1"/>
  <c r="CI204" i="1" s="1"/>
  <c r="Q205" i="1"/>
  <c r="AA204" i="1"/>
  <c r="AN204" i="1" s="1"/>
  <c r="CK203" i="1"/>
  <c r="CM203" i="1"/>
  <c r="CL203" i="1"/>
  <c r="CJ203" i="1"/>
  <c r="CG203" i="1"/>
  <c r="CH203" i="1" s="1"/>
  <c r="AK90" i="5"/>
  <c r="AO90" i="5" s="1"/>
  <c r="AP90" i="5"/>
  <c r="L217" i="1"/>
  <c r="AH115" i="1"/>
  <c r="AM115" i="1" s="1"/>
  <c r="AN115" i="1" s="1"/>
  <c r="AC73" i="5"/>
  <c r="C79" i="5" s="1"/>
  <c r="G73" i="5" s="1"/>
  <c r="AO110" i="1" s="1"/>
  <c r="AP110" i="1" s="1"/>
  <c r="X73" i="5"/>
  <c r="AA73" i="5" s="1"/>
  <c r="BA90" i="5"/>
  <c r="AV90" i="5"/>
  <c r="AZ90" i="5" s="1"/>
  <c r="AN91" i="5"/>
  <c r="D97" i="5" s="1"/>
  <c r="AI133" i="1"/>
  <c r="AI91" i="5"/>
  <c r="AL91" i="5" s="1"/>
  <c r="AQ91" i="5"/>
  <c r="AY91" i="5"/>
  <c r="E97" i="5" s="1"/>
  <c r="AJ133" i="1"/>
  <c r="AT91" i="5"/>
  <c r="AW91" i="5" s="1"/>
  <c r="BB91" i="5"/>
  <c r="BJ91" i="5"/>
  <c r="F97" i="5" s="1"/>
  <c r="BE91" i="5"/>
  <c r="BH91" i="5" s="1"/>
  <c r="AK133" i="1"/>
  <c r="BM91" i="5"/>
  <c r="BL90" i="5"/>
  <c r="BG90" i="5"/>
  <c r="BK90" i="5" s="1"/>
  <c r="E179" i="3"/>
  <c r="F179" i="3" s="1"/>
  <c r="D180" i="3"/>
  <c r="CF205" i="1" l="1"/>
  <c r="Q206" i="1"/>
  <c r="AA205" i="1"/>
  <c r="AN205" i="1" s="1"/>
  <c r="CG204" i="1"/>
  <c r="CH204" i="1" s="1"/>
  <c r="CK204" i="1"/>
  <c r="CL204" i="1"/>
  <c r="CM204" i="1"/>
  <c r="CJ204" i="1"/>
  <c r="BA91" i="5"/>
  <c r="AV91" i="5"/>
  <c r="AZ91" i="5" s="1"/>
  <c r="AE73" i="5"/>
  <c r="Z73" i="5"/>
  <c r="BL91" i="5"/>
  <c r="BG91" i="5"/>
  <c r="BK91" i="5" s="1"/>
  <c r="AI134" i="1"/>
  <c r="AI92" i="5"/>
  <c r="AL92" i="5" s="1"/>
  <c r="AN92" i="5"/>
  <c r="D98" i="5" s="1"/>
  <c r="AQ92" i="5"/>
  <c r="AP91" i="5"/>
  <c r="AK91" i="5"/>
  <c r="AO91" i="5" s="1"/>
  <c r="BJ92" i="5"/>
  <c r="F98" i="5" s="1"/>
  <c r="BE92" i="5"/>
  <c r="BH92" i="5" s="1"/>
  <c r="AK134" i="1"/>
  <c r="BM92" i="5"/>
  <c r="L218" i="1"/>
  <c r="AY92" i="5"/>
  <c r="E98" i="5" s="1"/>
  <c r="AJ134" i="1"/>
  <c r="AT92" i="5"/>
  <c r="AW92" i="5" s="1"/>
  <c r="BB92" i="5"/>
  <c r="E180" i="3"/>
  <c r="F180" i="3" s="1"/>
  <c r="D181" i="3"/>
  <c r="CG205" i="1" l="1"/>
  <c r="CH205" i="1" s="1"/>
  <c r="CM205" i="1"/>
  <c r="CK205" i="1"/>
  <c r="CL205" i="1"/>
  <c r="CJ205" i="1"/>
  <c r="CI205" i="1"/>
  <c r="CF206" i="1"/>
  <c r="Q207" i="1"/>
  <c r="AA206" i="1"/>
  <c r="AN206" i="1" s="1"/>
  <c r="CI206" i="1"/>
  <c r="BE93" i="5"/>
  <c r="BH93" i="5" s="1"/>
  <c r="AK135" i="1"/>
  <c r="BJ93" i="5"/>
  <c r="F99" i="5" s="1"/>
  <c r="BM93" i="5"/>
  <c r="AY93" i="5"/>
  <c r="E99" i="5" s="1"/>
  <c r="AJ135" i="1"/>
  <c r="AT93" i="5"/>
  <c r="AW93" i="5" s="1"/>
  <c r="BB93" i="5"/>
  <c r="AP92" i="5"/>
  <c r="AK92" i="5"/>
  <c r="AO92" i="5" s="1"/>
  <c r="BA92" i="5"/>
  <c r="AV92" i="5"/>
  <c r="AZ92" i="5" s="1"/>
  <c r="BL92" i="5"/>
  <c r="BG92" i="5"/>
  <c r="BK92" i="5" s="1"/>
  <c r="AN93" i="5"/>
  <c r="D99" i="5" s="1"/>
  <c r="AI135" i="1"/>
  <c r="AI93" i="5"/>
  <c r="AL93" i="5" s="1"/>
  <c r="AQ93" i="5"/>
  <c r="AF73" i="5"/>
  <c r="AD73" i="5"/>
  <c r="L219" i="1"/>
  <c r="D182" i="3"/>
  <c r="E181" i="3"/>
  <c r="F181" i="3" s="1"/>
  <c r="CF207" i="1" l="1"/>
  <c r="Q208" i="1"/>
  <c r="AA207" i="1"/>
  <c r="AN207" i="1" s="1"/>
  <c r="CK206" i="1"/>
  <c r="CM206" i="1"/>
  <c r="CL206" i="1"/>
  <c r="CJ206" i="1"/>
  <c r="CG206" i="1"/>
  <c r="CH206" i="1" s="1"/>
  <c r="CI207" i="1"/>
  <c r="AY94" i="5"/>
  <c r="E100" i="5" s="1"/>
  <c r="AJ136" i="1"/>
  <c r="AT94" i="5"/>
  <c r="AW94" i="5" s="1"/>
  <c r="BB94" i="5"/>
  <c r="BJ94" i="5"/>
  <c r="F100" i="5" s="1"/>
  <c r="BE94" i="5"/>
  <c r="BH94" i="5" s="1"/>
  <c r="AK136" i="1"/>
  <c r="BM94" i="5"/>
  <c r="BA93" i="5"/>
  <c r="AV93" i="5"/>
  <c r="AZ93" i="5" s="1"/>
  <c r="AN94" i="5"/>
  <c r="D100" i="5" s="1"/>
  <c r="AI136" i="1"/>
  <c r="AI94" i="5"/>
  <c r="AL94" i="5" s="1"/>
  <c r="AQ94" i="5"/>
  <c r="L220" i="1"/>
  <c r="AC74" i="5"/>
  <c r="C80" i="5" s="1"/>
  <c r="G74" i="5" s="1"/>
  <c r="AO111" i="1" s="1"/>
  <c r="AP111" i="1" s="1"/>
  <c r="AH116" i="1"/>
  <c r="AM116" i="1" s="1"/>
  <c r="AN116" i="1" s="1"/>
  <c r="X74" i="5"/>
  <c r="AA74" i="5" s="1"/>
  <c r="AK93" i="5"/>
  <c r="AO93" i="5" s="1"/>
  <c r="AP93" i="5"/>
  <c r="BL93" i="5"/>
  <c r="BG93" i="5"/>
  <c r="BK93" i="5" s="1"/>
  <c r="E182" i="3"/>
  <c r="F182" i="3" s="1"/>
  <c r="D183" i="3"/>
  <c r="CF208" i="1" l="1"/>
  <c r="Q209" i="1"/>
  <c r="AA208" i="1"/>
  <c r="AN208" i="1" s="1"/>
  <c r="CG207" i="1"/>
  <c r="CH207" i="1" s="1"/>
  <c r="CL207" i="1"/>
  <c r="CK207" i="1"/>
  <c r="CM207" i="1"/>
  <c r="CJ207" i="1"/>
  <c r="AN95" i="5"/>
  <c r="D101" i="5" s="1"/>
  <c r="AI95" i="5"/>
  <c r="AL95" i="5" s="1"/>
  <c r="AI137" i="1"/>
  <c r="AQ95" i="5"/>
  <c r="BE95" i="5"/>
  <c r="BH95" i="5" s="1"/>
  <c r="BJ95" i="5"/>
  <c r="F101" i="5" s="1"/>
  <c r="AK137" i="1"/>
  <c r="BM95" i="5"/>
  <c r="L221" i="1"/>
  <c r="AY95" i="5"/>
  <c r="E101" i="5" s="1"/>
  <c r="AJ137" i="1"/>
  <c r="AT95" i="5"/>
  <c r="AW95" i="5" s="1"/>
  <c r="BB95" i="5"/>
  <c r="AE74" i="5"/>
  <c r="Z74" i="5"/>
  <c r="BA94" i="5"/>
  <c r="AV94" i="5"/>
  <c r="AZ94" i="5" s="1"/>
  <c r="AP94" i="5"/>
  <c r="AK94" i="5"/>
  <c r="AO94" i="5" s="1"/>
  <c r="BL94" i="5"/>
  <c r="BG94" i="5"/>
  <c r="BK94" i="5" s="1"/>
  <c r="D184" i="3"/>
  <c r="E183" i="3"/>
  <c r="F183" i="3" s="1"/>
  <c r="CF209" i="1" l="1"/>
  <c r="Q210" i="1"/>
  <c r="AA209" i="1"/>
  <c r="AN209" i="1" s="1"/>
  <c r="CK208" i="1"/>
  <c r="CM208" i="1"/>
  <c r="CG208" i="1"/>
  <c r="CH208" i="1" s="1"/>
  <c r="CL208" i="1"/>
  <c r="CJ208" i="1"/>
  <c r="CI208" i="1"/>
  <c r="BA95" i="5"/>
  <c r="AV95" i="5"/>
  <c r="AZ95" i="5" s="1"/>
  <c r="AF74" i="5"/>
  <c r="AD74" i="5"/>
  <c r="L222" i="1"/>
  <c r="AK138" i="1"/>
  <c r="BJ96" i="5"/>
  <c r="F102" i="5" s="1"/>
  <c r="BE96" i="5"/>
  <c r="BH96" i="5" s="1"/>
  <c r="BM96" i="5"/>
  <c r="AP95" i="5"/>
  <c r="AK95" i="5"/>
  <c r="AO95" i="5" s="1"/>
  <c r="AT96" i="5"/>
  <c r="AW96" i="5" s="1"/>
  <c r="AJ138" i="1"/>
  <c r="AY96" i="5"/>
  <c r="E102" i="5" s="1"/>
  <c r="BB96" i="5"/>
  <c r="BL95" i="5"/>
  <c r="BG95" i="5"/>
  <c r="BK95" i="5" s="1"/>
  <c r="AI138" i="1"/>
  <c r="AI96" i="5"/>
  <c r="AL96" i="5" s="1"/>
  <c r="AN96" i="5"/>
  <c r="D102" i="5" s="1"/>
  <c r="AQ96" i="5"/>
  <c r="D185" i="3"/>
  <c r="E184" i="3"/>
  <c r="F184" i="3" s="1"/>
  <c r="CF210" i="1" l="1"/>
  <c r="Q211" i="1"/>
  <c r="AA210" i="1"/>
  <c r="AN210" i="1" s="1"/>
  <c r="CK209" i="1"/>
  <c r="CL209" i="1"/>
  <c r="CM209" i="1"/>
  <c r="CJ209" i="1"/>
  <c r="CG209" i="1"/>
  <c r="CH209" i="1" s="1"/>
  <c r="CI209" i="1"/>
  <c r="AY97" i="5"/>
  <c r="E103" i="5" s="1"/>
  <c r="AJ139" i="1"/>
  <c r="AT97" i="5"/>
  <c r="AW97" i="5" s="1"/>
  <c r="BB97" i="5"/>
  <c r="BA96" i="5"/>
  <c r="AV96" i="5"/>
  <c r="AZ96" i="5" s="1"/>
  <c r="BL96" i="5"/>
  <c r="BG96" i="5"/>
  <c r="BK96" i="5" s="1"/>
  <c r="AN97" i="5"/>
  <c r="D103" i="5" s="1"/>
  <c r="AI97" i="5"/>
  <c r="AL97" i="5" s="1"/>
  <c r="AI139" i="1"/>
  <c r="AQ97" i="5"/>
  <c r="AK139" i="1"/>
  <c r="BJ97" i="5"/>
  <c r="F103" i="5" s="1"/>
  <c r="BE97" i="5"/>
  <c r="BH97" i="5" s="1"/>
  <c r="BM97" i="5"/>
  <c r="L223" i="1"/>
  <c r="AP96" i="5"/>
  <c r="AK96" i="5"/>
  <c r="AO96" i="5" s="1"/>
  <c r="AC75" i="5"/>
  <c r="C81" i="5" s="1"/>
  <c r="G75" i="5" s="1"/>
  <c r="AO112" i="1" s="1"/>
  <c r="AP112" i="1" s="1"/>
  <c r="AH117" i="1"/>
  <c r="AM117" i="1" s="1"/>
  <c r="AN117" i="1" s="1"/>
  <c r="X75" i="5"/>
  <c r="AA75" i="5" s="1"/>
  <c r="E185" i="3"/>
  <c r="F185" i="3" s="1"/>
  <c r="D186" i="3"/>
  <c r="CI211" i="1" l="1"/>
  <c r="CF211" i="1"/>
  <c r="Q212" i="1"/>
  <c r="AA211" i="1"/>
  <c r="AN211" i="1" s="1"/>
  <c r="CL210" i="1"/>
  <c r="CG210" i="1"/>
  <c r="CH210" i="1" s="1"/>
  <c r="CK210" i="1"/>
  <c r="CJ210" i="1"/>
  <c r="CM210" i="1"/>
  <c r="CI210" i="1"/>
  <c r="AK140" i="1"/>
  <c r="BJ98" i="5"/>
  <c r="F104" i="5" s="1"/>
  <c r="BE98" i="5"/>
  <c r="BH98" i="5" s="1"/>
  <c r="BM98" i="5"/>
  <c r="AP97" i="5"/>
  <c r="AK97" i="5"/>
  <c r="AO97" i="5" s="1"/>
  <c r="AY98" i="5"/>
  <c r="E104" i="5" s="1"/>
  <c r="AT98" i="5"/>
  <c r="AW98" i="5" s="1"/>
  <c r="AJ140" i="1"/>
  <c r="BB98" i="5"/>
  <c r="AE75" i="5"/>
  <c r="Z75" i="5"/>
  <c r="AV97" i="5"/>
  <c r="AZ97" i="5" s="1"/>
  <c r="BA97" i="5"/>
  <c r="BL97" i="5"/>
  <c r="BG97" i="5"/>
  <c r="BK97" i="5" s="1"/>
  <c r="AN98" i="5"/>
  <c r="D104" i="5" s="1"/>
  <c r="AI140" i="1"/>
  <c r="AI98" i="5"/>
  <c r="AL98" i="5" s="1"/>
  <c r="AQ98" i="5"/>
  <c r="L224" i="1"/>
  <c r="D187" i="3"/>
  <c r="E186" i="3"/>
  <c r="F186" i="3" s="1"/>
  <c r="CF212" i="1" l="1"/>
  <c r="Q213" i="1"/>
  <c r="AA212" i="1"/>
  <c r="AN212" i="1" s="1"/>
  <c r="CL211" i="1"/>
  <c r="CM211" i="1"/>
  <c r="CG211" i="1"/>
  <c r="CH211" i="1" s="1"/>
  <c r="CJ211" i="1"/>
  <c r="CK211" i="1"/>
  <c r="AY99" i="5"/>
  <c r="E105" i="5" s="1"/>
  <c r="AT99" i="5"/>
  <c r="AW99" i="5" s="1"/>
  <c r="AJ141" i="1"/>
  <c r="BB99" i="5"/>
  <c r="L225" i="1"/>
  <c r="BA98" i="5"/>
  <c r="AV98" i="5"/>
  <c r="AZ98" i="5" s="1"/>
  <c r="BJ99" i="5"/>
  <c r="F105" i="5" s="1"/>
  <c r="BE99" i="5"/>
  <c r="BH99" i="5" s="1"/>
  <c r="AK141" i="1"/>
  <c r="BM99" i="5"/>
  <c r="AI141" i="1"/>
  <c r="AN99" i="5"/>
  <c r="D105" i="5" s="1"/>
  <c r="AI99" i="5"/>
  <c r="AL99" i="5" s="1"/>
  <c r="AQ99" i="5"/>
  <c r="AP98" i="5"/>
  <c r="AK98" i="5"/>
  <c r="AO98" i="5" s="1"/>
  <c r="BL98" i="5"/>
  <c r="BG98" i="5"/>
  <c r="BK98" i="5" s="1"/>
  <c r="AF75" i="5"/>
  <c r="AD75" i="5"/>
  <c r="E187" i="3"/>
  <c r="F187" i="3" s="1"/>
  <c r="D188" i="3"/>
  <c r="CF213" i="1" l="1"/>
  <c r="Q214" i="1"/>
  <c r="AA213" i="1"/>
  <c r="AN213" i="1" s="1"/>
  <c r="CK212" i="1"/>
  <c r="CJ212" i="1"/>
  <c r="CG212" i="1"/>
  <c r="CH212" i="1" s="1"/>
  <c r="CL212" i="1"/>
  <c r="CM212" i="1"/>
  <c r="CI212" i="1"/>
  <c r="CI213" i="1"/>
  <c r="AP99" i="5"/>
  <c r="AK99" i="5"/>
  <c r="AO99" i="5" s="1"/>
  <c r="AI100" i="5"/>
  <c r="AL100" i="5" s="1"/>
  <c r="AN100" i="5"/>
  <c r="D106" i="5" s="1"/>
  <c r="AI142" i="1"/>
  <c r="AQ100" i="5"/>
  <c r="BE100" i="5"/>
  <c r="BH100" i="5" s="1"/>
  <c r="BJ100" i="5"/>
  <c r="F106" i="5" s="1"/>
  <c r="AK142" i="1"/>
  <c r="BM100" i="5"/>
  <c r="BL99" i="5"/>
  <c r="BG99" i="5"/>
  <c r="BK99" i="5" s="1"/>
  <c r="AC76" i="5"/>
  <c r="C82" i="5" s="1"/>
  <c r="G76" i="5" s="1"/>
  <c r="AO113" i="1" s="1"/>
  <c r="AP113" i="1" s="1"/>
  <c r="AH118" i="1"/>
  <c r="AM118" i="1" s="1"/>
  <c r="AN118" i="1" s="1"/>
  <c r="X76" i="5"/>
  <c r="AA76" i="5" s="1"/>
  <c r="L226" i="1"/>
  <c r="AY100" i="5"/>
  <c r="E106" i="5" s="1"/>
  <c r="AJ142" i="1"/>
  <c r="AT100" i="5"/>
  <c r="AW100" i="5" s="1"/>
  <c r="BB100" i="5"/>
  <c r="BA99" i="5"/>
  <c r="AV99" i="5"/>
  <c r="AZ99" i="5" s="1"/>
  <c r="E188" i="3"/>
  <c r="F188" i="3" s="1"/>
  <c r="D189" i="3"/>
  <c r="CF214" i="1" l="1"/>
  <c r="Q215" i="1"/>
  <c r="AA214" i="1"/>
  <c r="AN214" i="1" s="1"/>
  <c r="CL213" i="1"/>
  <c r="CK213" i="1"/>
  <c r="CM213" i="1"/>
  <c r="CJ213" i="1"/>
  <c r="CG213" i="1"/>
  <c r="CH213" i="1" s="1"/>
  <c r="AN101" i="5"/>
  <c r="D107" i="5" s="1"/>
  <c r="AI101" i="5"/>
  <c r="AL101" i="5" s="1"/>
  <c r="AI143" i="1"/>
  <c r="AQ101" i="5"/>
  <c r="AP100" i="5"/>
  <c r="AK100" i="5"/>
  <c r="AO100" i="5" s="1"/>
  <c r="BJ101" i="5"/>
  <c r="F107" i="5" s="1"/>
  <c r="AK143" i="1"/>
  <c r="BE101" i="5"/>
  <c r="BH101" i="5" s="1"/>
  <c r="BM101" i="5"/>
  <c r="BL100" i="5"/>
  <c r="BG100" i="5"/>
  <c r="BK100" i="5" s="1"/>
  <c r="BA100" i="5"/>
  <c r="AV100" i="5"/>
  <c r="AZ100" i="5" s="1"/>
  <c r="L227" i="1"/>
  <c r="AE76" i="5"/>
  <c r="Z76" i="5"/>
  <c r="AY101" i="5"/>
  <c r="E107" i="5" s="1"/>
  <c r="AT101" i="5"/>
  <c r="AW101" i="5" s="1"/>
  <c r="AJ143" i="1"/>
  <c r="BB101" i="5"/>
  <c r="E189" i="3"/>
  <c r="F189" i="3" s="1"/>
  <c r="D190" i="3"/>
  <c r="CF215" i="1" l="1"/>
  <c r="Q216" i="1"/>
  <c r="AA215" i="1"/>
  <c r="AN215" i="1" s="1"/>
  <c r="CK214" i="1"/>
  <c r="CL214" i="1"/>
  <c r="CM214" i="1"/>
  <c r="CJ214" i="1"/>
  <c r="CG214" i="1"/>
  <c r="CH214" i="1" s="1"/>
  <c r="CI214" i="1"/>
  <c r="BL101" i="5"/>
  <c r="BG101" i="5"/>
  <c r="BK101" i="5" s="1"/>
  <c r="AK144" i="1"/>
  <c r="BE102" i="5"/>
  <c r="BH102" i="5" s="1"/>
  <c r="BJ102" i="5"/>
  <c r="F108" i="5" s="1"/>
  <c r="BM102" i="5"/>
  <c r="L228" i="1"/>
  <c r="AT102" i="5"/>
  <c r="AW102" i="5" s="1"/>
  <c r="AJ144" i="1"/>
  <c r="AY102" i="5"/>
  <c r="E108" i="5" s="1"/>
  <c r="BB102" i="5"/>
  <c r="BA101" i="5"/>
  <c r="AV101" i="5"/>
  <c r="AZ101" i="5" s="1"/>
  <c r="AN102" i="5"/>
  <c r="D108" i="5" s="1"/>
  <c r="AI144" i="1"/>
  <c r="AI102" i="5"/>
  <c r="AL102" i="5" s="1"/>
  <c r="AQ102" i="5"/>
  <c r="AF76" i="5"/>
  <c r="AD76" i="5"/>
  <c r="AP101" i="5"/>
  <c r="AK101" i="5"/>
  <c r="AO101" i="5" s="1"/>
  <c r="E190" i="3"/>
  <c r="F190" i="3" s="1"/>
  <c r="D191" i="3"/>
  <c r="CF216" i="1" l="1"/>
  <c r="CI216" i="1" s="1"/>
  <c r="Q217" i="1"/>
  <c r="AA216" i="1"/>
  <c r="AN216" i="1" s="1"/>
  <c r="CG215" i="1"/>
  <c r="CH215" i="1" s="1"/>
  <c r="CL215" i="1"/>
  <c r="CK215" i="1"/>
  <c r="CM215" i="1"/>
  <c r="CJ215" i="1"/>
  <c r="CI215" i="1"/>
  <c r="AY103" i="5"/>
  <c r="E109" i="5" s="1"/>
  <c r="AJ145" i="1"/>
  <c r="AT103" i="5"/>
  <c r="AW103" i="5" s="1"/>
  <c r="BB103" i="5"/>
  <c r="BA102" i="5"/>
  <c r="AV102" i="5"/>
  <c r="AZ102" i="5" s="1"/>
  <c r="L229" i="1"/>
  <c r="BJ103" i="5"/>
  <c r="F109" i="5" s="1"/>
  <c r="BE103" i="5"/>
  <c r="BH103" i="5" s="1"/>
  <c r="AK145" i="1"/>
  <c r="BM103" i="5"/>
  <c r="BL102" i="5"/>
  <c r="BG102" i="5"/>
  <c r="BK102" i="5" s="1"/>
  <c r="X77" i="5"/>
  <c r="AA77" i="5" s="1"/>
  <c r="AC77" i="5"/>
  <c r="C83" i="5" s="1"/>
  <c r="G77" i="5" s="1"/>
  <c r="AO114" i="1" s="1"/>
  <c r="AP114" i="1" s="1"/>
  <c r="AH119" i="1"/>
  <c r="AM119" i="1" s="1"/>
  <c r="AN119" i="1" s="1"/>
  <c r="AN103" i="5"/>
  <c r="D109" i="5" s="1"/>
  <c r="AI145" i="1"/>
  <c r="AI103" i="5"/>
  <c r="AL103" i="5" s="1"/>
  <c r="AQ103" i="5"/>
  <c r="AP102" i="5"/>
  <c r="AK102" i="5"/>
  <c r="AO102" i="5" s="1"/>
  <c r="D192" i="3"/>
  <c r="E191" i="3"/>
  <c r="F191" i="3" s="1"/>
  <c r="CF217" i="1" l="1"/>
  <c r="Q218" i="1"/>
  <c r="AA217" i="1"/>
  <c r="AN217" i="1" s="1"/>
  <c r="CK216" i="1"/>
  <c r="CM216" i="1"/>
  <c r="CG216" i="1"/>
  <c r="CH216" i="1" s="1"/>
  <c r="CL216" i="1"/>
  <c r="CJ216" i="1"/>
  <c r="BJ104" i="5"/>
  <c r="F110" i="5" s="1"/>
  <c r="AK146" i="1"/>
  <c r="BE104" i="5"/>
  <c r="BH104" i="5" s="1"/>
  <c r="BM104" i="5"/>
  <c r="BL103" i="5"/>
  <c r="BG103" i="5"/>
  <c r="BK103" i="5" s="1"/>
  <c r="AP103" i="5"/>
  <c r="AK103" i="5"/>
  <c r="AO103" i="5" s="1"/>
  <c r="AY104" i="5"/>
  <c r="E110" i="5" s="1"/>
  <c r="AJ146" i="1"/>
  <c r="AT104" i="5"/>
  <c r="AW104" i="5" s="1"/>
  <c r="BB104" i="5"/>
  <c r="AE77" i="5"/>
  <c r="Z77" i="5"/>
  <c r="L230" i="1"/>
  <c r="AI146" i="1"/>
  <c r="AN104" i="5"/>
  <c r="D110" i="5" s="1"/>
  <c r="AI104" i="5"/>
  <c r="AL104" i="5" s="1"/>
  <c r="AQ104" i="5"/>
  <c r="BA103" i="5"/>
  <c r="AV103" i="5"/>
  <c r="AZ103" i="5" s="1"/>
  <c r="E192" i="3"/>
  <c r="F192" i="3" s="1"/>
  <c r="D193" i="3"/>
  <c r="CF218" i="1" l="1"/>
  <c r="Q219" i="1"/>
  <c r="AA218" i="1"/>
  <c r="AN218" i="1" s="1"/>
  <c r="CL217" i="1"/>
  <c r="CM217" i="1"/>
  <c r="CJ217" i="1"/>
  <c r="CK217" i="1"/>
  <c r="CG217" i="1"/>
  <c r="CH217" i="1" s="1"/>
  <c r="CI218" i="1"/>
  <c r="CI217" i="1"/>
  <c r="AF77" i="5"/>
  <c r="AD77" i="5"/>
  <c r="BA104" i="5"/>
  <c r="AV104" i="5"/>
  <c r="AZ104" i="5" s="1"/>
  <c r="BL104" i="5"/>
  <c r="BG104" i="5"/>
  <c r="BK104" i="5" s="1"/>
  <c r="L231" i="1"/>
  <c r="AN105" i="5"/>
  <c r="D111" i="5" s="1"/>
  <c r="AI105" i="5"/>
  <c r="AL105" i="5" s="1"/>
  <c r="AI147" i="1"/>
  <c r="AQ105" i="5"/>
  <c r="BE105" i="5"/>
  <c r="BH105" i="5" s="1"/>
  <c r="AK147" i="1"/>
  <c r="BJ105" i="5"/>
  <c r="F111" i="5" s="1"/>
  <c r="BM105" i="5"/>
  <c r="AY105" i="5"/>
  <c r="E111" i="5" s="1"/>
  <c r="AJ147" i="1"/>
  <c r="AT105" i="5"/>
  <c r="AW105" i="5" s="1"/>
  <c r="BB105" i="5"/>
  <c r="AP104" i="5"/>
  <c r="AK104" i="5"/>
  <c r="AO104" i="5" s="1"/>
  <c r="E193" i="3"/>
  <c r="F193" i="3" s="1"/>
  <c r="D194" i="3"/>
  <c r="Q220" i="1" l="1"/>
  <c r="CF219" i="1"/>
  <c r="AA219" i="1"/>
  <c r="AN219" i="1" s="1"/>
  <c r="CM218" i="1"/>
  <c r="CL218" i="1"/>
  <c r="CK218" i="1"/>
  <c r="CJ218" i="1"/>
  <c r="CG218" i="1"/>
  <c r="CH218" i="1" s="1"/>
  <c r="AP105" i="5"/>
  <c r="AK105" i="5"/>
  <c r="AO105" i="5" s="1"/>
  <c r="L232" i="1"/>
  <c r="BL105" i="5"/>
  <c r="BG105" i="5"/>
  <c r="BK105" i="5" s="1"/>
  <c r="AY106" i="5"/>
  <c r="E112" i="5" s="1"/>
  <c r="AJ148" i="1"/>
  <c r="AT106" i="5"/>
  <c r="AW106" i="5" s="1"/>
  <c r="BB106" i="5"/>
  <c r="AI106" i="5"/>
  <c r="AL106" i="5" s="1"/>
  <c r="AI148" i="1"/>
  <c r="AN106" i="5"/>
  <c r="D112" i="5" s="1"/>
  <c r="AQ106" i="5"/>
  <c r="BE106" i="5"/>
  <c r="BH106" i="5" s="1"/>
  <c r="AK148" i="1"/>
  <c r="BJ106" i="5"/>
  <c r="F112" i="5" s="1"/>
  <c r="BM106" i="5"/>
  <c r="AV105" i="5"/>
  <c r="AZ105" i="5" s="1"/>
  <c r="BA105" i="5"/>
  <c r="AC78" i="5"/>
  <c r="C84" i="5" s="1"/>
  <c r="G78" i="5" s="1"/>
  <c r="AO115" i="1" s="1"/>
  <c r="AP115" i="1" s="1"/>
  <c r="AH120" i="1"/>
  <c r="AM120" i="1" s="1"/>
  <c r="AN120" i="1" s="1"/>
  <c r="X78" i="5"/>
  <c r="AA78" i="5" s="1"/>
  <c r="D195" i="3"/>
  <c r="E194" i="3"/>
  <c r="F194" i="3" s="1"/>
  <c r="CG219" i="1" l="1"/>
  <c r="CH219" i="1" s="1"/>
  <c r="CK219" i="1"/>
  <c r="CL219" i="1"/>
  <c r="CM219" i="1"/>
  <c r="CJ219" i="1"/>
  <c r="CI219" i="1"/>
  <c r="Q221" i="1"/>
  <c r="CF220" i="1"/>
  <c r="AA220" i="1"/>
  <c r="AN220" i="1" s="1"/>
  <c r="BL106" i="5"/>
  <c r="BG106" i="5"/>
  <c r="BK106" i="5" s="1"/>
  <c r="BA106" i="5"/>
  <c r="AV106" i="5"/>
  <c r="AZ106" i="5" s="1"/>
  <c r="AP106" i="5"/>
  <c r="AK106" i="5"/>
  <c r="AO106" i="5" s="1"/>
  <c r="AI107" i="5"/>
  <c r="AL107" i="5" s="1"/>
  <c r="AN107" i="5"/>
  <c r="D113" i="5" s="1"/>
  <c r="AI149" i="1"/>
  <c r="AQ107" i="5"/>
  <c r="L233" i="1"/>
  <c r="AE78" i="5"/>
  <c r="Z78" i="5"/>
  <c r="BJ107" i="5"/>
  <c r="F113" i="5" s="1"/>
  <c r="AK149" i="1"/>
  <c r="BE107" i="5"/>
  <c r="BH107" i="5" s="1"/>
  <c r="BM107" i="5"/>
  <c r="AY107" i="5"/>
  <c r="E113" i="5" s="1"/>
  <c r="AT107" i="5"/>
  <c r="AW107" i="5" s="1"/>
  <c r="AJ149" i="1"/>
  <c r="BB107" i="5"/>
  <c r="D196" i="3"/>
  <c r="E195" i="3"/>
  <c r="F195" i="3" s="1"/>
  <c r="CM220" i="1" l="1"/>
  <c r="CL220" i="1"/>
  <c r="CG220" i="1"/>
  <c r="CH220" i="1" s="1"/>
  <c r="CK220" i="1"/>
  <c r="CJ220" i="1"/>
  <c r="CI220" i="1"/>
  <c r="Q222" i="1"/>
  <c r="CF221" i="1"/>
  <c r="AA221" i="1"/>
  <c r="AN221" i="1" s="1"/>
  <c r="AF78" i="5"/>
  <c r="AD78" i="5"/>
  <c r="L234" i="1"/>
  <c r="BA107" i="5"/>
  <c r="AV107" i="5"/>
  <c r="AZ107" i="5" s="1"/>
  <c r="AY108" i="5"/>
  <c r="E114" i="5" s="1"/>
  <c r="AJ150" i="1"/>
  <c r="AT108" i="5"/>
  <c r="AW108" i="5" s="1"/>
  <c r="BB108" i="5"/>
  <c r="BJ108" i="5"/>
  <c r="F114" i="5" s="1"/>
  <c r="BE108" i="5"/>
  <c r="BH108" i="5" s="1"/>
  <c r="AK150" i="1"/>
  <c r="BM108" i="5"/>
  <c r="AN108" i="5"/>
  <c r="D114" i="5" s="1"/>
  <c r="AI108" i="5"/>
  <c r="AL108" i="5" s="1"/>
  <c r="AI150" i="1"/>
  <c r="AQ108" i="5"/>
  <c r="AP107" i="5"/>
  <c r="AK107" i="5"/>
  <c r="AO107" i="5" s="1"/>
  <c r="BL107" i="5"/>
  <c r="BG107" i="5"/>
  <c r="BK107" i="5" s="1"/>
  <c r="E196" i="3"/>
  <c r="F196" i="3" s="1"/>
  <c r="D197" i="3"/>
  <c r="CI221" i="1" l="1"/>
  <c r="Q223" i="1"/>
  <c r="CF222" i="1"/>
  <c r="AA222" i="1"/>
  <c r="AN222" i="1" s="1"/>
  <c r="CG221" i="1"/>
  <c r="CH221" i="1" s="1"/>
  <c r="CM221" i="1"/>
  <c r="CK221" i="1"/>
  <c r="CL221" i="1"/>
  <c r="CJ221" i="1"/>
  <c r="AP108" i="5"/>
  <c r="AK108" i="5"/>
  <c r="AO108" i="5" s="1"/>
  <c r="AY109" i="5"/>
  <c r="E115" i="5" s="1"/>
  <c r="AT109" i="5"/>
  <c r="AW109" i="5" s="1"/>
  <c r="AJ151" i="1"/>
  <c r="BB109" i="5"/>
  <c r="BE109" i="5"/>
  <c r="BH109" i="5" s="1"/>
  <c r="BJ109" i="5"/>
  <c r="F115" i="5" s="1"/>
  <c r="AK151" i="1"/>
  <c r="BM109" i="5"/>
  <c r="BA108" i="5"/>
  <c r="AV108" i="5"/>
  <c r="AZ108" i="5" s="1"/>
  <c r="AN109" i="5"/>
  <c r="D115" i="5" s="1"/>
  <c r="AI151" i="1"/>
  <c r="AI109" i="5"/>
  <c r="AL109" i="5" s="1"/>
  <c r="AQ109" i="5"/>
  <c r="BL108" i="5"/>
  <c r="BG108" i="5"/>
  <c r="BK108" i="5" s="1"/>
  <c r="L235" i="1"/>
  <c r="X79" i="5"/>
  <c r="AA79" i="5" s="1"/>
  <c r="AC79" i="5"/>
  <c r="C85" i="5" s="1"/>
  <c r="G79" i="5" s="1"/>
  <c r="AO116" i="1" s="1"/>
  <c r="AP116" i="1" s="1"/>
  <c r="AH121" i="1"/>
  <c r="AM121" i="1" s="1"/>
  <c r="AN121" i="1" s="1"/>
  <c r="D198" i="3"/>
  <c r="E197" i="3"/>
  <c r="F197" i="3" s="1"/>
  <c r="CM222" i="1" l="1"/>
  <c r="CG222" i="1"/>
  <c r="CH222" i="1" s="1"/>
  <c r="CJ222" i="1"/>
  <c r="CL222" i="1"/>
  <c r="CK222" i="1"/>
  <c r="Q224" i="1"/>
  <c r="CF223" i="1"/>
  <c r="AA223" i="1"/>
  <c r="AN223" i="1" s="1"/>
  <c r="CI222" i="1"/>
  <c r="AY110" i="5"/>
  <c r="E116" i="5" s="1"/>
  <c r="AJ152" i="1"/>
  <c r="AT110" i="5"/>
  <c r="AW110" i="5" s="1"/>
  <c r="BB110" i="5"/>
  <c r="AP109" i="5"/>
  <c r="AK109" i="5"/>
  <c r="AO109" i="5" s="1"/>
  <c r="AV109" i="5"/>
  <c r="AZ109" i="5" s="1"/>
  <c r="BA109" i="5"/>
  <c r="BJ110" i="5"/>
  <c r="F116" i="5" s="1"/>
  <c r="BE110" i="5"/>
  <c r="BH110" i="5" s="1"/>
  <c r="AK152" i="1"/>
  <c r="BM110" i="5"/>
  <c r="BL109" i="5"/>
  <c r="BG109" i="5"/>
  <c r="BK109" i="5" s="1"/>
  <c r="AE79" i="5"/>
  <c r="Z79" i="5"/>
  <c r="L236" i="1"/>
  <c r="AN110" i="5"/>
  <c r="D116" i="5" s="1"/>
  <c r="AI152" i="1"/>
  <c r="AI110" i="5"/>
  <c r="AL110" i="5" s="1"/>
  <c r="AQ110" i="5"/>
  <c r="E198" i="3"/>
  <c r="F198" i="3" s="1"/>
  <c r="D199" i="3"/>
  <c r="Q225" i="1" l="1"/>
  <c r="CF224" i="1"/>
  <c r="AA224" i="1"/>
  <c r="AN224" i="1" s="1"/>
  <c r="CK223" i="1"/>
  <c r="CL223" i="1"/>
  <c r="CJ223" i="1"/>
  <c r="CM223" i="1"/>
  <c r="CG223" i="1"/>
  <c r="CH223" i="1" s="1"/>
  <c r="CI223" i="1"/>
  <c r="CI224" i="1"/>
  <c r="AF79" i="5"/>
  <c r="AD79" i="5"/>
  <c r="BL110" i="5"/>
  <c r="BG110" i="5"/>
  <c r="BK110" i="5" s="1"/>
  <c r="AK153" i="1"/>
  <c r="BE111" i="5"/>
  <c r="BH111" i="5" s="1"/>
  <c r="BJ111" i="5"/>
  <c r="F117" i="5" s="1"/>
  <c r="BM111" i="5"/>
  <c r="AN111" i="5"/>
  <c r="D117" i="5" s="1"/>
  <c r="AI111" i="5"/>
  <c r="AL111" i="5" s="1"/>
  <c r="AI153" i="1"/>
  <c r="AQ111" i="5"/>
  <c r="AV110" i="5"/>
  <c r="AZ110" i="5" s="1"/>
  <c r="BA110" i="5"/>
  <c r="AY111" i="5"/>
  <c r="E117" i="5" s="1"/>
  <c r="AJ153" i="1"/>
  <c r="AT111" i="5"/>
  <c r="AW111" i="5" s="1"/>
  <c r="BB111" i="5"/>
  <c r="AP110" i="5"/>
  <c r="AK110" i="5"/>
  <c r="AO110" i="5" s="1"/>
  <c r="L237" i="1"/>
  <c r="E199" i="3"/>
  <c r="F199" i="3" s="1"/>
  <c r="D200" i="3"/>
  <c r="CG224" i="1" l="1"/>
  <c r="CH224" i="1" s="1"/>
  <c r="CL224" i="1"/>
  <c r="CK224" i="1"/>
  <c r="CM224" i="1"/>
  <c r="CJ224" i="1"/>
  <c r="Q226" i="1"/>
  <c r="CF225" i="1"/>
  <c r="AA225" i="1"/>
  <c r="AN225" i="1" s="1"/>
  <c r="AP111" i="5"/>
  <c r="AK111" i="5"/>
  <c r="AO111" i="5" s="1"/>
  <c r="AK154" i="1"/>
  <c r="BE112" i="5"/>
  <c r="BH112" i="5" s="1"/>
  <c r="BJ112" i="5"/>
  <c r="F118" i="5" s="1"/>
  <c r="BM112" i="5"/>
  <c r="L238" i="1"/>
  <c r="AY112" i="5"/>
  <c r="E118" i="5" s="1"/>
  <c r="AJ154" i="1"/>
  <c r="AT112" i="5"/>
  <c r="AW112" i="5" s="1"/>
  <c r="BB112" i="5"/>
  <c r="AI112" i="5"/>
  <c r="AL112" i="5" s="1"/>
  <c r="AN112" i="5"/>
  <c r="D118" i="5" s="1"/>
  <c r="AI154" i="1"/>
  <c r="AQ112" i="5"/>
  <c r="BL111" i="5"/>
  <c r="BG111" i="5"/>
  <c r="BK111" i="5" s="1"/>
  <c r="AV111" i="5"/>
  <c r="AZ111" i="5" s="1"/>
  <c r="BA111" i="5"/>
  <c r="AC80" i="5"/>
  <c r="C86" i="5" s="1"/>
  <c r="G80" i="5" s="1"/>
  <c r="AO117" i="1" s="1"/>
  <c r="AP117" i="1" s="1"/>
  <c r="AH122" i="1"/>
  <c r="AM122" i="1" s="1"/>
  <c r="AN122" i="1" s="1"/>
  <c r="X80" i="5"/>
  <c r="AA80" i="5" s="1"/>
  <c r="D201" i="3"/>
  <c r="E200" i="3"/>
  <c r="F200" i="3" s="1"/>
  <c r="Q227" i="1" l="1"/>
  <c r="CF226" i="1"/>
  <c r="AA226" i="1"/>
  <c r="AN226" i="1" s="1"/>
  <c r="CK225" i="1"/>
  <c r="CM225" i="1"/>
  <c r="CL225" i="1"/>
  <c r="CG225" i="1"/>
  <c r="CH225" i="1" s="1"/>
  <c r="CJ225" i="1"/>
  <c r="CI225" i="1"/>
  <c r="AE80" i="5"/>
  <c r="Z80" i="5"/>
  <c r="AK155" i="1"/>
  <c r="BE113" i="5"/>
  <c r="BH113" i="5" s="1"/>
  <c r="BJ113" i="5"/>
  <c r="F119" i="5" s="1"/>
  <c r="BM113" i="5"/>
  <c r="BA112" i="5"/>
  <c r="AV112" i="5"/>
  <c r="AZ112" i="5" s="1"/>
  <c r="L239" i="1"/>
  <c r="BL112" i="5"/>
  <c r="BG112" i="5"/>
  <c r="BK112" i="5" s="1"/>
  <c r="AN113" i="5"/>
  <c r="D119" i="5" s="1"/>
  <c r="AI155" i="1"/>
  <c r="AI113" i="5"/>
  <c r="AL113" i="5" s="1"/>
  <c r="AQ113" i="5"/>
  <c r="AP112" i="5"/>
  <c r="AK112" i="5"/>
  <c r="AO112" i="5" s="1"/>
  <c r="AY113" i="5"/>
  <c r="E119" i="5" s="1"/>
  <c r="AT113" i="5"/>
  <c r="AW113" i="5" s="1"/>
  <c r="AJ155" i="1"/>
  <c r="BB113" i="5"/>
  <c r="E201" i="3"/>
  <c r="F201" i="3" s="1"/>
  <c r="D202" i="3"/>
  <c r="CK226" i="1" l="1"/>
  <c r="CM226" i="1"/>
  <c r="CL226" i="1"/>
  <c r="CJ226" i="1"/>
  <c r="CG226" i="1"/>
  <c r="CH226" i="1" s="1"/>
  <c r="Q228" i="1"/>
  <c r="CF227" i="1"/>
  <c r="AA227" i="1"/>
  <c r="AN227" i="1" s="1"/>
  <c r="CI226" i="1"/>
  <c r="AN114" i="5"/>
  <c r="D120" i="5" s="1"/>
  <c r="AI114" i="5"/>
  <c r="AL114" i="5" s="1"/>
  <c r="AI156" i="1"/>
  <c r="AQ114" i="5"/>
  <c r="L240" i="1"/>
  <c r="AJ156" i="1"/>
  <c r="AY114" i="5"/>
  <c r="E120" i="5" s="1"/>
  <c r="AT114" i="5"/>
  <c r="AW114" i="5" s="1"/>
  <c r="BB114" i="5"/>
  <c r="BJ114" i="5"/>
  <c r="F120" i="5" s="1"/>
  <c r="BE114" i="5"/>
  <c r="BH114" i="5" s="1"/>
  <c r="AK156" i="1"/>
  <c r="BM114" i="5"/>
  <c r="AP113" i="5"/>
  <c r="AK113" i="5"/>
  <c r="AO113" i="5" s="1"/>
  <c r="BA113" i="5"/>
  <c r="AV113" i="5"/>
  <c r="AZ113" i="5" s="1"/>
  <c r="BL113" i="5"/>
  <c r="BG113" i="5"/>
  <c r="BK113" i="5" s="1"/>
  <c r="AF80" i="5"/>
  <c r="AD80" i="5"/>
  <c r="E202" i="3"/>
  <c r="F202" i="3" s="1"/>
  <c r="D203" i="3"/>
  <c r="Q229" i="1" l="1"/>
  <c r="CF228" i="1"/>
  <c r="AA228" i="1"/>
  <c r="AN228" i="1" s="1"/>
  <c r="CK227" i="1"/>
  <c r="CM227" i="1"/>
  <c r="CL227" i="1"/>
  <c r="CG227" i="1"/>
  <c r="CH227" i="1" s="1"/>
  <c r="CJ227" i="1"/>
  <c r="CI227" i="1"/>
  <c r="BL114" i="5"/>
  <c r="BG114" i="5"/>
  <c r="BK114" i="5" s="1"/>
  <c r="AY115" i="5"/>
  <c r="E121" i="5" s="1"/>
  <c r="AJ157" i="1"/>
  <c r="AT115" i="5"/>
  <c r="AW115" i="5" s="1"/>
  <c r="BB115" i="5"/>
  <c r="BA114" i="5"/>
  <c r="AV114" i="5"/>
  <c r="AZ114" i="5" s="1"/>
  <c r="BJ115" i="5"/>
  <c r="F121" i="5" s="1"/>
  <c r="AK157" i="1"/>
  <c r="BE115" i="5"/>
  <c r="BH115" i="5" s="1"/>
  <c r="BM115" i="5"/>
  <c r="AC81" i="5"/>
  <c r="C87" i="5" s="1"/>
  <c r="G81" i="5" s="1"/>
  <c r="AO118" i="1" s="1"/>
  <c r="AP118" i="1" s="1"/>
  <c r="AH123" i="1"/>
  <c r="AM123" i="1" s="1"/>
  <c r="AN123" i="1" s="1"/>
  <c r="X81" i="5"/>
  <c r="AA81" i="5" s="1"/>
  <c r="L241" i="1"/>
  <c r="AN115" i="5"/>
  <c r="D121" i="5" s="1"/>
  <c r="AI157" i="1"/>
  <c r="AI115" i="5"/>
  <c r="AL115" i="5" s="1"/>
  <c r="AQ115" i="5"/>
  <c r="AP114" i="5"/>
  <c r="AK114" i="5"/>
  <c r="AO114" i="5" s="1"/>
  <c r="D204" i="3"/>
  <c r="E203" i="3"/>
  <c r="F203" i="3" s="1"/>
  <c r="CI228" i="1" l="1"/>
  <c r="Q230" i="1"/>
  <c r="CF229" i="1"/>
  <c r="AA229" i="1"/>
  <c r="AN229" i="1" s="1"/>
  <c r="CG228" i="1"/>
  <c r="CH228" i="1" s="1"/>
  <c r="CL228" i="1"/>
  <c r="CJ228" i="1"/>
  <c r="CM228" i="1"/>
  <c r="CK228" i="1"/>
  <c r="AK158" i="1"/>
  <c r="BJ116" i="5"/>
  <c r="F122" i="5" s="1"/>
  <c r="BE116" i="5"/>
  <c r="BH116" i="5" s="1"/>
  <c r="BM116" i="5"/>
  <c r="AT116" i="5"/>
  <c r="AW116" i="5" s="1"/>
  <c r="AY116" i="5"/>
  <c r="E122" i="5" s="1"/>
  <c r="AJ158" i="1"/>
  <c r="BB116" i="5"/>
  <c r="AE81" i="5"/>
  <c r="Z81" i="5"/>
  <c r="BL115" i="5"/>
  <c r="BG115" i="5"/>
  <c r="BK115" i="5" s="1"/>
  <c r="AN116" i="5"/>
  <c r="D122" i="5" s="1"/>
  <c r="AI116" i="5"/>
  <c r="AL116" i="5" s="1"/>
  <c r="AI158" i="1"/>
  <c r="AQ116" i="5"/>
  <c r="AP115" i="5"/>
  <c r="AK115" i="5"/>
  <c r="AO115" i="5" s="1"/>
  <c r="L242" i="1"/>
  <c r="BA115" i="5"/>
  <c r="AV115" i="5"/>
  <c r="AZ115" i="5" s="1"/>
  <c r="E204" i="3"/>
  <c r="F204" i="3" s="1"/>
  <c r="D205" i="3"/>
  <c r="CM229" i="1" l="1"/>
  <c r="CG229" i="1"/>
  <c r="CH229" i="1" s="1"/>
  <c r="CL229" i="1"/>
  <c r="CJ229" i="1"/>
  <c r="CK229" i="1"/>
  <c r="Q231" i="1"/>
  <c r="CF230" i="1"/>
  <c r="AA230" i="1"/>
  <c r="AN230" i="1" s="1"/>
  <c r="CI229" i="1"/>
  <c r="AP116" i="5"/>
  <c r="AK116" i="5"/>
  <c r="AO116" i="5" s="1"/>
  <c r="AF81" i="5"/>
  <c r="AD81" i="5"/>
  <c r="AT117" i="5"/>
  <c r="AW117" i="5" s="1"/>
  <c r="AJ159" i="1"/>
  <c r="AY117" i="5"/>
  <c r="E123" i="5" s="1"/>
  <c r="BB117" i="5"/>
  <c r="BA116" i="5"/>
  <c r="AV116" i="5"/>
  <c r="AZ116" i="5" s="1"/>
  <c r="BE117" i="5"/>
  <c r="BH117" i="5" s="1"/>
  <c r="BJ117" i="5"/>
  <c r="F123" i="5" s="1"/>
  <c r="AK159" i="1"/>
  <c r="BM117" i="5"/>
  <c r="AI117" i="5"/>
  <c r="AL117" i="5" s="1"/>
  <c r="AI159" i="1"/>
  <c r="AN117" i="5"/>
  <c r="D123" i="5" s="1"/>
  <c r="AQ117" i="5"/>
  <c r="L243" i="1"/>
  <c r="BL116" i="5"/>
  <c r="BG116" i="5"/>
  <c r="BK116" i="5" s="1"/>
  <c r="E205" i="3"/>
  <c r="F205" i="3" s="1"/>
  <c r="D206" i="3"/>
  <c r="CK230" i="1" l="1"/>
  <c r="CL230" i="1"/>
  <c r="CG230" i="1"/>
  <c r="CH230" i="1" s="1"/>
  <c r="CM230" i="1"/>
  <c r="CJ230" i="1"/>
  <c r="CI230" i="1"/>
  <c r="Q232" i="1"/>
  <c r="CF231" i="1"/>
  <c r="AA231" i="1"/>
  <c r="AN231" i="1" s="1"/>
  <c r="BL117" i="5"/>
  <c r="BG117" i="5"/>
  <c r="BK117" i="5" s="1"/>
  <c r="BJ118" i="5"/>
  <c r="F124" i="5" s="1"/>
  <c r="BE118" i="5"/>
  <c r="BH118" i="5" s="1"/>
  <c r="AK160" i="1"/>
  <c r="BM118" i="5"/>
  <c r="AY118" i="5"/>
  <c r="E124" i="5" s="1"/>
  <c r="AJ160" i="1"/>
  <c r="AT118" i="5"/>
  <c r="AW118" i="5" s="1"/>
  <c r="BB118" i="5"/>
  <c r="AC82" i="5"/>
  <c r="C88" i="5" s="1"/>
  <c r="G82" i="5" s="1"/>
  <c r="AO119" i="1" s="1"/>
  <c r="AP119" i="1" s="1"/>
  <c r="AH124" i="1"/>
  <c r="AM124" i="1" s="1"/>
  <c r="AN124" i="1" s="1"/>
  <c r="X82" i="5"/>
  <c r="AA82" i="5" s="1"/>
  <c r="AP117" i="5"/>
  <c r="AK117" i="5"/>
  <c r="AO117" i="5" s="1"/>
  <c r="BA117" i="5"/>
  <c r="AV117" i="5"/>
  <c r="AZ117" i="5" s="1"/>
  <c r="L244" i="1"/>
  <c r="AI160" i="1"/>
  <c r="AN118" i="5"/>
  <c r="D124" i="5" s="1"/>
  <c r="AI118" i="5"/>
  <c r="AL118" i="5" s="1"/>
  <c r="AQ118" i="5"/>
  <c r="E206" i="3"/>
  <c r="F206" i="3" s="1"/>
  <c r="D207" i="3"/>
  <c r="CI231" i="1" l="1"/>
  <c r="Q233" i="1"/>
  <c r="CF232" i="1"/>
  <c r="AA232" i="1"/>
  <c r="AN232" i="1" s="1"/>
  <c r="CG231" i="1"/>
  <c r="CH231" i="1" s="1"/>
  <c r="CL231" i="1"/>
  <c r="CK231" i="1"/>
  <c r="CM231" i="1"/>
  <c r="CJ231" i="1"/>
  <c r="AE82" i="5"/>
  <c r="Z82" i="5"/>
  <c r="AN119" i="5"/>
  <c r="D125" i="5" s="1"/>
  <c r="AI119" i="5"/>
  <c r="AL119" i="5" s="1"/>
  <c r="AI161" i="1"/>
  <c r="AQ119" i="5"/>
  <c r="BE119" i="5"/>
  <c r="BH119" i="5" s="1"/>
  <c r="AK161" i="1"/>
  <c r="BJ119" i="5"/>
  <c r="F125" i="5" s="1"/>
  <c r="BM119" i="5"/>
  <c r="BA118" i="5"/>
  <c r="AV118" i="5"/>
  <c r="AZ118" i="5" s="1"/>
  <c r="BL118" i="5"/>
  <c r="BG118" i="5"/>
  <c r="BK118" i="5" s="1"/>
  <c r="AP118" i="5"/>
  <c r="AK118" i="5"/>
  <c r="AO118" i="5" s="1"/>
  <c r="AJ161" i="1"/>
  <c r="AT119" i="5"/>
  <c r="AW119" i="5" s="1"/>
  <c r="AY119" i="5"/>
  <c r="E125" i="5" s="1"/>
  <c r="BB119" i="5"/>
  <c r="L245" i="1"/>
  <c r="E207" i="3"/>
  <c r="F207" i="3" s="1"/>
  <c r="D208" i="3"/>
  <c r="CG232" i="1" l="1"/>
  <c r="CH232" i="1" s="1"/>
  <c r="CK232" i="1"/>
  <c r="CM232" i="1"/>
  <c r="CJ232" i="1"/>
  <c r="CL232" i="1"/>
  <c r="Q234" i="1"/>
  <c r="CF233" i="1"/>
  <c r="AA233" i="1"/>
  <c r="AN233" i="1" s="1"/>
  <c r="CI232" i="1"/>
  <c r="BE120" i="5"/>
  <c r="BH120" i="5" s="1"/>
  <c r="BJ120" i="5"/>
  <c r="F126" i="5" s="1"/>
  <c r="AK162" i="1"/>
  <c r="BM120" i="5"/>
  <c r="BL119" i="5"/>
  <c r="BG119" i="5"/>
  <c r="BK119" i="5" s="1"/>
  <c r="L246" i="1"/>
  <c r="AP119" i="5"/>
  <c r="AK119" i="5"/>
  <c r="AO119" i="5" s="1"/>
  <c r="BA119" i="5"/>
  <c r="AV119" i="5"/>
  <c r="AZ119" i="5" s="1"/>
  <c r="AF82" i="5"/>
  <c r="AD82" i="5"/>
  <c r="AI120" i="5"/>
  <c r="AL120" i="5" s="1"/>
  <c r="AI162" i="1"/>
  <c r="AN120" i="5"/>
  <c r="D126" i="5" s="1"/>
  <c r="AQ120" i="5"/>
  <c r="AY120" i="5"/>
  <c r="E126" i="5" s="1"/>
  <c r="AT120" i="5"/>
  <c r="AW120" i="5" s="1"/>
  <c r="AJ162" i="1"/>
  <c r="BB120" i="5"/>
  <c r="E208" i="3"/>
  <c r="F208" i="3" s="1"/>
  <c r="D209" i="3"/>
  <c r="Q235" i="1" l="1"/>
  <c r="CF234" i="1"/>
  <c r="CI234" i="1" s="1"/>
  <c r="AA234" i="1"/>
  <c r="AN234" i="1" s="1"/>
  <c r="CJ233" i="1"/>
  <c r="CM233" i="1"/>
  <c r="CK233" i="1"/>
  <c r="CG233" i="1"/>
  <c r="CH233" i="1" s="1"/>
  <c r="CL233" i="1"/>
  <c r="CI233" i="1"/>
  <c r="AP120" i="5"/>
  <c r="AK120" i="5"/>
  <c r="AO120" i="5" s="1"/>
  <c r="AC83" i="5"/>
  <c r="C89" i="5" s="1"/>
  <c r="G83" i="5" s="1"/>
  <c r="AO120" i="1" s="1"/>
  <c r="AP120" i="1" s="1"/>
  <c r="X83" i="5"/>
  <c r="AA83" i="5" s="1"/>
  <c r="AH125" i="1"/>
  <c r="AM125" i="1" s="1"/>
  <c r="AN125" i="1" s="1"/>
  <c r="AT121" i="5"/>
  <c r="AW121" i="5" s="1"/>
  <c r="AY121" i="5"/>
  <c r="E127" i="5" s="1"/>
  <c r="AJ163" i="1"/>
  <c r="BB121" i="5"/>
  <c r="BA120" i="5"/>
  <c r="AV120" i="5"/>
  <c r="AZ120" i="5" s="1"/>
  <c r="L247" i="1"/>
  <c r="AK163" i="1"/>
  <c r="BJ121" i="5"/>
  <c r="F127" i="5" s="1"/>
  <c r="BE121" i="5"/>
  <c r="BH121" i="5" s="1"/>
  <c r="BM121" i="5"/>
  <c r="AN121" i="5"/>
  <c r="D127" i="5" s="1"/>
  <c r="AI163" i="1"/>
  <c r="AI121" i="5"/>
  <c r="AL121" i="5" s="1"/>
  <c r="AQ121" i="5"/>
  <c r="BL120" i="5"/>
  <c r="BG120" i="5"/>
  <c r="BK120" i="5" s="1"/>
  <c r="E209" i="3"/>
  <c r="F209" i="3" s="1"/>
  <c r="D210" i="3"/>
  <c r="CI235" i="1" l="1"/>
  <c r="CG234" i="1"/>
  <c r="CH234" i="1" s="1"/>
  <c r="CL234" i="1"/>
  <c r="CM234" i="1"/>
  <c r="CK234" i="1"/>
  <c r="CJ234" i="1"/>
  <c r="Q236" i="1"/>
  <c r="CF235" i="1"/>
  <c r="AA235" i="1"/>
  <c r="AN235" i="1" s="1"/>
  <c r="AY122" i="5"/>
  <c r="E128" i="5" s="1"/>
  <c r="AJ164" i="1"/>
  <c r="AT122" i="5"/>
  <c r="AW122" i="5" s="1"/>
  <c r="BB122" i="5"/>
  <c r="BL121" i="5"/>
  <c r="BG121" i="5"/>
  <c r="BK121" i="5" s="1"/>
  <c r="BA121" i="5"/>
  <c r="AV121" i="5"/>
  <c r="AZ121" i="5" s="1"/>
  <c r="L248" i="1"/>
  <c r="AI122" i="5"/>
  <c r="AL122" i="5" s="1"/>
  <c r="AQ122" i="5"/>
  <c r="AN122" i="5"/>
  <c r="D128" i="5" s="1"/>
  <c r="AI164" i="1"/>
  <c r="AE83" i="5"/>
  <c r="Z83" i="5"/>
  <c r="AP121" i="5"/>
  <c r="AK121" i="5"/>
  <c r="AO121" i="5" s="1"/>
  <c r="AK164" i="1"/>
  <c r="BE122" i="5"/>
  <c r="BH122" i="5" s="1"/>
  <c r="BJ122" i="5"/>
  <c r="F128" i="5" s="1"/>
  <c r="BM122" i="5"/>
  <c r="D211" i="3"/>
  <c r="E210" i="3"/>
  <c r="F210" i="3" s="1"/>
  <c r="CG235" i="1" l="1"/>
  <c r="CH235" i="1" s="1"/>
  <c r="CL235" i="1"/>
  <c r="CK235" i="1"/>
  <c r="CM235" i="1"/>
  <c r="CJ235" i="1"/>
  <c r="Q237" i="1"/>
  <c r="CF236" i="1"/>
  <c r="AA236" i="1"/>
  <c r="AN236" i="1" s="1"/>
  <c r="CI236" i="1"/>
  <c r="AI123" i="5"/>
  <c r="AL123" i="5" s="1"/>
  <c r="AN123" i="5"/>
  <c r="D129" i="5" s="1"/>
  <c r="AI165" i="1"/>
  <c r="AQ123" i="5"/>
  <c r="L249" i="1"/>
  <c r="AF83" i="5"/>
  <c r="AD83" i="5"/>
  <c r="AP122" i="5"/>
  <c r="AK122" i="5"/>
  <c r="AO122" i="5" s="1"/>
  <c r="BE123" i="5"/>
  <c r="BH123" i="5" s="1"/>
  <c r="AK165" i="1"/>
  <c r="BJ123" i="5"/>
  <c r="F129" i="5" s="1"/>
  <c r="BM123" i="5"/>
  <c r="AT123" i="5"/>
  <c r="AW123" i="5" s="1"/>
  <c r="AY123" i="5"/>
  <c r="E129" i="5" s="1"/>
  <c r="AJ165" i="1"/>
  <c r="BB123" i="5"/>
  <c r="BL122" i="5"/>
  <c r="BG122" i="5"/>
  <c r="BK122" i="5" s="1"/>
  <c r="BA122" i="5"/>
  <c r="AV122" i="5"/>
  <c r="AZ122" i="5" s="1"/>
  <c r="E211" i="3"/>
  <c r="F211" i="3" s="1"/>
  <c r="D212" i="3"/>
  <c r="CM236" i="1" l="1"/>
  <c r="CJ236" i="1"/>
  <c r="CK236" i="1"/>
  <c r="CL236" i="1"/>
  <c r="CG236" i="1"/>
  <c r="CH236" i="1" s="1"/>
  <c r="Q238" i="1"/>
  <c r="CF237" i="1"/>
  <c r="AA237" i="1"/>
  <c r="AN237" i="1" s="1"/>
  <c r="BA123" i="5"/>
  <c r="AV123" i="5"/>
  <c r="AZ123" i="5" s="1"/>
  <c r="BL123" i="5"/>
  <c r="BG123" i="5"/>
  <c r="BK123" i="5" s="1"/>
  <c r="AH126" i="1"/>
  <c r="AM126" i="1" s="1"/>
  <c r="AN126" i="1" s="1"/>
  <c r="AC84" i="5"/>
  <c r="C90" i="5" s="1"/>
  <c r="G84" i="5" s="1"/>
  <c r="AO121" i="1" s="1"/>
  <c r="AP121" i="1" s="1"/>
  <c r="X84" i="5"/>
  <c r="AA84" i="5" s="1"/>
  <c r="L250" i="1"/>
  <c r="AI166" i="1"/>
  <c r="AI124" i="5"/>
  <c r="AL124" i="5" s="1"/>
  <c r="AN124" i="5"/>
  <c r="D130" i="5" s="1"/>
  <c r="AQ124" i="5"/>
  <c r="BE124" i="5"/>
  <c r="BH124" i="5" s="1"/>
  <c r="AK166" i="1"/>
  <c r="BJ124" i="5"/>
  <c r="F130" i="5" s="1"/>
  <c r="BM124" i="5"/>
  <c r="AY124" i="5"/>
  <c r="E130" i="5" s="1"/>
  <c r="AT124" i="5"/>
  <c r="AW124" i="5" s="1"/>
  <c r="AJ166" i="1"/>
  <c r="BB124" i="5"/>
  <c r="AP123" i="5"/>
  <c r="AK123" i="5"/>
  <c r="AO123" i="5" s="1"/>
  <c r="D213" i="3"/>
  <c r="E212" i="3"/>
  <c r="F212" i="3" s="1"/>
  <c r="Q239" i="1" l="1"/>
  <c r="CF238" i="1"/>
  <c r="AA238" i="1"/>
  <c r="AN238" i="1" s="1"/>
  <c r="CK237" i="1"/>
  <c r="CL237" i="1"/>
  <c r="CG237" i="1"/>
  <c r="CH237" i="1" s="1"/>
  <c r="CM237" i="1"/>
  <c r="CJ237" i="1"/>
  <c r="CI237" i="1"/>
  <c r="CI238" i="1"/>
  <c r="AP124" i="5"/>
  <c r="AK124" i="5"/>
  <c r="AO124" i="5" s="1"/>
  <c r="L251" i="1"/>
  <c r="BL124" i="5"/>
  <c r="BG124" i="5"/>
  <c r="BK124" i="5" s="1"/>
  <c r="AI125" i="5"/>
  <c r="AL125" i="5" s="1"/>
  <c r="AN125" i="5"/>
  <c r="D131" i="5" s="1"/>
  <c r="AI167" i="1"/>
  <c r="AQ125" i="5"/>
  <c r="AE84" i="5"/>
  <c r="Z84" i="5"/>
  <c r="AT125" i="5"/>
  <c r="AW125" i="5" s="1"/>
  <c r="AY125" i="5"/>
  <c r="E131" i="5" s="1"/>
  <c r="AJ167" i="1"/>
  <c r="BB125" i="5"/>
  <c r="BA124" i="5"/>
  <c r="AV124" i="5"/>
  <c r="AZ124" i="5" s="1"/>
  <c r="BE125" i="5"/>
  <c r="BH125" i="5" s="1"/>
  <c r="BJ125" i="5"/>
  <c r="F131" i="5" s="1"/>
  <c r="AK167" i="1"/>
  <c r="BM125" i="5"/>
  <c r="D214" i="3"/>
  <c r="E213" i="3"/>
  <c r="F213" i="3" s="1"/>
  <c r="CG238" i="1" l="1"/>
  <c r="CH238" i="1" s="1"/>
  <c r="CK238" i="1"/>
  <c r="CM238" i="1"/>
  <c r="CL238" i="1"/>
  <c r="CJ238" i="1"/>
  <c r="Q240" i="1"/>
  <c r="CF239" i="1"/>
  <c r="AA239" i="1"/>
  <c r="AN239" i="1" s="1"/>
  <c r="AN126" i="5"/>
  <c r="D132" i="5" s="1"/>
  <c r="AI168" i="1"/>
  <c r="AQ126" i="5"/>
  <c r="AI126" i="5"/>
  <c r="AL126" i="5" s="1"/>
  <c r="AT126" i="5"/>
  <c r="AW126" i="5" s="1"/>
  <c r="AJ168" i="1"/>
  <c r="AY126" i="5"/>
  <c r="E132" i="5" s="1"/>
  <c r="BB126" i="5"/>
  <c r="AF84" i="5"/>
  <c r="AD84" i="5"/>
  <c r="BA125" i="5"/>
  <c r="AV125" i="5"/>
  <c r="AZ125" i="5" s="1"/>
  <c r="BJ126" i="5"/>
  <c r="F132" i="5" s="1"/>
  <c r="BE126" i="5"/>
  <c r="BH126" i="5" s="1"/>
  <c r="AK168" i="1"/>
  <c r="BM126" i="5"/>
  <c r="L252" i="1"/>
  <c r="AP125" i="5"/>
  <c r="AK125" i="5"/>
  <c r="AO125" i="5" s="1"/>
  <c r="BL125" i="5"/>
  <c r="BG125" i="5"/>
  <c r="BK125" i="5" s="1"/>
  <c r="E214" i="3"/>
  <c r="F214" i="3" s="1"/>
  <c r="D215" i="3"/>
  <c r="Q241" i="1" l="1"/>
  <c r="CF240" i="1"/>
  <c r="AA240" i="1"/>
  <c r="AN240" i="1" s="1"/>
  <c r="CK239" i="1"/>
  <c r="CG239" i="1"/>
  <c r="CH239" i="1" s="1"/>
  <c r="CJ239" i="1"/>
  <c r="CM239" i="1"/>
  <c r="CL239" i="1"/>
  <c r="CI239" i="1"/>
  <c r="CI240" i="1"/>
  <c r="BL126" i="5"/>
  <c r="BG126" i="5"/>
  <c r="BK126" i="5" s="1"/>
  <c r="AK126" i="5"/>
  <c r="AO126" i="5" s="1"/>
  <c r="AP126" i="5"/>
  <c r="AC85" i="5"/>
  <c r="C91" i="5" s="1"/>
  <c r="G85" i="5" s="1"/>
  <c r="AO122" i="1" s="1"/>
  <c r="AP122" i="1" s="1"/>
  <c r="AH127" i="1"/>
  <c r="AM127" i="1" s="1"/>
  <c r="AN127" i="1" s="1"/>
  <c r="X85" i="5"/>
  <c r="AA85" i="5" s="1"/>
  <c r="AK169" i="1"/>
  <c r="BJ127" i="5"/>
  <c r="F133" i="5" s="1"/>
  <c r="BE127" i="5"/>
  <c r="BH127" i="5" s="1"/>
  <c r="BM127" i="5"/>
  <c r="AJ169" i="1"/>
  <c r="AT127" i="5"/>
  <c r="AW127" i="5" s="1"/>
  <c r="AY127" i="5"/>
  <c r="E133" i="5" s="1"/>
  <c r="BB127" i="5"/>
  <c r="BA126" i="5"/>
  <c r="AV126" i="5"/>
  <c r="AZ126" i="5" s="1"/>
  <c r="AI127" i="5"/>
  <c r="AL127" i="5" s="1"/>
  <c r="AN127" i="5"/>
  <c r="D133" i="5" s="1"/>
  <c r="AI169" i="1"/>
  <c r="AQ127" i="5"/>
  <c r="L253" i="1"/>
  <c r="D216" i="3"/>
  <c r="E215" i="3"/>
  <c r="F215" i="3" s="1"/>
  <c r="CG240" i="1" l="1"/>
  <c r="CH240" i="1" s="1"/>
  <c r="CK240" i="1"/>
  <c r="CL240" i="1"/>
  <c r="CM240" i="1"/>
  <c r="CJ240" i="1"/>
  <c r="Q242" i="1"/>
  <c r="CF241" i="1"/>
  <c r="AA241" i="1"/>
  <c r="AN241" i="1" s="1"/>
  <c r="BL127" i="5"/>
  <c r="BG127" i="5"/>
  <c r="BK127" i="5" s="1"/>
  <c r="L254" i="1"/>
  <c r="AE85" i="5"/>
  <c r="Z85" i="5"/>
  <c r="AI128" i="5"/>
  <c r="AL128" i="5" s="1"/>
  <c r="AN128" i="5"/>
  <c r="D134" i="5" s="1"/>
  <c r="AI170" i="1"/>
  <c r="AQ128" i="5"/>
  <c r="BA127" i="5"/>
  <c r="AV127" i="5"/>
  <c r="AZ127" i="5" s="1"/>
  <c r="BJ128" i="5"/>
  <c r="F134" i="5" s="1"/>
  <c r="BM128" i="5"/>
  <c r="BE128" i="5"/>
  <c r="BH128" i="5" s="1"/>
  <c r="AK170" i="1"/>
  <c r="AP127" i="5"/>
  <c r="AK127" i="5"/>
  <c r="AO127" i="5" s="1"/>
  <c r="AT128" i="5"/>
  <c r="AW128" i="5" s="1"/>
  <c r="AJ170" i="1"/>
  <c r="AY128" i="5"/>
  <c r="E134" i="5" s="1"/>
  <c r="BB128" i="5"/>
  <c r="D217" i="3"/>
  <c r="E216" i="3"/>
  <c r="F216" i="3" s="1"/>
  <c r="Q243" i="1" l="1"/>
  <c r="CF242" i="1"/>
  <c r="AA242" i="1"/>
  <c r="AN242" i="1" s="1"/>
  <c r="CG241" i="1"/>
  <c r="CH241" i="1" s="1"/>
  <c r="CJ241" i="1"/>
  <c r="CL241" i="1"/>
  <c r="CK241" i="1"/>
  <c r="CM241" i="1"/>
  <c r="CI241" i="1"/>
  <c r="AP128" i="5"/>
  <c r="AK128" i="5"/>
  <c r="AO128" i="5" s="1"/>
  <c r="AY129" i="5"/>
  <c r="E135" i="5" s="1"/>
  <c r="AT129" i="5"/>
  <c r="AW129" i="5" s="1"/>
  <c r="AJ171" i="1"/>
  <c r="BB129" i="5"/>
  <c r="AF85" i="5"/>
  <c r="AD85" i="5"/>
  <c r="BA128" i="5"/>
  <c r="AV128" i="5"/>
  <c r="AZ128" i="5" s="1"/>
  <c r="L255" i="1"/>
  <c r="BL128" i="5"/>
  <c r="BG128" i="5"/>
  <c r="BK128" i="5" s="1"/>
  <c r="AN129" i="5"/>
  <c r="D135" i="5" s="1"/>
  <c r="AI129" i="5"/>
  <c r="AL129" i="5" s="1"/>
  <c r="AI171" i="1"/>
  <c r="AQ129" i="5"/>
  <c r="BJ129" i="5"/>
  <c r="F135" i="5" s="1"/>
  <c r="AK171" i="1"/>
  <c r="BM129" i="5"/>
  <c r="BE129" i="5"/>
  <c r="BH129" i="5" s="1"/>
  <c r="E217" i="3"/>
  <c r="F217" i="3" s="1"/>
  <c r="D218" i="3"/>
  <c r="CG242" i="1" l="1"/>
  <c r="CH242" i="1" s="1"/>
  <c r="CK242" i="1"/>
  <c r="CL242" i="1"/>
  <c r="CJ242" i="1"/>
  <c r="CM242" i="1"/>
  <c r="Q244" i="1"/>
  <c r="CF243" i="1"/>
  <c r="AA243" i="1"/>
  <c r="AN243" i="1" s="1"/>
  <c r="CI242" i="1"/>
  <c r="AP129" i="5"/>
  <c r="AK129" i="5"/>
  <c r="AO129" i="5" s="1"/>
  <c r="AY130" i="5"/>
  <c r="E136" i="5" s="1"/>
  <c r="AJ172" i="1"/>
  <c r="AT130" i="5"/>
  <c r="AW130" i="5" s="1"/>
  <c r="BB130" i="5"/>
  <c r="BL129" i="5"/>
  <c r="BG129" i="5"/>
  <c r="BK129" i="5" s="1"/>
  <c r="X86" i="5"/>
  <c r="AA86" i="5" s="1"/>
  <c r="AC86" i="5"/>
  <c r="C92" i="5" s="1"/>
  <c r="G86" i="5" s="1"/>
  <c r="AO123" i="1" s="1"/>
  <c r="AP123" i="1" s="1"/>
  <c r="AH128" i="1"/>
  <c r="AM128" i="1" s="1"/>
  <c r="AN128" i="1" s="1"/>
  <c r="BA129" i="5"/>
  <c r="AV129" i="5"/>
  <c r="AZ129" i="5" s="1"/>
  <c r="AI172" i="1"/>
  <c r="AI130" i="5"/>
  <c r="AL130" i="5" s="1"/>
  <c r="AN130" i="5"/>
  <c r="D136" i="5" s="1"/>
  <c r="AQ130" i="5"/>
  <c r="L256" i="1"/>
  <c r="BM130" i="5"/>
  <c r="BE130" i="5"/>
  <c r="BH130" i="5" s="1"/>
  <c r="AK172" i="1"/>
  <c r="BJ130" i="5"/>
  <c r="F136" i="5" s="1"/>
  <c r="E218" i="3"/>
  <c r="F218" i="3" s="1"/>
  <c r="D219" i="3"/>
  <c r="Q245" i="1" l="1"/>
  <c r="CF244" i="1"/>
  <c r="AA244" i="1"/>
  <c r="AN244" i="1" s="1"/>
  <c r="CG243" i="1"/>
  <c r="CH243" i="1" s="1"/>
  <c r="CL243" i="1"/>
  <c r="CK243" i="1"/>
  <c r="CM243" i="1"/>
  <c r="CJ243" i="1"/>
  <c r="CI243" i="1"/>
  <c r="BL130" i="5"/>
  <c r="BG130" i="5"/>
  <c r="BK130" i="5" s="1"/>
  <c r="AE86" i="5"/>
  <c r="Z86" i="5"/>
  <c r="AP130" i="5"/>
  <c r="AK130" i="5"/>
  <c r="AO130" i="5" s="1"/>
  <c r="BB131" i="5"/>
  <c r="AT131" i="5"/>
  <c r="AW131" i="5" s="1"/>
  <c r="AJ173" i="1"/>
  <c r="AY131" i="5"/>
  <c r="E137" i="5" s="1"/>
  <c r="BE131" i="5"/>
  <c r="BH131" i="5" s="1"/>
  <c r="BJ131" i="5"/>
  <c r="F137" i="5" s="1"/>
  <c r="AK173" i="1"/>
  <c r="BM131" i="5"/>
  <c r="L257" i="1"/>
  <c r="BA130" i="5"/>
  <c r="AV130" i="5"/>
  <c r="AZ130" i="5" s="1"/>
  <c r="AN131" i="5"/>
  <c r="D137" i="5" s="1"/>
  <c r="AI173" i="1"/>
  <c r="AI131" i="5"/>
  <c r="AL131" i="5" s="1"/>
  <c r="AQ131" i="5"/>
  <c r="D220" i="3"/>
  <c r="E219" i="3"/>
  <c r="F219" i="3" s="1"/>
  <c r="CM244" i="1" l="1"/>
  <c r="CK244" i="1"/>
  <c r="CJ244" i="1"/>
  <c r="CL244" i="1"/>
  <c r="CG244" i="1"/>
  <c r="CH244" i="1" s="1"/>
  <c r="Q246" i="1"/>
  <c r="CF245" i="1"/>
  <c r="AA245" i="1"/>
  <c r="AN245" i="1" s="1"/>
  <c r="CI244" i="1"/>
  <c r="L258" i="1"/>
  <c r="AT132" i="5"/>
  <c r="AW132" i="5" s="1"/>
  <c r="AV132" i="5" s="1"/>
  <c r="AJ174" i="1"/>
  <c r="AY132" i="5"/>
  <c r="E138" i="5" s="1"/>
  <c r="BB132" i="5"/>
  <c r="BA131" i="5"/>
  <c r="AV131" i="5"/>
  <c r="AZ131" i="5" s="1"/>
  <c r="AF86" i="5"/>
  <c r="AD86" i="5"/>
  <c r="BJ132" i="5"/>
  <c r="F138" i="5" s="1"/>
  <c r="BE132" i="5"/>
  <c r="BH132" i="5" s="1"/>
  <c r="AK174" i="1"/>
  <c r="BM132" i="5"/>
  <c r="BL131" i="5"/>
  <c r="BG131" i="5"/>
  <c r="BK131" i="5" s="1"/>
  <c r="AI132" i="5"/>
  <c r="AL132" i="5" s="1"/>
  <c r="AN132" i="5"/>
  <c r="D138" i="5" s="1"/>
  <c r="AI174" i="1"/>
  <c r="AQ132" i="5"/>
  <c r="AP131" i="5"/>
  <c r="AK131" i="5"/>
  <c r="AO131" i="5" s="1"/>
  <c r="E220" i="3"/>
  <c r="F220" i="3" s="1"/>
  <c r="D221" i="3"/>
  <c r="Q247" i="1" l="1"/>
  <c r="CF246" i="1"/>
  <c r="AA246" i="1"/>
  <c r="AN246" i="1" s="1"/>
  <c r="CG245" i="1"/>
  <c r="CH245" i="1" s="1"/>
  <c r="CL245" i="1"/>
  <c r="CK245" i="1"/>
  <c r="CM245" i="1"/>
  <c r="CJ245" i="1"/>
  <c r="CI245" i="1"/>
  <c r="CI246" i="1"/>
  <c r="BA132" i="5"/>
  <c r="BL132" i="5"/>
  <c r="BG132" i="5"/>
  <c r="BK132" i="5" s="1"/>
  <c r="AT133" i="5"/>
  <c r="AW133" i="5" s="1"/>
  <c r="AJ175" i="1"/>
  <c r="AY133" i="5"/>
  <c r="E139" i="5" s="1"/>
  <c r="BB133" i="5"/>
  <c r="AC87" i="5"/>
  <c r="C93" i="5" s="1"/>
  <c r="G87" i="5" s="1"/>
  <c r="AO124" i="1" s="1"/>
  <c r="AP124" i="1" s="1"/>
  <c r="AH129" i="1"/>
  <c r="AM129" i="1" s="1"/>
  <c r="AN129" i="1" s="1"/>
  <c r="X87" i="5"/>
  <c r="AA87" i="5" s="1"/>
  <c r="AZ132" i="5"/>
  <c r="BJ133" i="5"/>
  <c r="F139" i="5" s="1"/>
  <c r="BE133" i="5"/>
  <c r="BH133" i="5" s="1"/>
  <c r="AK175" i="1"/>
  <c r="BM133" i="5"/>
  <c r="AN133" i="5"/>
  <c r="D139" i="5" s="1"/>
  <c r="AI133" i="5"/>
  <c r="AL133" i="5" s="1"/>
  <c r="AI175" i="1"/>
  <c r="AQ133" i="5"/>
  <c r="AP132" i="5"/>
  <c r="AK132" i="5"/>
  <c r="AO132" i="5" s="1"/>
  <c r="L259" i="1"/>
  <c r="D222" i="3"/>
  <c r="E221" i="3"/>
  <c r="F221" i="3" s="1"/>
  <c r="CM246" i="1" l="1"/>
  <c r="CL246" i="1"/>
  <c r="CJ246" i="1"/>
  <c r="CK246" i="1"/>
  <c r="CG246" i="1"/>
  <c r="CH246" i="1" s="1"/>
  <c r="Q248" i="1"/>
  <c r="CF247" i="1"/>
  <c r="AA247" i="1"/>
  <c r="AN247" i="1" s="1"/>
  <c r="BJ134" i="5"/>
  <c r="F140" i="5" s="1"/>
  <c r="AK176" i="1"/>
  <c r="BE134" i="5"/>
  <c r="BH134" i="5" s="1"/>
  <c r="BM134" i="5"/>
  <c r="AE87" i="5"/>
  <c r="Z87" i="5"/>
  <c r="BL133" i="5"/>
  <c r="BG133" i="5"/>
  <c r="BK133" i="5" s="1"/>
  <c r="AY134" i="5"/>
  <c r="E140" i="5" s="1"/>
  <c r="AJ176" i="1"/>
  <c r="AT134" i="5"/>
  <c r="AW134" i="5" s="1"/>
  <c r="BB134" i="5"/>
  <c r="BA133" i="5"/>
  <c r="AV133" i="5"/>
  <c r="AZ133" i="5" s="1"/>
  <c r="AP133" i="5"/>
  <c r="AK133" i="5"/>
  <c r="AO133" i="5" s="1"/>
  <c r="L260" i="1"/>
  <c r="AN134" i="5"/>
  <c r="D140" i="5" s="1"/>
  <c r="AI134" i="5"/>
  <c r="AL134" i="5" s="1"/>
  <c r="AI176" i="1"/>
  <c r="AQ134" i="5"/>
  <c r="E222" i="3"/>
  <c r="F222" i="3" s="1"/>
  <c r="D223" i="3"/>
  <c r="Q249" i="1" l="1"/>
  <c r="CF248" i="1"/>
  <c r="AA248" i="1"/>
  <c r="AN248" i="1" s="1"/>
  <c r="CG247" i="1"/>
  <c r="CH247" i="1" s="1"/>
  <c r="CM247" i="1"/>
  <c r="CK247" i="1"/>
  <c r="CJ247" i="1"/>
  <c r="CL247" i="1"/>
  <c r="CI247" i="1"/>
  <c r="CI248" i="1"/>
  <c r="AF87" i="5"/>
  <c r="AD87" i="5"/>
  <c r="BE135" i="5"/>
  <c r="BH135" i="5" s="1"/>
  <c r="AK177" i="1"/>
  <c r="BJ135" i="5"/>
  <c r="F141" i="5" s="1"/>
  <c r="BM135" i="5"/>
  <c r="AT135" i="5"/>
  <c r="AW135" i="5" s="1"/>
  <c r="AY135" i="5"/>
  <c r="E141" i="5" s="1"/>
  <c r="AJ177" i="1"/>
  <c r="BB135" i="5"/>
  <c r="AN135" i="5"/>
  <c r="D141" i="5" s="1"/>
  <c r="AI135" i="5"/>
  <c r="AL135" i="5" s="1"/>
  <c r="AI177" i="1"/>
  <c r="AQ135" i="5"/>
  <c r="BL134" i="5"/>
  <c r="BG134" i="5"/>
  <c r="BK134" i="5" s="1"/>
  <c r="BA134" i="5"/>
  <c r="AV134" i="5"/>
  <c r="AZ134" i="5" s="1"/>
  <c r="AP134" i="5"/>
  <c r="AK134" i="5"/>
  <c r="AO134" i="5" s="1"/>
  <c r="L261" i="1"/>
  <c r="E223" i="3"/>
  <c r="F223" i="3" s="1"/>
  <c r="D224" i="3"/>
  <c r="CG248" i="1" l="1"/>
  <c r="CH248" i="1" s="1"/>
  <c r="CK248" i="1"/>
  <c r="CJ248" i="1"/>
  <c r="CL248" i="1"/>
  <c r="CM248" i="1"/>
  <c r="Q250" i="1"/>
  <c r="CF249" i="1"/>
  <c r="AA249" i="1"/>
  <c r="AN249" i="1" s="1"/>
  <c r="BA135" i="5"/>
  <c r="AV135" i="5"/>
  <c r="AZ135" i="5" s="1"/>
  <c r="BM136" i="5"/>
  <c r="AK178" i="1"/>
  <c r="BE136" i="5"/>
  <c r="BH136" i="5" s="1"/>
  <c r="BJ136" i="5"/>
  <c r="F142" i="5" s="1"/>
  <c r="BL135" i="5"/>
  <c r="BG135" i="5"/>
  <c r="BK135" i="5" s="1"/>
  <c r="AN136" i="5"/>
  <c r="D142" i="5" s="1"/>
  <c r="AQ136" i="5"/>
  <c r="AI136" i="5"/>
  <c r="AL136" i="5" s="1"/>
  <c r="AI178" i="1"/>
  <c r="AP135" i="5"/>
  <c r="AK135" i="5"/>
  <c r="AO135" i="5" s="1"/>
  <c r="AY136" i="5"/>
  <c r="E142" i="5" s="1"/>
  <c r="BB136" i="5"/>
  <c r="AJ178" i="1"/>
  <c r="AT136" i="5"/>
  <c r="AW136" i="5" s="1"/>
  <c r="L262" i="1"/>
  <c r="X88" i="5"/>
  <c r="AA88" i="5" s="1"/>
  <c r="AH130" i="1"/>
  <c r="AM130" i="1" s="1"/>
  <c r="AN130" i="1" s="1"/>
  <c r="AC88" i="5"/>
  <c r="C94" i="5" s="1"/>
  <c r="G88" i="5" s="1"/>
  <c r="AO125" i="1" s="1"/>
  <c r="AP125" i="1" s="1"/>
  <c r="E224" i="3"/>
  <c r="F224" i="3" s="1"/>
  <c r="D225" i="3"/>
  <c r="Q251" i="1" l="1"/>
  <c r="CF250" i="1"/>
  <c r="AA250" i="1"/>
  <c r="AN250" i="1" s="1"/>
  <c r="CK249" i="1"/>
  <c r="CG249" i="1"/>
  <c r="CH249" i="1" s="1"/>
  <c r="CM249" i="1"/>
  <c r="CJ249" i="1"/>
  <c r="CL249" i="1"/>
  <c r="CI249" i="1"/>
  <c r="CI250" i="1"/>
  <c r="AE88" i="5"/>
  <c r="Z88" i="5"/>
  <c r="BL136" i="5"/>
  <c r="BG136" i="5"/>
  <c r="BK136" i="5" s="1"/>
  <c r="L263" i="1"/>
  <c r="BM137" i="5"/>
  <c r="BJ137" i="5"/>
  <c r="F143" i="5" s="1"/>
  <c r="BE137" i="5"/>
  <c r="BH137" i="5" s="1"/>
  <c r="AK179" i="1"/>
  <c r="AP136" i="5"/>
  <c r="AK136" i="5"/>
  <c r="AO136" i="5" s="1"/>
  <c r="AJ179" i="1"/>
  <c r="BB137" i="5"/>
  <c r="AY137" i="5"/>
  <c r="E143" i="5" s="1"/>
  <c r="AT137" i="5"/>
  <c r="AW137" i="5" s="1"/>
  <c r="AN137" i="5"/>
  <c r="D143" i="5" s="1"/>
  <c r="AQ137" i="5"/>
  <c r="AI137" i="5"/>
  <c r="AL137" i="5" s="1"/>
  <c r="AI179" i="1"/>
  <c r="BA136" i="5"/>
  <c r="AV136" i="5"/>
  <c r="AZ136" i="5" s="1"/>
  <c r="D226" i="3"/>
  <c r="E225" i="3"/>
  <c r="F225" i="3" s="1"/>
  <c r="CG250" i="1" l="1"/>
  <c r="CH250" i="1" s="1"/>
  <c r="CL250" i="1"/>
  <c r="CK250" i="1"/>
  <c r="CM250" i="1"/>
  <c r="CJ250" i="1"/>
  <c r="Q252" i="1"/>
  <c r="CF251" i="1"/>
  <c r="AA251" i="1"/>
  <c r="AN251" i="1" s="1"/>
  <c r="BL137" i="5"/>
  <c r="BG137" i="5"/>
  <c r="BK137" i="5" s="1"/>
  <c r="BJ138" i="5"/>
  <c r="F144" i="5" s="1"/>
  <c r="AK180" i="1"/>
  <c r="BE138" i="5"/>
  <c r="BH138" i="5" s="1"/>
  <c r="BM138" i="5"/>
  <c r="AT138" i="5"/>
  <c r="AW138" i="5" s="1"/>
  <c r="BB138" i="5"/>
  <c r="AJ180" i="1"/>
  <c r="AY138" i="5"/>
  <c r="E144" i="5" s="1"/>
  <c r="AN138" i="5"/>
  <c r="D144" i="5" s="1"/>
  <c r="AI138" i="5"/>
  <c r="AL138" i="5" s="1"/>
  <c r="AQ138" i="5"/>
  <c r="AI180" i="1"/>
  <c r="AF88" i="5"/>
  <c r="AD88" i="5"/>
  <c r="BA137" i="5"/>
  <c r="AV137" i="5"/>
  <c r="AZ137" i="5" s="1"/>
  <c r="L264" i="1"/>
  <c r="AP137" i="5"/>
  <c r="AK137" i="5"/>
  <c r="AO137" i="5" s="1"/>
  <c r="D227" i="3"/>
  <c r="E226" i="3"/>
  <c r="F226" i="3" s="1"/>
  <c r="Q253" i="1" l="1"/>
  <c r="CF252" i="1"/>
  <c r="CI252" i="1" s="1"/>
  <c r="AA252" i="1"/>
  <c r="AN252" i="1" s="1"/>
  <c r="CL251" i="1"/>
  <c r="CG251" i="1"/>
  <c r="CH251" i="1" s="1"/>
  <c r="CM251" i="1"/>
  <c r="CJ251" i="1"/>
  <c r="CK251" i="1"/>
  <c r="CI251" i="1"/>
  <c r="X89" i="5"/>
  <c r="AA89" i="5" s="1"/>
  <c r="AH131" i="1"/>
  <c r="AM131" i="1" s="1"/>
  <c r="AN131" i="1" s="1"/>
  <c r="AC89" i="5"/>
  <c r="C95" i="5" s="1"/>
  <c r="G89" i="5" s="1"/>
  <c r="AO126" i="1" s="1"/>
  <c r="AP126" i="1" s="1"/>
  <c r="AQ139" i="5"/>
  <c r="AI139" i="5"/>
  <c r="AL139" i="5" s="1"/>
  <c r="AI181" i="1"/>
  <c r="AN139" i="5"/>
  <c r="D145" i="5" s="1"/>
  <c r="BL138" i="5"/>
  <c r="BG138" i="5"/>
  <c r="BK138" i="5" s="1"/>
  <c r="AP138" i="5"/>
  <c r="AK138" i="5"/>
  <c r="AO138" i="5" s="1"/>
  <c r="BA138" i="5"/>
  <c r="AV138" i="5"/>
  <c r="AZ138" i="5" s="1"/>
  <c r="AJ181" i="1"/>
  <c r="BB139" i="5"/>
  <c r="AT139" i="5"/>
  <c r="AW139" i="5" s="1"/>
  <c r="AY139" i="5"/>
  <c r="E145" i="5" s="1"/>
  <c r="BE139" i="5"/>
  <c r="BH139" i="5" s="1"/>
  <c r="BJ139" i="5"/>
  <c r="F145" i="5" s="1"/>
  <c r="AK181" i="1"/>
  <c r="BM139" i="5"/>
  <c r="L265" i="1"/>
  <c r="E227" i="3"/>
  <c r="F227" i="3" s="1"/>
  <c r="D228" i="3"/>
  <c r="CI253" i="1" l="1"/>
  <c r="CG252" i="1"/>
  <c r="CH252" i="1" s="1"/>
  <c r="CK252" i="1"/>
  <c r="CM252" i="1"/>
  <c r="CJ252" i="1"/>
  <c r="CL252" i="1"/>
  <c r="Q254" i="1"/>
  <c r="CF253" i="1"/>
  <c r="AA253" i="1"/>
  <c r="AN253" i="1" s="1"/>
  <c r="AN140" i="5"/>
  <c r="D146" i="5" s="1"/>
  <c r="AI182" i="1"/>
  <c r="AI140" i="5"/>
  <c r="AL140" i="5" s="1"/>
  <c r="AQ140" i="5"/>
  <c r="BA139" i="5"/>
  <c r="AV139" i="5"/>
  <c r="AZ139" i="5" s="1"/>
  <c r="AY140" i="5"/>
  <c r="E146" i="5" s="1"/>
  <c r="AJ182" i="1"/>
  <c r="AT140" i="5"/>
  <c r="AW140" i="5" s="1"/>
  <c r="BB140" i="5"/>
  <c r="L266" i="1"/>
  <c r="BM140" i="5"/>
  <c r="BJ140" i="5"/>
  <c r="F146" i="5" s="1"/>
  <c r="BE140" i="5"/>
  <c r="BH140" i="5" s="1"/>
  <c r="AK182" i="1"/>
  <c r="AP139" i="5"/>
  <c r="AK139" i="5"/>
  <c r="AO139" i="5" s="1"/>
  <c r="BL139" i="5"/>
  <c r="BG139" i="5"/>
  <c r="BK139" i="5" s="1"/>
  <c r="AE89" i="5"/>
  <c r="Z89" i="5"/>
  <c r="E228" i="3"/>
  <c r="F228" i="3" s="1"/>
  <c r="D229" i="3"/>
  <c r="Q255" i="1" l="1"/>
  <c r="CF254" i="1"/>
  <c r="AA254" i="1"/>
  <c r="AN254" i="1" s="1"/>
  <c r="CG253" i="1"/>
  <c r="CH253" i="1" s="1"/>
  <c r="CK253" i="1"/>
  <c r="CM253" i="1"/>
  <c r="CL253" i="1"/>
  <c r="CJ253" i="1"/>
  <c r="BL140" i="5"/>
  <c r="BG140" i="5"/>
  <c r="BK140" i="5" s="1"/>
  <c r="AY141" i="5"/>
  <c r="AJ183" i="1"/>
  <c r="AT141" i="5"/>
  <c r="AW141" i="5" s="1"/>
  <c r="BB141" i="5"/>
  <c r="AP140" i="5"/>
  <c r="AK140" i="5"/>
  <c r="AO140" i="5" s="1"/>
  <c r="L267" i="1"/>
  <c r="BJ141" i="5"/>
  <c r="BE141" i="5"/>
  <c r="BH141" i="5" s="1"/>
  <c r="BM141" i="5"/>
  <c r="AK183" i="1"/>
  <c r="BA140" i="5"/>
  <c r="AV140" i="5"/>
  <c r="AZ140" i="5" s="1"/>
  <c r="AF89" i="5"/>
  <c r="AD89" i="5"/>
  <c r="AI183" i="1"/>
  <c r="AN141" i="5"/>
  <c r="AI141" i="5"/>
  <c r="AL141" i="5" s="1"/>
  <c r="AQ141" i="5"/>
  <c r="D230" i="3"/>
  <c r="E229" i="3"/>
  <c r="F229" i="3" s="1"/>
  <c r="CI254" i="1" l="1"/>
  <c r="CL254" i="1"/>
  <c r="CG254" i="1"/>
  <c r="CH254" i="1" s="1"/>
  <c r="CM254" i="1"/>
  <c r="CK254" i="1"/>
  <c r="CJ254" i="1"/>
  <c r="Q256" i="1"/>
  <c r="CF255" i="1"/>
  <c r="AA255" i="1"/>
  <c r="AN255" i="1" s="1"/>
  <c r="AK184" i="1"/>
  <c r="BJ142" i="5"/>
  <c r="BE142" i="5"/>
  <c r="BH142" i="5" s="1"/>
  <c r="BM142" i="5"/>
  <c r="AK185" i="1" s="1"/>
  <c r="AQ142" i="5"/>
  <c r="AI185" i="1" s="1"/>
  <c r="AI184" i="1"/>
  <c r="AN142" i="5"/>
  <c r="AI142" i="5"/>
  <c r="AL142" i="5" s="1"/>
  <c r="BL141" i="5"/>
  <c r="BG141" i="5"/>
  <c r="BK141" i="5" s="1"/>
  <c r="AY142" i="5"/>
  <c r="BB142" i="5"/>
  <c r="AJ185" i="1" s="1"/>
  <c r="AJ184" i="1"/>
  <c r="AT142" i="5"/>
  <c r="AW142" i="5" s="1"/>
  <c r="BA141" i="5"/>
  <c r="AV141" i="5"/>
  <c r="AZ141" i="5" s="1"/>
  <c r="L268" i="1"/>
  <c r="AP141" i="5"/>
  <c r="AK141" i="5"/>
  <c r="AO141" i="5" s="1"/>
  <c r="AC90" i="5"/>
  <c r="C96" i="5" s="1"/>
  <c r="G90" i="5" s="1"/>
  <c r="AO127" i="1" s="1"/>
  <c r="AP127" i="1" s="1"/>
  <c r="X90" i="5"/>
  <c r="AA90" i="5" s="1"/>
  <c r="AH132" i="1"/>
  <c r="AM132" i="1" s="1"/>
  <c r="AN132" i="1" s="1"/>
  <c r="E230" i="3"/>
  <c r="F230" i="3" s="1"/>
  <c r="D231" i="3"/>
  <c r="Q257" i="1" l="1"/>
  <c r="CF256" i="1"/>
  <c r="AA256" i="1"/>
  <c r="AN256" i="1" s="1"/>
  <c r="CM255" i="1"/>
  <c r="CG255" i="1"/>
  <c r="CH255" i="1" s="1"/>
  <c r="CK255" i="1"/>
  <c r="CL255" i="1"/>
  <c r="CJ255" i="1"/>
  <c r="CI255" i="1"/>
  <c r="BL142" i="5"/>
  <c r="BG142" i="5"/>
  <c r="BK142" i="5" s="1"/>
  <c r="AE90" i="5"/>
  <c r="Z90" i="5"/>
  <c r="BA142" i="5"/>
  <c r="AV142" i="5"/>
  <c r="AZ142" i="5" s="1"/>
  <c r="AP142" i="5"/>
  <c r="AK142" i="5"/>
  <c r="AO142" i="5" s="1"/>
  <c r="L269" i="1"/>
  <c r="D232" i="3"/>
  <c r="E231" i="3"/>
  <c r="F231" i="3" s="1"/>
  <c r="CM256" i="1" l="1"/>
  <c r="CK256" i="1"/>
  <c r="CJ256" i="1"/>
  <c r="CG256" i="1"/>
  <c r="CH256" i="1" s="1"/>
  <c r="CL256" i="1"/>
  <c r="Q258" i="1"/>
  <c r="CF257" i="1"/>
  <c r="AA257" i="1"/>
  <c r="AN257" i="1" s="1"/>
  <c r="CI256" i="1"/>
  <c r="L270" i="1"/>
  <c r="AF90" i="5"/>
  <c r="AD90" i="5"/>
  <c r="D233" i="3"/>
  <c r="E232" i="3"/>
  <c r="F232" i="3" s="1"/>
  <c r="Q259" i="1" l="1"/>
  <c r="CF258" i="1"/>
  <c r="AA258" i="1"/>
  <c r="AN258" i="1" s="1"/>
  <c r="CM257" i="1"/>
  <c r="CG257" i="1"/>
  <c r="CH257" i="1" s="1"/>
  <c r="CK257" i="1"/>
  <c r="CL257" i="1"/>
  <c r="CJ257" i="1"/>
  <c r="CI257" i="1"/>
  <c r="CI258" i="1"/>
  <c r="X91" i="5"/>
  <c r="AA91" i="5" s="1"/>
  <c r="AC91" i="5"/>
  <c r="C97" i="5" s="1"/>
  <c r="G91" i="5" s="1"/>
  <c r="AO128" i="1" s="1"/>
  <c r="AP128" i="1" s="1"/>
  <c r="AH133" i="1"/>
  <c r="AM133" i="1" s="1"/>
  <c r="AN133" i="1" s="1"/>
  <c r="L271" i="1"/>
  <c r="E233" i="3"/>
  <c r="F233" i="3" s="1"/>
  <c r="D234" i="3"/>
  <c r="CG258" i="1" l="1"/>
  <c r="CH258" i="1" s="1"/>
  <c r="CK258" i="1"/>
  <c r="CM258" i="1"/>
  <c r="CL258" i="1"/>
  <c r="CJ258" i="1"/>
  <c r="Q260" i="1"/>
  <c r="CF259" i="1"/>
  <c r="AA259" i="1"/>
  <c r="AN259" i="1" s="1"/>
  <c r="L272" i="1"/>
  <c r="AE91" i="5"/>
  <c r="Z91" i="5"/>
  <c r="D235" i="3"/>
  <c r="E234" i="3"/>
  <c r="F234" i="3" s="1"/>
  <c r="CM259" i="1" l="1"/>
  <c r="CL259" i="1"/>
  <c r="CK259" i="1"/>
  <c r="CJ259" i="1"/>
  <c r="CG259" i="1"/>
  <c r="CH259" i="1" s="1"/>
  <c r="CI259" i="1"/>
  <c r="Q261" i="1"/>
  <c r="CF260" i="1"/>
  <c r="AA260" i="1"/>
  <c r="AN260" i="1" s="1"/>
  <c r="AF91" i="5"/>
  <c r="AD91" i="5"/>
  <c r="L273" i="1"/>
  <c r="E235" i="3"/>
  <c r="F235" i="3" s="1"/>
  <c r="D236" i="3"/>
  <c r="CI260" i="1" l="1"/>
  <c r="Q262" i="1"/>
  <c r="CF261" i="1"/>
  <c r="AA261" i="1"/>
  <c r="AN261" i="1" s="1"/>
  <c r="CK260" i="1"/>
  <c r="CM260" i="1"/>
  <c r="CL260" i="1"/>
  <c r="CJ260" i="1"/>
  <c r="CG260" i="1"/>
  <c r="CH260" i="1" s="1"/>
  <c r="L274" i="1"/>
  <c r="X92" i="5"/>
  <c r="AA92" i="5" s="1"/>
  <c r="AH134" i="1"/>
  <c r="AM134" i="1" s="1"/>
  <c r="AN134" i="1" s="1"/>
  <c r="AC92" i="5"/>
  <c r="C98" i="5" s="1"/>
  <c r="G92" i="5" s="1"/>
  <c r="AO129" i="1" s="1"/>
  <c r="AP129" i="1" s="1"/>
  <c r="E236" i="3"/>
  <c r="F236" i="3" s="1"/>
  <c r="D237" i="3"/>
  <c r="CL261" i="1" l="1"/>
  <c r="CM261" i="1"/>
  <c r="CG261" i="1"/>
  <c r="CH261" i="1" s="1"/>
  <c r="CK261" i="1"/>
  <c r="CJ261" i="1"/>
  <c r="Q263" i="1"/>
  <c r="CF262" i="1"/>
  <c r="AA262" i="1"/>
  <c r="AN262" i="1" s="1"/>
  <c r="CI261" i="1"/>
  <c r="AE92" i="5"/>
  <c r="Z92" i="5"/>
  <c r="L275" i="1"/>
  <c r="D238" i="3"/>
  <c r="E237" i="3"/>
  <c r="F237" i="3" s="1"/>
  <c r="CI263" i="1" l="1"/>
  <c r="Q264" i="1"/>
  <c r="CF263" i="1"/>
  <c r="AA263" i="1"/>
  <c r="AN263" i="1" s="1"/>
  <c r="CG262" i="1"/>
  <c r="CH262" i="1" s="1"/>
  <c r="CJ262" i="1"/>
  <c r="CK262" i="1"/>
  <c r="CL262" i="1"/>
  <c r="CM262" i="1"/>
  <c r="CI262" i="1"/>
  <c r="L276" i="1"/>
  <c r="AF92" i="5"/>
  <c r="AD92" i="5"/>
  <c r="D239" i="3"/>
  <c r="E238" i="3"/>
  <c r="F238" i="3" s="1"/>
  <c r="CK263" i="1" l="1"/>
  <c r="CJ263" i="1"/>
  <c r="CL263" i="1"/>
  <c r="CM263" i="1"/>
  <c r="CG263" i="1"/>
  <c r="CH263" i="1" s="1"/>
  <c r="Q265" i="1"/>
  <c r="CF264" i="1"/>
  <c r="AA264" i="1"/>
  <c r="AN264" i="1" s="1"/>
  <c r="X93" i="5"/>
  <c r="AA93" i="5" s="1"/>
  <c r="AC93" i="5"/>
  <c r="C99" i="5" s="1"/>
  <c r="G93" i="5" s="1"/>
  <c r="AO130" i="1" s="1"/>
  <c r="AP130" i="1" s="1"/>
  <c r="AH135" i="1"/>
  <c r="AM135" i="1" s="1"/>
  <c r="AN135" i="1" s="1"/>
  <c r="L277" i="1"/>
  <c r="D240" i="3"/>
  <c r="E239" i="3"/>
  <c r="F239" i="3" s="1"/>
  <c r="Q266" i="1" l="1"/>
  <c r="CF265" i="1"/>
  <c r="AA265" i="1"/>
  <c r="AN265" i="1" s="1"/>
  <c r="CG264" i="1"/>
  <c r="CH264" i="1" s="1"/>
  <c r="CK264" i="1"/>
  <c r="CM264" i="1"/>
  <c r="CJ264" i="1"/>
  <c r="CL264" i="1"/>
  <c r="CI264" i="1"/>
  <c r="CI265" i="1"/>
  <c r="L278" i="1"/>
  <c r="AE93" i="5"/>
  <c r="Z93" i="5"/>
  <c r="E240" i="3"/>
  <c r="F240" i="3" s="1"/>
  <c r="D241" i="3"/>
  <c r="CG265" i="1" l="1"/>
  <c r="CH265" i="1" s="1"/>
  <c r="CL265" i="1"/>
  <c r="CM265" i="1"/>
  <c r="CJ265" i="1"/>
  <c r="CK265" i="1"/>
  <c r="Q267" i="1"/>
  <c r="CF266" i="1"/>
  <c r="AA266" i="1"/>
  <c r="AN266" i="1" s="1"/>
  <c r="AF93" i="5"/>
  <c r="AD93" i="5"/>
  <c r="L279" i="1"/>
  <c r="E241" i="3"/>
  <c r="F241" i="3" s="1"/>
  <c r="D242" i="3"/>
  <c r="CG266" i="1" l="1"/>
  <c r="CH266" i="1" s="1"/>
  <c r="CL266" i="1"/>
  <c r="CJ266" i="1"/>
  <c r="CM266" i="1"/>
  <c r="CK266" i="1"/>
  <c r="CI266" i="1"/>
  <c r="Q268" i="1"/>
  <c r="CF267" i="1"/>
  <c r="CI267" i="1" s="1"/>
  <c r="AA267" i="1"/>
  <c r="AN267" i="1" s="1"/>
  <c r="L280" i="1"/>
  <c r="AC94" i="5"/>
  <c r="C100" i="5" s="1"/>
  <c r="G94" i="5" s="1"/>
  <c r="AO131" i="1" s="1"/>
  <c r="AP131" i="1" s="1"/>
  <c r="X94" i="5"/>
  <c r="AA94" i="5" s="1"/>
  <c r="AH136" i="1"/>
  <c r="AM136" i="1" s="1"/>
  <c r="AN136" i="1" s="1"/>
  <c r="D243" i="3"/>
  <c r="E242" i="3"/>
  <c r="F242" i="3" s="1"/>
  <c r="CL267" i="1" l="1"/>
  <c r="CJ267" i="1"/>
  <c r="CK267" i="1"/>
  <c r="CM267" i="1"/>
  <c r="CG267" i="1"/>
  <c r="CH267" i="1" s="1"/>
  <c r="Q269" i="1"/>
  <c r="CF268" i="1"/>
  <c r="AA268" i="1"/>
  <c r="AN268" i="1" s="1"/>
  <c r="AE94" i="5"/>
  <c r="Z94" i="5"/>
  <c r="L281" i="1"/>
  <c r="E243" i="3"/>
  <c r="F243" i="3" s="1"/>
  <c r="D244" i="3"/>
  <c r="CM268" i="1" l="1"/>
  <c r="CG268" i="1"/>
  <c r="CH268" i="1" s="1"/>
  <c r="CL268" i="1"/>
  <c r="CK268" i="1"/>
  <c r="CJ268" i="1"/>
  <c r="CI268" i="1"/>
  <c r="Q270" i="1"/>
  <c r="CF269" i="1"/>
  <c r="AA269" i="1"/>
  <c r="AN269" i="1" s="1"/>
  <c r="CI269" i="1"/>
  <c r="AF94" i="5"/>
  <c r="AD94" i="5"/>
  <c r="L282" i="1"/>
  <c r="E244" i="3"/>
  <c r="F244" i="3" s="1"/>
  <c r="D245" i="3"/>
  <c r="Q271" i="1" l="1"/>
  <c r="CF270" i="1"/>
  <c r="AA270" i="1"/>
  <c r="AN270" i="1" s="1"/>
  <c r="CG269" i="1"/>
  <c r="CH269" i="1" s="1"/>
  <c r="CM269" i="1"/>
  <c r="CL269" i="1"/>
  <c r="CK269" i="1"/>
  <c r="CJ269" i="1"/>
  <c r="CI270" i="1"/>
  <c r="L283" i="1"/>
  <c r="AC95" i="5"/>
  <c r="C101" i="5" s="1"/>
  <c r="G95" i="5" s="1"/>
  <c r="AO132" i="1" s="1"/>
  <c r="AP132" i="1" s="1"/>
  <c r="X95" i="5"/>
  <c r="AA95" i="5" s="1"/>
  <c r="AH137" i="1"/>
  <c r="AM137" i="1" s="1"/>
  <c r="AN137" i="1" s="1"/>
  <c r="D246" i="3"/>
  <c r="E245" i="3"/>
  <c r="F245" i="3" s="1"/>
  <c r="CM270" i="1" l="1"/>
  <c r="CG270" i="1"/>
  <c r="CH270" i="1" s="1"/>
  <c r="CL270" i="1"/>
  <c r="CK270" i="1"/>
  <c r="CJ270" i="1"/>
  <c r="Q272" i="1"/>
  <c r="CF271" i="1"/>
  <c r="AA271" i="1"/>
  <c r="AN271" i="1" s="1"/>
  <c r="AE95" i="5"/>
  <c r="Z95" i="5"/>
  <c r="L284" i="1"/>
  <c r="E246" i="3"/>
  <c r="F246" i="3" s="1"/>
  <c r="D247" i="3"/>
  <c r="CI272" i="1" l="1"/>
  <c r="Q273" i="1"/>
  <c r="CF272" i="1"/>
  <c r="AA272" i="1"/>
  <c r="AN272" i="1" s="1"/>
  <c r="CL271" i="1"/>
  <c r="CM271" i="1"/>
  <c r="CK271" i="1"/>
  <c r="CG271" i="1"/>
  <c r="CH271" i="1" s="1"/>
  <c r="CJ271" i="1"/>
  <c r="CI271" i="1"/>
  <c r="AF95" i="5"/>
  <c r="AD95" i="5"/>
  <c r="L285" i="1"/>
  <c r="D248" i="3"/>
  <c r="E247" i="3"/>
  <c r="F247" i="3" s="1"/>
  <c r="Q274" i="1" l="1"/>
  <c r="CF273" i="1"/>
  <c r="AA273" i="1"/>
  <c r="AN273" i="1" s="1"/>
  <c r="CK272" i="1"/>
  <c r="CL272" i="1"/>
  <c r="CM272" i="1"/>
  <c r="CG272" i="1"/>
  <c r="CH272" i="1" s="1"/>
  <c r="CJ272" i="1"/>
  <c r="L286" i="1"/>
  <c r="AC96" i="5"/>
  <c r="C102" i="5" s="1"/>
  <c r="G96" i="5" s="1"/>
  <c r="AO133" i="1" s="1"/>
  <c r="AP133" i="1" s="1"/>
  <c r="AH138" i="1"/>
  <c r="AM138" i="1" s="1"/>
  <c r="AN138" i="1" s="1"/>
  <c r="X96" i="5"/>
  <c r="AA96" i="5" s="1"/>
  <c r="D249" i="3"/>
  <c r="E248" i="3"/>
  <c r="F248" i="3" s="1"/>
  <c r="CL273" i="1" l="1"/>
  <c r="CK273" i="1"/>
  <c r="CM273" i="1"/>
  <c r="CG273" i="1"/>
  <c r="CH273" i="1" s="1"/>
  <c r="CJ273" i="1"/>
  <c r="CI273" i="1"/>
  <c r="Q275" i="1"/>
  <c r="CF274" i="1"/>
  <c r="AA274" i="1"/>
  <c r="AN274" i="1" s="1"/>
  <c r="AE96" i="5"/>
  <c r="Z96" i="5"/>
  <c r="L287" i="1"/>
  <c r="E249" i="3"/>
  <c r="F249" i="3" s="1"/>
  <c r="D250" i="3"/>
  <c r="CG274" i="1" l="1"/>
  <c r="CH274" i="1" s="1"/>
  <c r="CJ274" i="1"/>
  <c r="CL274" i="1"/>
  <c r="CK274" i="1"/>
  <c r="CM274" i="1"/>
  <c r="CI274" i="1"/>
  <c r="Q276" i="1"/>
  <c r="CF275" i="1"/>
  <c r="AA275" i="1"/>
  <c r="AN275" i="1" s="1"/>
  <c r="L288" i="1"/>
  <c r="AF96" i="5"/>
  <c r="AD96" i="5"/>
  <c r="E250" i="3"/>
  <c r="F250" i="3" s="1"/>
  <c r="D251" i="3"/>
  <c r="CL275" i="1" l="1"/>
  <c r="CK275" i="1"/>
  <c r="CM275" i="1"/>
  <c r="CJ275" i="1"/>
  <c r="CG275" i="1"/>
  <c r="CH275" i="1" s="1"/>
  <c r="Q277" i="1"/>
  <c r="CF276" i="1"/>
  <c r="AA276" i="1"/>
  <c r="AN276" i="1" s="1"/>
  <c r="CI275" i="1"/>
  <c r="X97" i="5"/>
  <c r="AA97" i="5" s="1"/>
  <c r="AH139" i="1"/>
  <c r="AM139" i="1" s="1"/>
  <c r="AN139" i="1" s="1"/>
  <c r="AC97" i="5"/>
  <c r="C103" i="5" s="1"/>
  <c r="G97" i="5" s="1"/>
  <c r="AO134" i="1" s="1"/>
  <c r="AP134" i="1" s="1"/>
  <c r="L289" i="1"/>
  <c r="D252" i="3"/>
  <c r="E251" i="3"/>
  <c r="F251" i="3" s="1"/>
  <c r="CM276" i="1" l="1"/>
  <c r="CL276" i="1"/>
  <c r="CK276" i="1"/>
  <c r="CG276" i="1"/>
  <c r="CH276" i="1" s="1"/>
  <c r="CJ276" i="1"/>
  <c r="Q278" i="1"/>
  <c r="CF277" i="1"/>
  <c r="AA277" i="1"/>
  <c r="AN277" i="1" s="1"/>
  <c r="CI276" i="1"/>
  <c r="L290" i="1"/>
  <c r="AE97" i="5"/>
  <c r="Z97" i="5"/>
  <c r="E252" i="3"/>
  <c r="F252" i="3" s="1"/>
  <c r="D253" i="3"/>
  <c r="CI277" i="1" l="1"/>
  <c r="CG277" i="1"/>
  <c r="CH277" i="1" s="1"/>
  <c r="CL277" i="1"/>
  <c r="CK277" i="1"/>
  <c r="CJ277" i="1"/>
  <c r="CM277" i="1"/>
  <c r="Q279" i="1"/>
  <c r="CF278" i="1"/>
  <c r="AA278" i="1"/>
  <c r="AN278" i="1" s="1"/>
  <c r="AF97" i="5"/>
  <c r="AD97" i="5"/>
  <c r="L291" i="1"/>
  <c r="D254" i="3"/>
  <c r="E253" i="3"/>
  <c r="F253" i="3" s="1"/>
  <c r="CG278" i="1" l="1"/>
  <c r="CH278" i="1" s="1"/>
  <c r="CM278" i="1"/>
  <c r="CJ278" i="1"/>
  <c r="CL278" i="1"/>
  <c r="CK278" i="1"/>
  <c r="Q280" i="1"/>
  <c r="CF279" i="1"/>
  <c r="AA279" i="1"/>
  <c r="AN279" i="1" s="1"/>
  <c r="CI278" i="1"/>
  <c r="L292" i="1"/>
  <c r="AC98" i="5"/>
  <c r="C104" i="5" s="1"/>
  <c r="G98" i="5" s="1"/>
  <c r="AO135" i="1" s="1"/>
  <c r="AP135" i="1" s="1"/>
  <c r="X98" i="5"/>
  <c r="AA98" i="5" s="1"/>
  <c r="AH140" i="1"/>
  <c r="AM140" i="1" s="1"/>
  <c r="AN140" i="1" s="1"/>
  <c r="D255" i="3"/>
  <c r="E254" i="3"/>
  <c r="F254" i="3" s="1"/>
  <c r="CL279" i="1" l="1"/>
  <c r="CK279" i="1"/>
  <c r="CG279" i="1"/>
  <c r="CH279" i="1" s="1"/>
  <c r="CM279" i="1"/>
  <c r="CJ279" i="1"/>
  <c r="Q281" i="1"/>
  <c r="CF280" i="1"/>
  <c r="AA280" i="1"/>
  <c r="AN280" i="1" s="1"/>
  <c r="CI279" i="1"/>
  <c r="AE98" i="5"/>
  <c r="Z98" i="5"/>
  <c r="L293" i="1"/>
  <c r="D256" i="3"/>
  <c r="E255" i="3"/>
  <c r="F255" i="3" s="1"/>
  <c r="CK280" i="1" l="1"/>
  <c r="CL280" i="1"/>
  <c r="CM280" i="1"/>
  <c r="CG280" i="1"/>
  <c r="CH280" i="1" s="1"/>
  <c r="CJ280" i="1"/>
  <c r="CI280" i="1"/>
  <c r="Q282" i="1"/>
  <c r="CF281" i="1"/>
  <c r="AA281" i="1"/>
  <c r="AN281" i="1" s="1"/>
  <c r="L294" i="1"/>
  <c r="AF98" i="5"/>
  <c r="AD98" i="5"/>
  <c r="E256" i="3"/>
  <c r="F256" i="3" s="1"/>
  <c r="D257" i="3"/>
  <c r="Q283" i="1" l="1"/>
  <c r="CF282" i="1"/>
  <c r="AA282" i="1"/>
  <c r="AN282" i="1" s="1"/>
  <c r="CL281" i="1"/>
  <c r="CM281" i="1"/>
  <c r="CK281" i="1"/>
  <c r="CJ281" i="1"/>
  <c r="CG281" i="1"/>
  <c r="CH281" i="1" s="1"/>
  <c r="CI281" i="1"/>
  <c r="CI282" i="1"/>
  <c r="X99" i="5"/>
  <c r="AA99" i="5" s="1"/>
  <c r="AH141" i="1"/>
  <c r="AM141" i="1" s="1"/>
  <c r="AN141" i="1" s="1"/>
  <c r="AC99" i="5"/>
  <c r="C105" i="5" s="1"/>
  <c r="G99" i="5" s="1"/>
  <c r="AO136" i="1" s="1"/>
  <c r="AP136" i="1" s="1"/>
  <c r="L295" i="1"/>
  <c r="D258" i="3"/>
  <c r="E257" i="3"/>
  <c r="F257" i="3" s="1"/>
  <c r="CG282" i="1" l="1"/>
  <c r="CH282" i="1" s="1"/>
  <c r="CL282" i="1"/>
  <c r="CJ282" i="1"/>
  <c r="CK282" i="1"/>
  <c r="CM282" i="1"/>
  <c r="Q284" i="1"/>
  <c r="CF283" i="1"/>
  <c r="AA283" i="1"/>
  <c r="AN283" i="1" s="1"/>
  <c r="L296" i="1"/>
  <c r="AE99" i="5"/>
  <c r="Z99" i="5"/>
  <c r="D259" i="3"/>
  <c r="E258" i="3"/>
  <c r="F258" i="3" s="1"/>
  <c r="CM283" i="1" l="1"/>
  <c r="CJ283" i="1"/>
  <c r="CL283" i="1"/>
  <c r="CK283" i="1"/>
  <c r="CG283" i="1"/>
  <c r="CH283" i="1" s="1"/>
  <c r="CI283" i="1"/>
  <c r="Q285" i="1"/>
  <c r="CF284" i="1"/>
  <c r="AA284" i="1"/>
  <c r="AN284" i="1" s="1"/>
  <c r="AF99" i="5"/>
  <c r="AD99" i="5"/>
  <c r="L297" i="1"/>
  <c r="D260" i="3"/>
  <c r="E259" i="3"/>
  <c r="F259" i="3" s="1"/>
  <c r="CM284" i="1" l="1"/>
  <c r="CG284" i="1"/>
  <c r="CH284" i="1" s="1"/>
  <c r="CJ284" i="1"/>
  <c r="CK284" i="1"/>
  <c r="CL284" i="1"/>
  <c r="CI284" i="1"/>
  <c r="Q286" i="1"/>
  <c r="CF285" i="1"/>
  <c r="AA285" i="1"/>
  <c r="AN285" i="1" s="1"/>
  <c r="CI285" i="1"/>
  <c r="L298" i="1"/>
  <c r="X100" i="5"/>
  <c r="AA100" i="5" s="1"/>
  <c r="AC100" i="5"/>
  <c r="C106" i="5" s="1"/>
  <c r="G100" i="5" s="1"/>
  <c r="AO137" i="1" s="1"/>
  <c r="AP137" i="1" s="1"/>
  <c r="AH142" i="1"/>
  <c r="AM142" i="1" s="1"/>
  <c r="AN142" i="1" s="1"/>
  <c r="E260" i="3"/>
  <c r="F260" i="3" s="1"/>
  <c r="D261" i="3"/>
  <c r="CI286" i="1" l="1"/>
  <c r="Q287" i="1"/>
  <c r="CF286" i="1"/>
  <c r="AA286" i="1"/>
  <c r="AN286" i="1" s="1"/>
  <c r="CG285" i="1"/>
  <c r="CH285" i="1" s="1"/>
  <c r="CK285" i="1"/>
  <c r="CM285" i="1"/>
  <c r="CJ285" i="1"/>
  <c r="CL285" i="1"/>
  <c r="AE100" i="5"/>
  <c r="Z100" i="5"/>
  <c r="L299" i="1"/>
  <c r="D262" i="3"/>
  <c r="E261" i="3"/>
  <c r="F261" i="3" s="1"/>
  <c r="CK286" i="1" l="1"/>
  <c r="CL286" i="1"/>
  <c r="CJ286" i="1"/>
  <c r="CM286" i="1"/>
  <c r="CG286" i="1"/>
  <c r="CH286" i="1" s="1"/>
  <c r="Q288" i="1"/>
  <c r="CF287" i="1"/>
  <c r="AA287" i="1"/>
  <c r="AN287" i="1" s="1"/>
  <c r="L300" i="1"/>
  <c r="AF100" i="5"/>
  <c r="AD100" i="5"/>
  <c r="E262" i="3"/>
  <c r="F262" i="3" s="1"/>
  <c r="D263" i="3"/>
  <c r="Q289" i="1" l="1"/>
  <c r="CF288" i="1"/>
  <c r="AA288" i="1"/>
  <c r="AN288" i="1" s="1"/>
  <c r="CM287" i="1"/>
  <c r="CL287" i="1"/>
  <c r="CG287" i="1"/>
  <c r="CH287" i="1" s="1"/>
  <c r="CK287" i="1"/>
  <c r="CJ287" i="1"/>
  <c r="CI287" i="1"/>
  <c r="CI288" i="1"/>
  <c r="AC101" i="5"/>
  <c r="C107" i="5" s="1"/>
  <c r="G101" i="5" s="1"/>
  <c r="AO138" i="1" s="1"/>
  <c r="AP138" i="1" s="1"/>
  <c r="AH143" i="1"/>
  <c r="AM143" i="1" s="1"/>
  <c r="AN143" i="1" s="1"/>
  <c r="X101" i="5"/>
  <c r="AA101" i="5" s="1"/>
  <c r="L301" i="1"/>
  <c r="E263" i="3"/>
  <c r="F263" i="3" s="1"/>
  <c r="D264" i="3"/>
  <c r="CG288" i="1" l="1"/>
  <c r="CH288" i="1" s="1"/>
  <c r="CL288" i="1"/>
  <c r="CM288" i="1"/>
  <c r="CK288" i="1"/>
  <c r="CJ288" i="1"/>
  <c r="Q290" i="1"/>
  <c r="CF289" i="1"/>
  <c r="AA289" i="1"/>
  <c r="AN289" i="1" s="1"/>
  <c r="AE101" i="5"/>
  <c r="Z101" i="5"/>
  <c r="L302" i="1"/>
  <c r="D265" i="3"/>
  <c r="E264" i="3"/>
  <c r="F264" i="3" s="1"/>
  <c r="CK289" i="1" l="1"/>
  <c r="CL289" i="1"/>
  <c r="CJ289" i="1"/>
  <c r="CG289" i="1"/>
  <c r="CH289" i="1" s="1"/>
  <c r="CM289" i="1"/>
  <c r="CI289" i="1"/>
  <c r="Q291" i="1"/>
  <c r="CF290" i="1"/>
  <c r="AA290" i="1"/>
  <c r="AN290" i="1" s="1"/>
  <c r="AF101" i="5"/>
  <c r="AD101" i="5"/>
  <c r="L303" i="1"/>
  <c r="E265" i="3"/>
  <c r="F265" i="3" s="1"/>
  <c r="D266" i="3"/>
  <c r="Q292" i="1" l="1"/>
  <c r="CF291" i="1"/>
  <c r="AA291" i="1"/>
  <c r="AN291" i="1" s="1"/>
  <c r="CM290" i="1"/>
  <c r="CJ290" i="1"/>
  <c r="CG290" i="1"/>
  <c r="CH290" i="1" s="1"/>
  <c r="CK290" i="1"/>
  <c r="CL290" i="1"/>
  <c r="CI290" i="1"/>
  <c r="CI291" i="1"/>
  <c r="AC102" i="5"/>
  <c r="C108" i="5" s="1"/>
  <c r="G102" i="5" s="1"/>
  <c r="AO139" i="1" s="1"/>
  <c r="AP139" i="1" s="1"/>
  <c r="AH144" i="1"/>
  <c r="AM144" i="1" s="1"/>
  <c r="AN144" i="1" s="1"/>
  <c r="X102" i="5"/>
  <c r="AA102" i="5" s="1"/>
  <c r="L304" i="1"/>
  <c r="D267" i="3"/>
  <c r="E266" i="3"/>
  <c r="F266" i="3" s="1"/>
  <c r="CK291" i="1" l="1"/>
  <c r="CL291" i="1"/>
  <c r="CM291" i="1"/>
  <c r="CG291" i="1"/>
  <c r="CH291" i="1" s="1"/>
  <c r="CJ291" i="1"/>
  <c r="Q293" i="1"/>
  <c r="CF292" i="1"/>
  <c r="AA292" i="1"/>
  <c r="AN292" i="1" s="1"/>
  <c r="L305" i="1"/>
  <c r="AE102" i="5"/>
  <c r="Z102" i="5"/>
  <c r="E267" i="3"/>
  <c r="F267" i="3" s="1"/>
  <c r="D268" i="3"/>
  <c r="Q294" i="1" l="1"/>
  <c r="CF293" i="1"/>
  <c r="AA293" i="1"/>
  <c r="AN293" i="1" s="1"/>
  <c r="CK292" i="1"/>
  <c r="CJ292" i="1"/>
  <c r="CM292" i="1"/>
  <c r="CL292" i="1"/>
  <c r="CG292" i="1"/>
  <c r="CH292" i="1" s="1"/>
  <c r="CI292" i="1"/>
  <c r="L306" i="1"/>
  <c r="AF102" i="5"/>
  <c r="AD102" i="5"/>
  <c r="E268" i="3"/>
  <c r="F268" i="3" s="1"/>
  <c r="D269" i="3"/>
  <c r="CK293" i="1" l="1"/>
  <c r="CG293" i="1"/>
  <c r="CH293" i="1" s="1"/>
  <c r="CM293" i="1"/>
  <c r="CJ293" i="1"/>
  <c r="CL293" i="1"/>
  <c r="Q295" i="1"/>
  <c r="CF294" i="1"/>
  <c r="AA294" i="1"/>
  <c r="AN294" i="1" s="1"/>
  <c r="CI293" i="1"/>
  <c r="AC103" i="5"/>
  <c r="C109" i="5" s="1"/>
  <c r="G103" i="5" s="1"/>
  <c r="AO140" i="1" s="1"/>
  <c r="AP140" i="1" s="1"/>
  <c r="X103" i="5"/>
  <c r="AA103" i="5" s="1"/>
  <c r="AH145" i="1"/>
  <c r="AM145" i="1" s="1"/>
  <c r="AN145" i="1" s="1"/>
  <c r="L307" i="1"/>
  <c r="E269" i="3"/>
  <c r="F269" i="3" s="1"/>
  <c r="D270" i="3"/>
  <c r="CK294" i="1" l="1"/>
  <c r="CJ294" i="1"/>
  <c r="CL294" i="1"/>
  <c r="CM294" i="1"/>
  <c r="CG294" i="1"/>
  <c r="CH294" i="1" s="1"/>
  <c r="CI294" i="1"/>
  <c r="Q296" i="1"/>
  <c r="CF295" i="1"/>
  <c r="AA295" i="1"/>
  <c r="AN295" i="1" s="1"/>
  <c r="L308" i="1"/>
  <c r="AE103" i="5"/>
  <c r="Z103" i="5"/>
  <c r="E270" i="3"/>
  <c r="F270" i="3" s="1"/>
  <c r="D271" i="3"/>
  <c r="CG295" i="1" l="1"/>
  <c r="CH295" i="1" s="1"/>
  <c r="CJ295" i="1"/>
  <c r="CK295" i="1"/>
  <c r="CL295" i="1"/>
  <c r="CM295" i="1"/>
  <c r="CI295" i="1"/>
  <c r="Q297" i="1"/>
  <c r="CF296" i="1"/>
  <c r="AA296" i="1"/>
  <c r="AN296" i="1" s="1"/>
  <c r="CI296" i="1"/>
  <c r="AF103" i="5"/>
  <c r="AD103" i="5"/>
  <c r="L309" i="1"/>
  <c r="E271" i="3"/>
  <c r="F271" i="3" s="1"/>
  <c r="D272" i="3"/>
  <c r="CK296" i="1" l="1"/>
  <c r="CJ296" i="1"/>
  <c r="CL296" i="1"/>
  <c r="CM296" i="1"/>
  <c r="CG296" i="1"/>
  <c r="CH296" i="1" s="1"/>
  <c r="Q298" i="1"/>
  <c r="CF297" i="1"/>
  <c r="AA297" i="1"/>
  <c r="AN297" i="1" s="1"/>
  <c r="CI297" i="1"/>
  <c r="AC104" i="5"/>
  <c r="C110" i="5" s="1"/>
  <c r="G104" i="5" s="1"/>
  <c r="AO141" i="1" s="1"/>
  <c r="AP141" i="1" s="1"/>
  <c r="X104" i="5"/>
  <c r="AA104" i="5" s="1"/>
  <c r="AH146" i="1"/>
  <c r="AM146" i="1" s="1"/>
  <c r="AN146" i="1" s="1"/>
  <c r="L310" i="1"/>
  <c r="E272" i="3"/>
  <c r="F272" i="3" s="1"/>
  <c r="D273" i="3"/>
  <c r="CL297" i="1" l="1"/>
  <c r="CM297" i="1"/>
  <c r="CJ297" i="1"/>
  <c r="CG297" i="1"/>
  <c r="CH297" i="1" s="1"/>
  <c r="CK297" i="1"/>
  <c r="Q299" i="1"/>
  <c r="CF298" i="1"/>
  <c r="AA298" i="1"/>
  <c r="AN298" i="1" s="1"/>
  <c r="L311" i="1"/>
  <c r="AE104" i="5"/>
  <c r="Z104" i="5"/>
  <c r="E273" i="3"/>
  <c r="F273" i="3" s="1"/>
  <c r="D274" i="3"/>
  <c r="CL298" i="1" l="1"/>
  <c r="CK298" i="1"/>
  <c r="CM298" i="1"/>
  <c r="CJ298" i="1"/>
  <c r="CG298" i="1"/>
  <c r="CH298" i="1" s="1"/>
  <c r="CI298" i="1"/>
  <c r="Q300" i="1"/>
  <c r="CF299" i="1"/>
  <c r="AA299" i="1"/>
  <c r="AN299" i="1" s="1"/>
  <c r="CI299" i="1"/>
  <c r="AF104" i="5"/>
  <c r="AD104" i="5"/>
  <c r="L312" i="1"/>
  <c r="D275" i="3"/>
  <c r="E274" i="3"/>
  <c r="F274" i="3" s="1"/>
  <c r="CI300" i="1" l="1"/>
  <c r="Q301" i="1"/>
  <c r="CF300" i="1"/>
  <c r="AA300" i="1"/>
  <c r="AN300" i="1" s="1"/>
  <c r="CL299" i="1"/>
  <c r="CJ299" i="1"/>
  <c r="CM299" i="1"/>
  <c r="CK299" i="1"/>
  <c r="CG299" i="1"/>
  <c r="CH299" i="1" s="1"/>
  <c r="L313" i="1"/>
  <c r="AC105" i="5"/>
  <c r="C111" i="5" s="1"/>
  <c r="G105" i="5" s="1"/>
  <c r="AO142" i="1" s="1"/>
  <c r="AP142" i="1" s="1"/>
  <c r="X105" i="5"/>
  <c r="AA105" i="5" s="1"/>
  <c r="AH147" i="1"/>
  <c r="AM147" i="1" s="1"/>
  <c r="AN147" i="1" s="1"/>
  <c r="E275" i="3"/>
  <c r="F275" i="3" s="1"/>
  <c r="D276" i="3"/>
  <c r="CI301" i="1" l="1"/>
  <c r="CM300" i="1"/>
  <c r="CG300" i="1"/>
  <c r="CH300" i="1" s="1"/>
  <c r="CL300" i="1"/>
  <c r="CJ300" i="1"/>
  <c r="CK300" i="1"/>
  <c r="Q302" i="1"/>
  <c r="CF301" i="1"/>
  <c r="AA301" i="1"/>
  <c r="AN301" i="1" s="1"/>
  <c r="AE105" i="5"/>
  <c r="Z105" i="5"/>
  <c r="L314" i="1"/>
  <c r="D277" i="3"/>
  <c r="E276" i="3"/>
  <c r="F276" i="3" s="1"/>
  <c r="CI302" i="1" l="1"/>
  <c r="Q303" i="1"/>
  <c r="CF302" i="1"/>
  <c r="AA302" i="1"/>
  <c r="AN302" i="1" s="1"/>
  <c r="CK301" i="1"/>
  <c r="CM301" i="1"/>
  <c r="CL301" i="1"/>
  <c r="CJ301" i="1"/>
  <c r="CG301" i="1"/>
  <c r="CH301" i="1" s="1"/>
  <c r="AF105" i="5"/>
  <c r="AD105" i="5"/>
  <c r="D278" i="3"/>
  <c r="E277" i="3"/>
  <c r="F277" i="3" s="1"/>
  <c r="CM302" i="1" l="1"/>
  <c r="CG302" i="1"/>
  <c r="CH302" i="1" s="1"/>
  <c r="CJ302" i="1"/>
  <c r="CL302" i="1"/>
  <c r="CK302" i="1"/>
  <c r="Q304" i="1"/>
  <c r="CF303" i="1"/>
  <c r="AA303" i="1"/>
  <c r="AN303" i="1" s="1"/>
  <c r="AC106" i="5"/>
  <c r="C112" i="5" s="1"/>
  <c r="G106" i="5" s="1"/>
  <c r="AO143" i="1" s="1"/>
  <c r="AP143" i="1" s="1"/>
  <c r="AH148" i="1"/>
  <c r="AM148" i="1" s="1"/>
  <c r="AN148" i="1" s="1"/>
  <c r="X106" i="5"/>
  <c r="AA106" i="5" s="1"/>
  <c r="E278" i="3"/>
  <c r="F278" i="3" s="1"/>
  <c r="D279" i="3"/>
  <c r="CG303" i="1" l="1"/>
  <c r="CH303" i="1" s="1"/>
  <c r="CM303" i="1"/>
  <c r="CL303" i="1"/>
  <c r="CK303" i="1"/>
  <c r="CJ303" i="1"/>
  <c r="CI303" i="1"/>
  <c r="Q305" i="1"/>
  <c r="CF304" i="1"/>
  <c r="AA304" i="1"/>
  <c r="AN304" i="1" s="1"/>
  <c r="AE106" i="5"/>
  <c r="Z106" i="5"/>
  <c r="E279" i="3"/>
  <c r="F279" i="3" s="1"/>
  <c r="D280" i="3"/>
  <c r="CK304" i="1" l="1"/>
  <c r="CM304" i="1"/>
  <c r="CL304" i="1"/>
  <c r="CJ304" i="1"/>
  <c r="CG304" i="1"/>
  <c r="CH304" i="1" s="1"/>
  <c r="Q306" i="1"/>
  <c r="CF305" i="1"/>
  <c r="AA305" i="1"/>
  <c r="AN305" i="1" s="1"/>
  <c r="CI304" i="1"/>
  <c r="CI305" i="1"/>
  <c r="AF106" i="5"/>
  <c r="AD106" i="5"/>
  <c r="D281" i="3"/>
  <c r="E280" i="3"/>
  <c r="F280" i="3" s="1"/>
  <c r="CK305" i="1" l="1"/>
  <c r="CL305" i="1"/>
  <c r="CM305" i="1"/>
  <c r="CJ305" i="1"/>
  <c r="CG305" i="1"/>
  <c r="CH305" i="1" s="1"/>
  <c r="Q307" i="1"/>
  <c r="CF306" i="1"/>
  <c r="AA306" i="1"/>
  <c r="AN306" i="1" s="1"/>
  <c r="AC107" i="5"/>
  <c r="C113" i="5" s="1"/>
  <c r="G107" i="5" s="1"/>
  <c r="AO144" i="1" s="1"/>
  <c r="AP144" i="1" s="1"/>
  <c r="X107" i="5"/>
  <c r="AA107" i="5" s="1"/>
  <c r="AH149" i="1"/>
  <c r="AM149" i="1" s="1"/>
  <c r="AN149" i="1" s="1"/>
  <c r="E281" i="3"/>
  <c r="F281" i="3" s="1"/>
  <c r="D282" i="3"/>
  <c r="CI307" i="1" l="1"/>
  <c r="Q308" i="1"/>
  <c r="CF307" i="1"/>
  <c r="AA307" i="1"/>
  <c r="AN307" i="1" s="1"/>
  <c r="CL306" i="1"/>
  <c r="CK306" i="1"/>
  <c r="CM306" i="1"/>
  <c r="CG306" i="1"/>
  <c r="CH306" i="1" s="1"/>
  <c r="CJ306" i="1"/>
  <c r="CI306" i="1"/>
  <c r="AE107" i="5"/>
  <c r="Z107" i="5"/>
  <c r="D283" i="3"/>
  <c r="E282" i="3"/>
  <c r="F282" i="3" s="1"/>
  <c r="CL307" i="1" l="1"/>
  <c r="CJ307" i="1"/>
  <c r="CM307" i="1"/>
  <c r="CK307" i="1"/>
  <c r="CG307" i="1"/>
  <c r="CH307" i="1" s="1"/>
  <c r="Q309" i="1"/>
  <c r="CF308" i="1"/>
  <c r="AA308" i="1"/>
  <c r="AN308" i="1" s="1"/>
  <c r="AF107" i="5"/>
  <c r="AD107" i="5"/>
  <c r="E283" i="3"/>
  <c r="F283" i="3" s="1"/>
  <c r="D284" i="3"/>
  <c r="Q310" i="1" l="1"/>
  <c r="CF309" i="1"/>
  <c r="AA309" i="1"/>
  <c r="AN309" i="1" s="1"/>
  <c r="CG308" i="1"/>
  <c r="CH308" i="1" s="1"/>
  <c r="CK308" i="1"/>
  <c r="CL308" i="1"/>
  <c r="CM308" i="1"/>
  <c r="CJ308" i="1"/>
  <c r="CI308" i="1"/>
  <c r="AC108" i="5"/>
  <c r="C114" i="5" s="1"/>
  <c r="G108" i="5" s="1"/>
  <c r="AO145" i="1" s="1"/>
  <c r="AP145" i="1" s="1"/>
  <c r="AH150" i="1"/>
  <c r="AM150" i="1" s="1"/>
  <c r="AN150" i="1" s="1"/>
  <c r="X108" i="5"/>
  <c r="AA108" i="5" s="1"/>
  <c r="E284" i="3"/>
  <c r="F284" i="3" s="1"/>
  <c r="D285" i="3"/>
  <c r="CG309" i="1" l="1"/>
  <c r="CH309" i="1" s="1"/>
  <c r="CL309" i="1"/>
  <c r="CK309" i="1"/>
  <c r="CM309" i="1"/>
  <c r="CJ309" i="1"/>
  <c r="CI309" i="1"/>
  <c r="Q311" i="1"/>
  <c r="CF310" i="1"/>
  <c r="AA310" i="1"/>
  <c r="AN310" i="1" s="1"/>
  <c r="AE108" i="5"/>
  <c r="Z108" i="5"/>
  <c r="D286" i="3"/>
  <c r="E285" i="3"/>
  <c r="F285" i="3" s="1"/>
  <c r="CL310" i="1" l="1"/>
  <c r="CG310" i="1"/>
  <c r="CH310" i="1" s="1"/>
  <c r="CJ310" i="1"/>
  <c r="CM310" i="1"/>
  <c r="CK310" i="1"/>
  <c r="Q312" i="1"/>
  <c r="CF311" i="1"/>
  <c r="AA311" i="1"/>
  <c r="AN311" i="1" s="1"/>
  <c r="CI310" i="1"/>
  <c r="CI311" i="1"/>
  <c r="AF108" i="5"/>
  <c r="AD108" i="5"/>
  <c r="D287" i="3"/>
  <c r="E286" i="3"/>
  <c r="F286" i="3" s="1"/>
  <c r="CL311" i="1" l="1"/>
  <c r="CJ311" i="1"/>
  <c r="CG311" i="1"/>
  <c r="CH311" i="1" s="1"/>
  <c r="CK311" i="1"/>
  <c r="CM311" i="1"/>
  <c r="Q313" i="1"/>
  <c r="CF312" i="1"/>
  <c r="AA312" i="1"/>
  <c r="AN312" i="1" s="1"/>
  <c r="CI312" i="1"/>
  <c r="AH151" i="1"/>
  <c r="AM151" i="1" s="1"/>
  <c r="AN151" i="1" s="1"/>
  <c r="X109" i="5"/>
  <c r="AA109" i="5" s="1"/>
  <c r="AC109" i="5"/>
  <c r="C115" i="5" s="1"/>
  <c r="G109" i="5" s="1"/>
  <c r="AO146" i="1" s="1"/>
  <c r="AP146" i="1" s="1"/>
  <c r="E287" i="3"/>
  <c r="F287" i="3" s="1"/>
  <c r="D288" i="3"/>
  <c r="CG312" i="1" l="1"/>
  <c r="CH312" i="1" s="1"/>
  <c r="CK312" i="1"/>
  <c r="CM312" i="1"/>
  <c r="CJ312" i="1"/>
  <c r="CL312" i="1"/>
  <c r="Q314" i="1"/>
  <c r="CF313" i="1"/>
  <c r="AA313" i="1"/>
  <c r="AN313" i="1" s="1"/>
  <c r="AE109" i="5"/>
  <c r="Z109" i="5"/>
  <c r="E288" i="3"/>
  <c r="F288" i="3" s="1"/>
  <c r="D289" i="3"/>
  <c r="CL313" i="1" l="1"/>
  <c r="CJ313" i="1"/>
  <c r="CG313" i="1"/>
  <c r="CH313" i="1" s="1"/>
  <c r="CK313" i="1"/>
  <c r="CM313" i="1"/>
  <c r="CI313" i="1"/>
  <c r="CF314" i="1"/>
  <c r="AA314" i="1"/>
  <c r="AN314" i="1" s="1"/>
  <c r="AF109" i="5"/>
  <c r="AD109" i="5"/>
  <c r="D290" i="3"/>
  <c r="E289" i="3"/>
  <c r="F289" i="3" s="1"/>
  <c r="CM314" i="1" l="1"/>
  <c r="CL314" i="1"/>
  <c r="CJ314" i="1"/>
  <c r="CK314" i="1"/>
  <c r="CG314" i="1"/>
  <c r="CH314" i="1" s="1"/>
  <c r="CI314" i="1"/>
  <c r="AH152" i="1"/>
  <c r="AM152" i="1" s="1"/>
  <c r="AN152" i="1" s="1"/>
  <c r="X110" i="5"/>
  <c r="AA110" i="5" s="1"/>
  <c r="AC110" i="5"/>
  <c r="C116" i="5" s="1"/>
  <c r="G110" i="5" s="1"/>
  <c r="AO147" i="1" s="1"/>
  <c r="AP147" i="1" s="1"/>
  <c r="D291" i="3"/>
  <c r="E290" i="3"/>
  <c r="F290" i="3" s="1"/>
  <c r="AE110" i="5" l="1"/>
  <c r="Z110" i="5"/>
  <c r="D292" i="3"/>
  <c r="E291" i="3"/>
  <c r="F291" i="3" s="1"/>
  <c r="AF110" i="5" l="1"/>
  <c r="AD110" i="5"/>
  <c r="E292" i="3"/>
  <c r="F292" i="3" s="1"/>
  <c r="D293" i="3"/>
  <c r="X111" i="5" l="1"/>
  <c r="AA111" i="5" s="1"/>
  <c r="AC111" i="5"/>
  <c r="C117" i="5" s="1"/>
  <c r="G111" i="5" s="1"/>
  <c r="AO148" i="1" s="1"/>
  <c r="AP148" i="1" s="1"/>
  <c r="AH153" i="1"/>
  <c r="AM153" i="1" s="1"/>
  <c r="AN153" i="1" s="1"/>
  <c r="D294" i="3"/>
  <c r="E293" i="3"/>
  <c r="F293" i="3" s="1"/>
  <c r="AE111" i="5" l="1"/>
  <c r="Z111" i="5"/>
  <c r="E294" i="3"/>
  <c r="F294" i="3" s="1"/>
  <c r="D295" i="3"/>
  <c r="AF111" i="5" l="1"/>
  <c r="AD111" i="5"/>
  <c r="D296" i="3"/>
  <c r="E295" i="3"/>
  <c r="F295" i="3" s="1"/>
  <c r="AH154" i="1" l="1"/>
  <c r="AM154" i="1" s="1"/>
  <c r="AN154" i="1" s="1"/>
  <c r="AC112" i="5"/>
  <c r="C118" i="5" s="1"/>
  <c r="G112" i="5" s="1"/>
  <c r="AO149" i="1" s="1"/>
  <c r="AP149" i="1" s="1"/>
  <c r="X112" i="5"/>
  <c r="AA112" i="5" s="1"/>
  <c r="D297" i="3"/>
  <c r="E296" i="3"/>
  <c r="F296" i="3" s="1"/>
  <c r="AE112" i="5" l="1"/>
  <c r="Z112" i="5"/>
  <c r="E297" i="3"/>
  <c r="F297" i="3" s="1"/>
  <c r="D298" i="3"/>
  <c r="AF112" i="5" l="1"/>
  <c r="AD112" i="5"/>
  <c r="E298" i="3"/>
  <c r="F298" i="3" s="1"/>
  <c r="D299" i="3"/>
  <c r="AC113" i="5" l="1"/>
  <c r="C119" i="5" s="1"/>
  <c r="G113" i="5" s="1"/>
  <c r="AO150" i="1" s="1"/>
  <c r="AP150" i="1" s="1"/>
  <c r="X113" i="5"/>
  <c r="AA113" i="5" s="1"/>
  <c r="AH155" i="1"/>
  <c r="AM155" i="1" s="1"/>
  <c r="AN155" i="1" s="1"/>
  <c r="D300" i="3"/>
  <c r="E299" i="3"/>
  <c r="F299" i="3" s="1"/>
  <c r="AE113" i="5" l="1"/>
  <c r="Z113" i="5"/>
  <c r="E300" i="3"/>
  <c r="F300" i="3" s="1"/>
  <c r="D301" i="3"/>
  <c r="AF113" i="5" l="1"/>
  <c r="AD113" i="5"/>
  <c r="D302" i="3"/>
  <c r="E301" i="3"/>
  <c r="F301" i="3" s="1"/>
  <c r="AC114" i="5" l="1"/>
  <c r="C120" i="5" s="1"/>
  <c r="G114" i="5" s="1"/>
  <c r="AO151" i="1" s="1"/>
  <c r="AP151" i="1" s="1"/>
  <c r="X114" i="5"/>
  <c r="AA114" i="5" s="1"/>
  <c r="AH156" i="1"/>
  <c r="AM156" i="1" s="1"/>
  <c r="AN156" i="1" s="1"/>
  <c r="D303" i="3"/>
  <c r="E302" i="3"/>
  <c r="F302" i="3" s="1"/>
  <c r="AE114" i="5" l="1"/>
  <c r="Z114" i="5"/>
  <c r="E303" i="3"/>
  <c r="F303" i="3" s="1"/>
  <c r="D304" i="3"/>
  <c r="AF114" i="5" l="1"/>
  <c r="AD114" i="5"/>
  <c r="E304" i="3"/>
  <c r="F304" i="3" s="1"/>
  <c r="D305" i="3"/>
  <c r="AH157" i="1" l="1"/>
  <c r="AM157" i="1" s="1"/>
  <c r="AN157" i="1" s="1"/>
  <c r="X115" i="5"/>
  <c r="AA115" i="5" s="1"/>
  <c r="AC115" i="5"/>
  <c r="C121" i="5" s="1"/>
  <c r="G115" i="5" s="1"/>
  <c r="AO152" i="1" s="1"/>
  <c r="AP152" i="1" s="1"/>
  <c r="D306" i="3"/>
  <c r="E305" i="3"/>
  <c r="F305" i="3" s="1"/>
  <c r="AE115" i="5" l="1"/>
  <c r="Z115" i="5"/>
  <c r="D307" i="3"/>
  <c r="E306" i="3"/>
  <c r="F306" i="3" s="1"/>
  <c r="AF115" i="5" l="1"/>
  <c r="AD115" i="5"/>
  <c r="D308" i="3"/>
  <c r="E307" i="3"/>
  <c r="F307" i="3" s="1"/>
  <c r="AC116" i="5" l="1"/>
  <c r="C122" i="5" s="1"/>
  <c r="G116" i="5" s="1"/>
  <c r="AO153" i="1" s="1"/>
  <c r="AP153" i="1" s="1"/>
  <c r="X116" i="5"/>
  <c r="AA116" i="5" s="1"/>
  <c r="AH158" i="1"/>
  <c r="AM158" i="1" s="1"/>
  <c r="AN158" i="1" s="1"/>
  <c r="D309" i="3"/>
  <c r="E308" i="3"/>
  <c r="F308" i="3" s="1"/>
  <c r="AE116" i="5" l="1"/>
  <c r="Z116" i="5"/>
  <c r="D310" i="3"/>
  <c r="E309" i="3"/>
  <c r="F309" i="3" s="1"/>
  <c r="AF116" i="5" l="1"/>
  <c r="AD116" i="5"/>
  <c r="E310" i="3"/>
  <c r="F310" i="3" s="1"/>
  <c r="D311" i="3"/>
  <c r="AC117" i="5" l="1"/>
  <c r="C123" i="5" s="1"/>
  <c r="G117" i="5" s="1"/>
  <c r="AO154" i="1" s="1"/>
  <c r="AP154" i="1" s="1"/>
  <c r="X117" i="5"/>
  <c r="AA117" i="5" s="1"/>
  <c r="AH159" i="1"/>
  <c r="AM159" i="1" s="1"/>
  <c r="AN159" i="1" s="1"/>
  <c r="E311" i="3"/>
  <c r="F311" i="3" s="1"/>
  <c r="D312" i="3"/>
  <c r="AE117" i="5" l="1"/>
  <c r="Z117" i="5"/>
  <c r="D313" i="3"/>
  <c r="E312" i="3"/>
  <c r="F312" i="3" s="1"/>
  <c r="AF117" i="5" l="1"/>
  <c r="AD117" i="5"/>
  <c r="E313" i="3"/>
  <c r="F313" i="3" s="1"/>
  <c r="D314" i="3"/>
  <c r="AC118" i="5" l="1"/>
  <c r="C124" i="5" s="1"/>
  <c r="G118" i="5" s="1"/>
  <c r="AO155" i="1" s="1"/>
  <c r="AP155" i="1" s="1"/>
  <c r="X118" i="5"/>
  <c r="AA118" i="5" s="1"/>
  <c r="AH160" i="1"/>
  <c r="AM160" i="1" s="1"/>
  <c r="AN160" i="1" s="1"/>
  <c r="E314" i="3"/>
  <c r="F314" i="3" s="1"/>
  <c r="D315" i="3"/>
  <c r="AE118" i="5" l="1"/>
  <c r="Z118" i="5"/>
  <c r="E315" i="3"/>
  <c r="F315" i="3" s="1"/>
  <c r="D316" i="3"/>
  <c r="AF118" i="5" l="1"/>
  <c r="AD118" i="5"/>
  <c r="E316" i="3"/>
  <c r="F316" i="3" s="1"/>
  <c r="D317" i="3"/>
  <c r="X119" i="5" l="1"/>
  <c r="AA119" i="5" s="1"/>
  <c r="AH161" i="1"/>
  <c r="AM161" i="1" s="1"/>
  <c r="AN161" i="1" s="1"/>
  <c r="AC119" i="5"/>
  <c r="C125" i="5" s="1"/>
  <c r="G119" i="5" s="1"/>
  <c r="AO156" i="1" s="1"/>
  <c r="AP156" i="1" s="1"/>
  <c r="E317" i="3"/>
  <c r="F317" i="3" s="1"/>
  <c r="D318" i="3"/>
  <c r="AE119" i="5" l="1"/>
  <c r="Z119" i="5"/>
  <c r="E318" i="3"/>
  <c r="F318" i="3" s="1"/>
  <c r="D319" i="3"/>
  <c r="AF119" i="5" l="1"/>
  <c r="AD119" i="5"/>
  <c r="E319" i="3"/>
  <c r="F319" i="3" s="1"/>
  <c r="D320" i="3"/>
  <c r="AC120" i="5" l="1"/>
  <c r="C126" i="5" s="1"/>
  <c r="G120" i="5" s="1"/>
  <c r="AO157" i="1" s="1"/>
  <c r="AP157" i="1" s="1"/>
  <c r="X120" i="5"/>
  <c r="AA120" i="5" s="1"/>
  <c r="AH162" i="1"/>
  <c r="AM162" i="1" s="1"/>
  <c r="AN162" i="1" s="1"/>
  <c r="E320" i="3"/>
  <c r="F320" i="3" s="1"/>
  <c r="D321" i="3"/>
  <c r="AE120" i="5" l="1"/>
  <c r="Z120" i="5"/>
  <c r="D322" i="3"/>
  <c r="E321" i="3"/>
  <c r="F321" i="3" s="1"/>
  <c r="AF120" i="5" l="1"/>
  <c r="AD120" i="5"/>
  <c r="D323" i="3"/>
  <c r="E322" i="3"/>
  <c r="F322" i="3" s="1"/>
  <c r="AC121" i="5" l="1"/>
  <c r="C127" i="5" s="1"/>
  <c r="G121" i="5" s="1"/>
  <c r="AO158" i="1" s="1"/>
  <c r="AP158" i="1" s="1"/>
  <c r="AH163" i="1"/>
  <c r="AM163" i="1" s="1"/>
  <c r="AN163" i="1" s="1"/>
  <c r="X121" i="5"/>
  <c r="AA121" i="5" s="1"/>
  <c r="D324" i="3"/>
  <c r="E323" i="3"/>
  <c r="F323" i="3" s="1"/>
  <c r="AE121" i="5" l="1"/>
  <c r="Z121" i="5"/>
  <c r="E324" i="3"/>
  <c r="F324" i="3" s="1"/>
  <c r="D325" i="3"/>
  <c r="AF121" i="5" l="1"/>
  <c r="AD121" i="5"/>
  <c r="D326" i="3"/>
  <c r="E325" i="3"/>
  <c r="F325" i="3" s="1"/>
  <c r="AC122" i="5" l="1"/>
  <c r="C128" i="5" s="1"/>
  <c r="G122" i="5" s="1"/>
  <c r="AO159" i="1" s="1"/>
  <c r="AP159" i="1" s="1"/>
  <c r="X122" i="5"/>
  <c r="AA122" i="5" s="1"/>
  <c r="AH164" i="1"/>
  <c r="AM164" i="1" s="1"/>
  <c r="AN164" i="1" s="1"/>
  <c r="E326" i="3"/>
  <c r="F326" i="3" s="1"/>
  <c r="D327" i="3"/>
  <c r="AE122" i="5" l="1"/>
  <c r="Z122" i="5"/>
  <c r="E327" i="3"/>
  <c r="F327" i="3" s="1"/>
  <c r="D328" i="3"/>
  <c r="AF122" i="5" l="1"/>
  <c r="AD122" i="5"/>
  <c r="D329" i="3"/>
  <c r="E328" i="3"/>
  <c r="F328" i="3" s="1"/>
  <c r="AC123" i="5" l="1"/>
  <c r="C129" i="5" s="1"/>
  <c r="G123" i="5" s="1"/>
  <c r="AO160" i="1" s="1"/>
  <c r="AP160" i="1" s="1"/>
  <c r="AH165" i="1"/>
  <c r="AM165" i="1" s="1"/>
  <c r="AN165" i="1" s="1"/>
  <c r="X123" i="5"/>
  <c r="AA123" i="5" s="1"/>
  <c r="E329" i="3"/>
  <c r="F329" i="3" s="1"/>
  <c r="D330" i="3"/>
  <c r="AE123" i="5" l="1"/>
  <c r="Z123" i="5"/>
  <c r="E330" i="3"/>
  <c r="F330" i="3" s="1"/>
  <c r="D331" i="3"/>
  <c r="AF123" i="5" l="1"/>
  <c r="AD123" i="5"/>
  <c r="E331" i="3"/>
  <c r="F331" i="3" s="1"/>
  <c r="D332" i="3"/>
  <c r="AC124" i="5" l="1"/>
  <c r="C130" i="5" s="1"/>
  <c r="G124" i="5" s="1"/>
  <c r="AO161" i="1" s="1"/>
  <c r="AP161" i="1" s="1"/>
  <c r="AH166" i="1"/>
  <c r="AM166" i="1" s="1"/>
  <c r="AN166" i="1" s="1"/>
  <c r="X124" i="5"/>
  <c r="AA124" i="5" s="1"/>
  <c r="E332" i="3"/>
  <c r="F332" i="3" s="1"/>
  <c r="D333" i="3"/>
  <c r="AE124" i="5" l="1"/>
  <c r="Z124" i="5"/>
  <c r="E333" i="3"/>
  <c r="F333" i="3" s="1"/>
  <c r="D334" i="3"/>
  <c r="AF124" i="5" l="1"/>
  <c r="AD124" i="5"/>
  <c r="E334" i="3"/>
  <c r="F334" i="3" s="1"/>
  <c r="D335" i="3"/>
  <c r="AC125" i="5" l="1"/>
  <c r="C131" i="5" s="1"/>
  <c r="G125" i="5" s="1"/>
  <c r="AO162" i="1" s="1"/>
  <c r="AP162" i="1" s="1"/>
  <c r="X125" i="5"/>
  <c r="AA125" i="5" s="1"/>
  <c r="AH167" i="1"/>
  <c r="AM167" i="1" s="1"/>
  <c r="AN167" i="1" s="1"/>
  <c r="E335" i="3"/>
  <c r="F335" i="3" s="1"/>
  <c r="D336" i="3"/>
  <c r="AE125" i="5" l="1"/>
  <c r="Z125" i="5"/>
  <c r="E336" i="3"/>
  <c r="F336" i="3" s="1"/>
  <c r="D337" i="3"/>
  <c r="AF125" i="5" l="1"/>
  <c r="AD125" i="5"/>
  <c r="E337" i="3"/>
  <c r="F337" i="3" s="1"/>
  <c r="D338" i="3"/>
  <c r="AC126" i="5" l="1"/>
  <c r="C132" i="5" s="1"/>
  <c r="G126" i="5" s="1"/>
  <c r="AO163" i="1" s="1"/>
  <c r="AP163" i="1" s="1"/>
  <c r="AH168" i="1"/>
  <c r="AM168" i="1" s="1"/>
  <c r="AN168" i="1" s="1"/>
  <c r="X126" i="5"/>
  <c r="AA126" i="5" s="1"/>
  <c r="D339" i="3"/>
  <c r="E338" i="3"/>
  <c r="F338" i="3" s="1"/>
  <c r="AE126" i="5" l="1"/>
  <c r="Z126" i="5"/>
  <c r="E339" i="3"/>
  <c r="F339" i="3" s="1"/>
  <c r="D340" i="3"/>
  <c r="AF126" i="5" l="1"/>
  <c r="AD126" i="5"/>
  <c r="E340" i="3"/>
  <c r="F340" i="3" s="1"/>
  <c r="D341" i="3"/>
  <c r="X127" i="5" l="1"/>
  <c r="AA127" i="5" s="1"/>
  <c r="AC127" i="5"/>
  <c r="C133" i="5" s="1"/>
  <c r="G127" i="5" s="1"/>
  <c r="AO164" i="1" s="1"/>
  <c r="AP164" i="1" s="1"/>
  <c r="AH169" i="1"/>
  <c r="AM169" i="1" s="1"/>
  <c r="AN169" i="1" s="1"/>
  <c r="D342" i="3"/>
  <c r="E341" i="3"/>
  <c r="F341" i="3" s="1"/>
  <c r="AE127" i="5" l="1"/>
  <c r="Z127" i="5"/>
  <c r="E342" i="3"/>
  <c r="F342" i="3" s="1"/>
  <c r="D343" i="3"/>
  <c r="AF127" i="5" l="1"/>
  <c r="AD127" i="5"/>
  <c r="E343" i="3"/>
  <c r="F343" i="3" s="1"/>
  <c r="D344" i="3"/>
  <c r="X128" i="5" l="1"/>
  <c r="AA128" i="5" s="1"/>
  <c r="AC128" i="5"/>
  <c r="C134" i="5" s="1"/>
  <c r="G128" i="5" s="1"/>
  <c r="AO165" i="1" s="1"/>
  <c r="AP165" i="1" s="1"/>
  <c r="AH170" i="1"/>
  <c r="AM170" i="1" s="1"/>
  <c r="AN170" i="1" s="1"/>
  <c r="D345" i="3"/>
  <c r="E344" i="3"/>
  <c r="F344" i="3" s="1"/>
  <c r="AE128" i="5" l="1"/>
  <c r="Z128" i="5"/>
  <c r="E345" i="3"/>
  <c r="F345" i="3" s="1"/>
  <c r="D346" i="3"/>
  <c r="AF128" i="5" l="1"/>
  <c r="AD128" i="5"/>
  <c r="D347" i="3"/>
  <c r="E346" i="3"/>
  <c r="F346" i="3" s="1"/>
  <c r="AC129" i="5" l="1"/>
  <c r="C135" i="5" s="1"/>
  <c r="G129" i="5" s="1"/>
  <c r="AO166" i="1" s="1"/>
  <c r="AP166" i="1" s="1"/>
  <c r="X129" i="5"/>
  <c r="AA129" i="5" s="1"/>
  <c r="AH171" i="1"/>
  <c r="AM171" i="1" s="1"/>
  <c r="AN171" i="1" s="1"/>
  <c r="E347" i="3"/>
  <c r="F347" i="3" s="1"/>
  <c r="D348" i="3"/>
  <c r="AE129" i="5" l="1"/>
  <c r="Z129" i="5"/>
  <c r="E348" i="3"/>
  <c r="F348" i="3" s="1"/>
  <c r="D349" i="3"/>
  <c r="AF129" i="5" l="1"/>
  <c r="AD129" i="5"/>
  <c r="E349" i="3"/>
  <c r="F349" i="3" s="1"/>
  <c r="D350" i="3"/>
  <c r="AC130" i="5" l="1"/>
  <c r="C136" i="5" s="1"/>
  <c r="G130" i="5" s="1"/>
  <c r="AO167" i="1" s="1"/>
  <c r="AP167" i="1" s="1"/>
  <c r="X130" i="5"/>
  <c r="AA130" i="5" s="1"/>
  <c r="AH172" i="1"/>
  <c r="AM172" i="1" s="1"/>
  <c r="AN172" i="1" s="1"/>
  <c r="D351" i="3"/>
  <c r="E350" i="3"/>
  <c r="F350" i="3" s="1"/>
  <c r="AE130" i="5" l="1"/>
  <c r="Z130" i="5"/>
  <c r="E351" i="3"/>
  <c r="F351" i="3" s="1"/>
  <c r="D352" i="3"/>
  <c r="AF130" i="5" l="1"/>
  <c r="AD130" i="5"/>
  <c r="E352" i="3"/>
  <c r="F352" i="3" s="1"/>
  <c r="D353" i="3"/>
  <c r="AC131" i="5" l="1"/>
  <c r="C137" i="5" s="1"/>
  <c r="G131" i="5" s="1"/>
  <c r="AO168" i="1" s="1"/>
  <c r="AP168" i="1" s="1"/>
  <c r="X131" i="5"/>
  <c r="AA131" i="5" s="1"/>
  <c r="AH173" i="1"/>
  <c r="AM173" i="1" s="1"/>
  <c r="AN173" i="1" s="1"/>
  <c r="D354" i="3"/>
  <c r="E353" i="3"/>
  <c r="F353" i="3" s="1"/>
  <c r="AE131" i="5" l="1"/>
  <c r="Z131" i="5"/>
  <c r="D355" i="3"/>
  <c r="E354" i="3"/>
  <c r="F354" i="3" s="1"/>
  <c r="AF131" i="5" l="1"/>
  <c r="AD131" i="5"/>
  <c r="D356" i="3"/>
  <c r="E355" i="3"/>
  <c r="F355" i="3" s="1"/>
  <c r="X132" i="5" l="1"/>
  <c r="AA132" i="5" s="1"/>
  <c r="AH174" i="1"/>
  <c r="AM174" i="1" s="1"/>
  <c r="AN174" i="1" s="1"/>
  <c r="AC132" i="5"/>
  <c r="C138" i="5" s="1"/>
  <c r="G132" i="5" s="1"/>
  <c r="AO169" i="1" s="1"/>
  <c r="AP169" i="1" s="1"/>
  <c r="E356" i="3"/>
  <c r="F356" i="3" s="1"/>
  <c r="D357" i="3"/>
  <c r="AE132" i="5" l="1"/>
  <c r="Z132" i="5"/>
  <c r="D358" i="3"/>
  <c r="E357" i="3"/>
  <c r="F357" i="3" s="1"/>
  <c r="AF132" i="5" l="1"/>
  <c r="AD132" i="5"/>
  <c r="E358" i="3"/>
  <c r="F358" i="3" s="1"/>
  <c r="D359" i="3"/>
  <c r="AH175" i="1" l="1"/>
  <c r="AM175" i="1" s="1"/>
  <c r="AN175" i="1" s="1"/>
  <c r="X133" i="5"/>
  <c r="AA133" i="5" s="1"/>
  <c r="AC133" i="5"/>
  <c r="C139" i="5" s="1"/>
  <c r="G133" i="5" s="1"/>
  <c r="AO170" i="1" s="1"/>
  <c r="AP170" i="1" s="1"/>
  <c r="D360" i="3"/>
  <c r="E359" i="3"/>
  <c r="F359" i="3" s="1"/>
  <c r="AE133" i="5" l="1"/>
  <c r="Z133" i="5"/>
  <c r="D361" i="3"/>
  <c r="E360" i="3"/>
  <c r="F360" i="3" s="1"/>
  <c r="AF133" i="5" l="1"/>
  <c r="AD133" i="5"/>
  <c r="E361" i="3"/>
  <c r="F361" i="3" s="1"/>
  <c r="D362" i="3"/>
  <c r="AC134" i="5" l="1"/>
  <c r="C140" i="5" s="1"/>
  <c r="G134" i="5" s="1"/>
  <c r="AO171" i="1" s="1"/>
  <c r="AP171" i="1" s="1"/>
  <c r="X134" i="5"/>
  <c r="AA134" i="5" s="1"/>
  <c r="AH176" i="1"/>
  <c r="AM176" i="1" s="1"/>
  <c r="AN176" i="1" s="1"/>
  <c r="E362" i="3"/>
  <c r="F362" i="3" s="1"/>
  <c r="D363" i="3"/>
  <c r="AE134" i="5" l="1"/>
  <c r="Z134" i="5"/>
  <c r="D364" i="3"/>
  <c r="E363" i="3"/>
  <c r="F363" i="3" s="1"/>
  <c r="AF134" i="5" l="1"/>
  <c r="AD134" i="5"/>
  <c r="E364" i="3"/>
  <c r="F364" i="3" s="1"/>
  <c r="D365" i="3"/>
  <c r="AC135" i="5" l="1"/>
  <c r="C141" i="5" s="1"/>
  <c r="G135" i="5" s="1"/>
  <c r="AO172" i="1" s="1"/>
  <c r="AP172" i="1" s="1"/>
  <c r="AH177" i="1"/>
  <c r="AM177" i="1" s="1"/>
  <c r="AN177" i="1" s="1"/>
  <c r="X135" i="5"/>
  <c r="AA135" i="5" s="1"/>
  <c r="D366" i="3"/>
  <c r="E365" i="3"/>
  <c r="F365" i="3" s="1"/>
  <c r="AE135" i="5" l="1"/>
  <c r="Z135" i="5"/>
  <c r="E366" i="3"/>
  <c r="F366" i="3" s="1"/>
  <c r="D367" i="3"/>
  <c r="AF135" i="5" l="1"/>
  <c r="AD135" i="5"/>
  <c r="E367" i="3"/>
  <c r="F367" i="3" s="1"/>
  <c r="D368" i="3"/>
  <c r="AF136" i="5" l="1"/>
  <c r="AC136" i="5"/>
  <c r="C142" i="5" s="1"/>
  <c r="G136" i="5" s="1"/>
  <c r="AO173" i="1" s="1"/>
  <c r="AP173" i="1" s="1"/>
  <c r="X136" i="5"/>
  <c r="AA136" i="5" s="1"/>
  <c r="AH178" i="1"/>
  <c r="AM178" i="1" s="1"/>
  <c r="AN178" i="1" s="1"/>
  <c r="E368" i="3"/>
  <c r="F368" i="3" s="1"/>
  <c r="D369" i="3"/>
  <c r="AE136" i="5" l="1"/>
  <c r="Z136" i="5"/>
  <c r="AD136" i="5" s="1"/>
  <c r="AF137" i="5"/>
  <c r="AC137" i="5"/>
  <c r="C143" i="5" s="1"/>
  <c r="G137" i="5" s="1"/>
  <c r="AO174" i="1" s="1"/>
  <c r="AP174" i="1" s="1"/>
  <c r="AH179" i="1"/>
  <c r="AM179" i="1" s="1"/>
  <c r="AN179" i="1" s="1"/>
  <c r="X137" i="5"/>
  <c r="AA137" i="5" s="1"/>
  <c r="D370" i="3"/>
  <c r="E369" i="3"/>
  <c r="F369" i="3" s="1"/>
  <c r="AE137" i="5" l="1"/>
  <c r="Z137" i="5"/>
  <c r="AD137" i="5" s="1"/>
  <c r="AF138" i="5"/>
  <c r="AC138" i="5"/>
  <c r="C144" i="5" s="1"/>
  <c r="G138" i="5" s="1"/>
  <c r="AO175" i="1" s="1"/>
  <c r="AP175" i="1" s="1"/>
  <c r="AH180" i="1"/>
  <c r="AM180" i="1" s="1"/>
  <c r="AN180" i="1" s="1"/>
  <c r="X138" i="5"/>
  <c r="AA138" i="5" s="1"/>
  <c r="D371" i="3"/>
  <c r="E370" i="3"/>
  <c r="F370" i="3" s="1"/>
  <c r="AF139" i="5" l="1"/>
  <c r="AC139" i="5"/>
  <c r="C145" i="5" s="1"/>
  <c r="G139" i="5" s="1"/>
  <c r="AO176" i="1" s="1"/>
  <c r="AP176" i="1" s="1"/>
  <c r="X139" i="5"/>
  <c r="AA139" i="5" s="1"/>
  <c r="AH181" i="1"/>
  <c r="AM181" i="1" s="1"/>
  <c r="AN181" i="1" s="1"/>
  <c r="AE138" i="5"/>
  <c r="Z138" i="5"/>
  <c r="AD138" i="5" s="1"/>
  <c r="D372" i="3"/>
  <c r="E371" i="3"/>
  <c r="F371" i="3" s="1"/>
  <c r="AE139" i="5" l="1"/>
  <c r="Z139" i="5"/>
  <c r="AD139" i="5" s="1"/>
  <c r="AF140" i="5"/>
  <c r="AC140" i="5"/>
  <c r="C146" i="5" s="1"/>
  <c r="G140" i="5" s="1"/>
  <c r="AO177" i="1" s="1"/>
  <c r="AP177" i="1" s="1"/>
  <c r="AH182" i="1"/>
  <c r="AM182" i="1" s="1"/>
  <c r="AN182" i="1" s="1"/>
  <c r="X140" i="5"/>
  <c r="AA140" i="5" s="1"/>
  <c r="D373" i="3"/>
  <c r="E372" i="3"/>
  <c r="F372" i="3" s="1"/>
  <c r="AF141" i="5" l="1"/>
  <c r="AC141" i="5"/>
  <c r="AH183" i="1"/>
  <c r="AM183" i="1" s="1"/>
  <c r="AN183" i="1" s="1"/>
  <c r="X141" i="5"/>
  <c r="AA141" i="5" s="1"/>
  <c r="AE140" i="5"/>
  <c r="Z140" i="5"/>
  <c r="AD140" i="5" s="1"/>
  <c r="D374" i="3"/>
  <c r="E373" i="3"/>
  <c r="F373" i="3" s="1"/>
  <c r="AF142" i="5" l="1"/>
  <c r="AH185" i="1" s="1"/>
  <c r="AM185" i="1" s="1"/>
  <c r="AN185" i="1" s="1"/>
  <c r="AC142" i="5"/>
  <c r="X142" i="5"/>
  <c r="AA142" i="5" s="1"/>
  <c r="AH184" i="1"/>
  <c r="AM184" i="1" s="1"/>
  <c r="AN184" i="1" s="1"/>
  <c r="AE141" i="5"/>
  <c r="Z141" i="5"/>
  <c r="AD141" i="5" s="1"/>
  <c r="E374" i="3"/>
  <c r="F374" i="3" s="1"/>
  <c r="D375" i="3"/>
  <c r="AE142" i="5" l="1"/>
  <c r="Z142" i="5"/>
  <c r="AD142" i="5" s="1"/>
  <c r="D376" i="3"/>
  <c r="E375" i="3"/>
  <c r="F375" i="3" s="1"/>
  <c r="D377" i="3" l="1"/>
  <c r="E376" i="3"/>
  <c r="F376" i="3" s="1"/>
  <c r="E377" i="3" l="1"/>
  <c r="F377" i="3" s="1"/>
  <c r="D378" i="3"/>
  <c r="E378" i="3" l="1"/>
  <c r="F378" i="3" s="1"/>
  <c r="D379" i="3"/>
  <c r="D380" i="3" l="1"/>
  <c r="E379" i="3"/>
  <c r="F379" i="3" s="1"/>
  <c r="E380" i="3" l="1"/>
  <c r="F380" i="3" s="1"/>
  <c r="D381" i="3"/>
  <c r="D382" i="3" l="1"/>
  <c r="E381" i="3"/>
  <c r="F381" i="3" s="1"/>
  <c r="E382" i="3" l="1"/>
  <c r="F382" i="3" s="1"/>
  <c r="D383" i="3"/>
  <c r="E383" i="3" l="1"/>
  <c r="F383" i="3" s="1"/>
  <c r="D384" i="3"/>
  <c r="D385" i="3" l="1"/>
  <c r="E384" i="3"/>
  <c r="F384" i="3" s="1"/>
  <c r="D386" i="3" l="1"/>
  <c r="E385" i="3"/>
  <c r="F385" i="3" s="1"/>
  <c r="E386" i="3" l="1"/>
  <c r="F386" i="3" s="1"/>
  <c r="D387" i="3"/>
  <c r="E387" i="3" l="1"/>
  <c r="F387" i="3" s="1"/>
  <c r="D388" i="3"/>
  <c r="D389" i="3" l="1"/>
  <c r="E388" i="3"/>
  <c r="F388" i="3" s="1"/>
  <c r="D390" i="3" l="1"/>
  <c r="E389" i="3"/>
  <c r="F389" i="3" s="1"/>
  <c r="E390" i="3" l="1"/>
  <c r="F390" i="3" s="1"/>
  <c r="D391" i="3"/>
  <c r="E391" i="3" l="1"/>
  <c r="F391" i="3" s="1"/>
  <c r="D392" i="3"/>
  <c r="D393" i="3" l="1"/>
  <c r="E392" i="3"/>
  <c r="F392" i="3" s="1"/>
  <c r="E393" i="3" l="1"/>
  <c r="F393" i="3" s="1"/>
  <c r="D394" i="3"/>
  <c r="E394" i="3" l="1"/>
  <c r="F394" i="3" s="1"/>
  <c r="D395" i="3"/>
  <c r="D396" i="3" l="1"/>
  <c r="E395" i="3"/>
  <c r="F395" i="3" s="1"/>
  <c r="E396" i="3" l="1"/>
  <c r="F396" i="3" s="1"/>
  <c r="D397" i="3"/>
  <c r="D398" i="3" l="1"/>
  <c r="E397" i="3"/>
  <c r="F397" i="3" s="1"/>
  <c r="E398" i="3" l="1"/>
  <c r="F398" i="3" s="1"/>
  <c r="D399" i="3"/>
  <c r="E399" i="3" l="1"/>
  <c r="F399" i="3" s="1"/>
  <c r="D400" i="3"/>
  <c r="D401" i="3" l="1"/>
  <c r="E400" i="3"/>
  <c r="F400" i="3" s="1"/>
  <c r="E401" i="3" l="1"/>
  <c r="F401" i="3" s="1"/>
  <c r="D402" i="3"/>
  <c r="E402" i="3" l="1"/>
  <c r="F402" i="3" s="1"/>
  <c r="D403" i="3"/>
  <c r="E403" i="3" l="1"/>
  <c r="F403" i="3" s="1"/>
  <c r="D404" i="3"/>
  <c r="E404" i="3" l="1"/>
  <c r="F404" i="3" s="1"/>
  <c r="D405" i="3"/>
  <c r="D406" i="3" l="1"/>
  <c r="E405" i="3"/>
  <c r="F405" i="3" s="1"/>
  <c r="D407" i="3" l="1"/>
  <c r="E406" i="3"/>
  <c r="F406" i="3" s="1"/>
  <c r="E407" i="3" l="1"/>
  <c r="F407" i="3" s="1"/>
  <c r="D408" i="3"/>
  <c r="D409" i="3" l="1"/>
  <c r="E408" i="3"/>
  <c r="F408" i="3" s="1"/>
  <c r="E409" i="3" l="1"/>
  <c r="F409" i="3" s="1"/>
  <c r="D410" i="3"/>
  <c r="D411" i="3" l="1"/>
  <c r="E410" i="3"/>
  <c r="F410" i="3" s="1"/>
  <c r="D412" i="3" l="1"/>
  <c r="E411" i="3"/>
  <c r="F411" i="3" s="1"/>
  <c r="E412" i="3" l="1"/>
  <c r="F412" i="3" s="1"/>
  <c r="D413" i="3"/>
  <c r="E413" i="3" l="1"/>
  <c r="F413" i="3" s="1"/>
  <c r="D414" i="3"/>
  <c r="D415" i="3" l="1"/>
  <c r="E414" i="3"/>
  <c r="F414" i="3" s="1"/>
  <c r="E415" i="3" l="1"/>
  <c r="F415" i="3" s="1"/>
  <c r="D416" i="3"/>
  <c r="E416" i="3" l="1"/>
  <c r="F416" i="3" s="1"/>
  <c r="D417" i="3"/>
  <c r="E417" i="3" l="1"/>
  <c r="F417" i="3" s="1"/>
  <c r="D418" i="3"/>
  <c r="E418" i="3" l="1"/>
  <c r="F418" i="3" s="1"/>
  <c r="D419" i="3"/>
  <c r="E419" i="3" l="1"/>
  <c r="F419" i="3" s="1"/>
  <c r="D420" i="3"/>
  <c r="E420" i="3" l="1"/>
  <c r="F420" i="3" s="1"/>
  <c r="D421" i="3"/>
  <c r="D422" i="3" l="1"/>
  <c r="E421" i="3"/>
  <c r="F421" i="3" s="1"/>
  <c r="D423" i="3" l="1"/>
  <c r="E422" i="3"/>
  <c r="F422" i="3" s="1"/>
  <c r="D424" i="3" l="1"/>
  <c r="E423" i="3"/>
  <c r="F423" i="3" s="1"/>
  <c r="D425" i="3" l="1"/>
  <c r="E424" i="3"/>
  <c r="F424" i="3" s="1"/>
  <c r="E425" i="3" l="1"/>
  <c r="F425" i="3" s="1"/>
  <c r="D426" i="3"/>
  <c r="D427" i="3" l="1"/>
  <c r="E426" i="3"/>
  <c r="F426" i="3" s="1"/>
  <c r="D428" i="3" l="1"/>
  <c r="E427" i="3"/>
  <c r="F427" i="3" s="1"/>
  <c r="E428" i="3" l="1"/>
  <c r="F428" i="3" s="1"/>
  <c r="D429" i="3"/>
  <c r="E429" i="3" l="1"/>
  <c r="F429" i="3" s="1"/>
  <c r="D430" i="3"/>
  <c r="D431" i="3" l="1"/>
  <c r="E430" i="3"/>
  <c r="F430" i="3" s="1"/>
  <c r="E431" i="3" l="1"/>
  <c r="F431" i="3" s="1"/>
  <c r="D432" i="3"/>
  <c r="E432" i="3" l="1"/>
  <c r="F432" i="3" s="1"/>
  <c r="D433" i="3"/>
  <c r="E433" i="3" l="1"/>
  <c r="F433" i="3" s="1"/>
  <c r="D434" i="3"/>
  <c r="E434" i="3" l="1"/>
  <c r="F434" i="3" s="1"/>
  <c r="D435" i="3"/>
  <c r="E435" i="3" l="1"/>
  <c r="F435" i="3" s="1"/>
  <c r="D436" i="3"/>
  <c r="E436" i="3" l="1"/>
  <c r="F436" i="3" s="1"/>
  <c r="D437" i="3"/>
  <c r="D438" i="3" l="1"/>
  <c r="E437" i="3"/>
  <c r="F437" i="3" s="1"/>
  <c r="E438" i="3" l="1"/>
  <c r="F438" i="3" s="1"/>
  <c r="D439" i="3"/>
  <c r="E439" i="3" l="1"/>
  <c r="F439" i="3" s="1"/>
  <c r="D440" i="3"/>
  <c r="D441" i="3" l="1"/>
  <c r="E440" i="3"/>
  <c r="F440" i="3" s="1"/>
  <c r="E441" i="3" l="1"/>
  <c r="F441" i="3" s="1"/>
  <c r="D442" i="3"/>
  <c r="D443" i="3" l="1"/>
  <c r="E442" i="3"/>
  <c r="F442" i="3" s="1"/>
  <c r="D444" i="3" l="1"/>
  <c r="E443" i="3"/>
  <c r="F443" i="3" s="1"/>
  <c r="E444" i="3" l="1"/>
  <c r="F444" i="3" s="1"/>
  <c r="D445" i="3"/>
  <c r="D446" i="3" l="1"/>
  <c r="E445" i="3"/>
  <c r="F445" i="3" s="1"/>
  <c r="D447" i="3" l="1"/>
  <c r="E446" i="3"/>
  <c r="F446" i="3" s="1"/>
  <c r="E447" i="3" l="1"/>
  <c r="F447" i="3" s="1"/>
  <c r="D448" i="3"/>
  <c r="D449" i="3" l="1"/>
  <c r="E448" i="3"/>
  <c r="F448" i="3" s="1"/>
  <c r="D450" i="3" l="1"/>
  <c r="E449" i="3"/>
  <c r="F449" i="3" s="1"/>
  <c r="E450" i="3" l="1"/>
  <c r="F450" i="3" s="1"/>
  <c r="D451" i="3"/>
  <c r="E451" i="3" l="1"/>
  <c r="F451" i="3" s="1"/>
  <c r="D452" i="3"/>
  <c r="D453" i="3" l="1"/>
  <c r="E452" i="3"/>
  <c r="F452" i="3" s="1"/>
  <c r="D454" i="3" l="1"/>
  <c r="E453" i="3"/>
  <c r="F453" i="3" s="1"/>
  <c r="E454" i="3" l="1"/>
  <c r="F454" i="3" s="1"/>
  <c r="D455" i="3"/>
  <c r="D456" i="3" l="1"/>
  <c r="E455" i="3"/>
  <c r="F455" i="3" s="1"/>
  <c r="D457" i="3" l="1"/>
  <c r="E456" i="3"/>
  <c r="F456" i="3" s="1"/>
  <c r="D458" i="3" l="1"/>
  <c r="E457" i="3"/>
  <c r="F457" i="3" s="1"/>
  <c r="E458" i="3" l="1"/>
  <c r="F458" i="3" s="1"/>
  <c r="D459" i="3"/>
  <c r="D460" i="3" l="1"/>
  <c r="E459" i="3"/>
  <c r="F459" i="3" s="1"/>
  <c r="E460" i="3" l="1"/>
  <c r="F460" i="3" s="1"/>
  <c r="D461" i="3"/>
  <c r="D462" i="3" l="1"/>
  <c r="E461" i="3"/>
  <c r="F461" i="3" s="1"/>
  <c r="E462" i="3" l="1"/>
  <c r="F462" i="3" s="1"/>
  <c r="D463" i="3"/>
  <c r="E463" i="3" l="1"/>
  <c r="F463" i="3" s="1"/>
  <c r="D464" i="3"/>
  <c r="E464" i="3" l="1"/>
  <c r="F464" i="3" s="1"/>
  <c r="D465" i="3"/>
  <c r="E465" i="3" l="1"/>
  <c r="F465" i="3" s="1"/>
  <c r="D466" i="3"/>
  <c r="E466" i="3" l="1"/>
  <c r="F466" i="3" s="1"/>
  <c r="D467" i="3"/>
  <c r="E467" i="3" l="1"/>
  <c r="F467" i="3" s="1"/>
  <c r="D468" i="3"/>
  <c r="E468" i="3" l="1"/>
  <c r="F468" i="3" s="1"/>
  <c r="D469" i="3"/>
  <c r="E469" i="3" l="1"/>
  <c r="F469" i="3" s="1"/>
  <c r="D470" i="3"/>
  <c r="E470" i="3" l="1"/>
  <c r="F470" i="3" s="1"/>
  <c r="D471" i="3"/>
  <c r="D472" i="3" l="1"/>
  <c r="E471" i="3"/>
  <c r="F471" i="3" s="1"/>
  <c r="D473" i="3" l="1"/>
  <c r="E472" i="3"/>
  <c r="F472" i="3" s="1"/>
  <c r="E473" i="3" l="1"/>
  <c r="F473" i="3" s="1"/>
  <c r="D474" i="3"/>
  <c r="E474" i="3" l="1"/>
  <c r="F474" i="3" s="1"/>
  <c r="D475" i="3"/>
  <c r="E475" i="3" l="1"/>
  <c r="F475" i="3" s="1"/>
  <c r="D476" i="3"/>
  <c r="E476" i="3" l="1"/>
  <c r="F476" i="3" s="1"/>
  <c r="D477" i="3"/>
  <c r="D478" i="3" l="1"/>
  <c r="E477" i="3"/>
  <c r="F477" i="3" s="1"/>
  <c r="D479" i="3" l="1"/>
  <c r="E478" i="3"/>
  <c r="F478" i="3" s="1"/>
  <c r="D480" i="3" l="1"/>
  <c r="E479" i="3"/>
  <c r="F479" i="3" s="1"/>
  <c r="E480" i="3" l="1"/>
  <c r="F480" i="3" s="1"/>
  <c r="D481" i="3"/>
  <c r="E481" i="3" l="1"/>
  <c r="F481" i="3" s="1"/>
  <c r="D482" i="3"/>
  <c r="E482" i="3" l="1"/>
  <c r="F482" i="3" s="1"/>
  <c r="D483" i="3"/>
  <c r="E483" i="3" l="1"/>
  <c r="F483" i="3" s="1"/>
  <c r="D484" i="3"/>
  <c r="D485" i="3" l="1"/>
  <c r="E484" i="3"/>
  <c r="F484" i="3" s="1"/>
  <c r="D486" i="3" l="1"/>
  <c r="E485" i="3"/>
  <c r="F485" i="3" s="1"/>
  <c r="E486" i="3" l="1"/>
  <c r="F486" i="3" s="1"/>
  <c r="D487" i="3"/>
  <c r="D488" i="3" l="1"/>
  <c r="E487" i="3"/>
  <c r="F487" i="3" s="1"/>
  <c r="D489" i="3" l="1"/>
  <c r="E488" i="3"/>
  <c r="F488" i="3" s="1"/>
  <c r="E489" i="3" l="1"/>
  <c r="F489" i="3" s="1"/>
  <c r="D490" i="3"/>
  <c r="E490" i="3" l="1"/>
  <c r="F490" i="3" s="1"/>
  <c r="D491" i="3"/>
  <c r="E491" i="3" l="1"/>
  <c r="F491" i="3" s="1"/>
  <c r="D492" i="3"/>
  <c r="E492" i="3" l="1"/>
  <c r="F492" i="3" s="1"/>
  <c r="D493" i="3"/>
  <c r="E493" i="3" l="1"/>
  <c r="F493" i="3" s="1"/>
  <c r="D494" i="3"/>
  <c r="D495" i="3" l="1"/>
  <c r="E494" i="3"/>
  <c r="F494" i="3" s="1"/>
  <c r="D496" i="3" l="1"/>
  <c r="E495" i="3"/>
  <c r="F495" i="3" s="1"/>
  <c r="E496" i="3" l="1"/>
  <c r="F496" i="3" s="1"/>
  <c r="D497" i="3"/>
  <c r="E497" i="3" l="1"/>
  <c r="F497" i="3" s="1"/>
  <c r="D498" i="3"/>
  <c r="E498" i="3" l="1"/>
  <c r="F498" i="3" s="1"/>
  <c r="D499" i="3"/>
  <c r="E499" i="3" l="1"/>
  <c r="F499" i="3" s="1"/>
  <c r="D500" i="3"/>
  <c r="D501" i="3" l="1"/>
  <c r="E500" i="3"/>
  <c r="F500" i="3" s="1"/>
  <c r="D502" i="3" l="1"/>
  <c r="E501" i="3"/>
  <c r="F501" i="3" s="1"/>
  <c r="E502" i="3" l="1"/>
  <c r="F502" i="3" s="1"/>
  <c r="D503" i="3"/>
  <c r="D504" i="3" l="1"/>
  <c r="E503" i="3"/>
  <c r="F503" i="3" s="1"/>
  <c r="D505" i="3" l="1"/>
  <c r="E504" i="3"/>
  <c r="F504" i="3" s="1"/>
  <c r="E505" i="3" l="1"/>
  <c r="F505" i="3" s="1"/>
  <c r="D506" i="3"/>
  <c r="E506" i="3" l="1"/>
  <c r="F506" i="3" s="1"/>
  <c r="D507" i="3"/>
  <c r="E507" i="3" l="1"/>
  <c r="F507" i="3" s="1"/>
  <c r="D508" i="3"/>
  <c r="E508" i="3" l="1"/>
  <c r="F508" i="3" s="1"/>
  <c r="D509" i="3"/>
  <c r="D510" i="3" l="1"/>
  <c r="E509" i="3"/>
  <c r="F509" i="3" s="1"/>
  <c r="D511" i="3" l="1"/>
  <c r="E510" i="3"/>
  <c r="F510" i="3" s="1"/>
  <c r="D512" i="3" l="1"/>
  <c r="E511" i="3"/>
  <c r="F511" i="3" s="1"/>
  <c r="D513" i="3" l="1"/>
  <c r="E512" i="3"/>
  <c r="F512" i="3" s="1"/>
  <c r="D514" i="3" l="1"/>
  <c r="E513" i="3"/>
  <c r="F513" i="3" s="1"/>
  <c r="E514" i="3" l="1"/>
  <c r="F514" i="3" s="1"/>
  <c r="D515" i="3"/>
  <c r="E515" i="3" l="1"/>
  <c r="F515" i="3" s="1"/>
  <c r="D516" i="3"/>
  <c r="D517" i="3" l="1"/>
  <c r="E516" i="3"/>
  <c r="F516" i="3" s="1"/>
  <c r="D518" i="3" l="1"/>
  <c r="E517" i="3"/>
  <c r="F517" i="3" s="1"/>
  <c r="E518" i="3" l="1"/>
  <c r="F518" i="3" s="1"/>
  <c r="D519" i="3"/>
  <c r="D520" i="3" l="1"/>
  <c r="E519" i="3"/>
  <c r="F519" i="3" s="1"/>
  <c r="D521" i="3" l="1"/>
  <c r="E520" i="3"/>
  <c r="F520" i="3" s="1"/>
  <c r="E521" i="3" l="1"/>
  <c r="F521" i="3" s="1"/>
  <c r="D522" i="3"/>
  <c r="D523" i="3" l="1"/>
  <c r="E522" i="3"/>
  <c r="F522" i="3" s="1"/>
  <c r="E523" i="3" l="1"/>
  <c r="F523" i="3" s="1"/>
  <c r="D524" i="3"/>
  <c r="E524" i="3" l="1"/>
  <c r="F524" i="3" s="1"/>
  <c r="D525" i="3"/>
  <c r="D526" i="3" l="1"/>
  <c r="E525" i="3"/>
  <c r="F525" i="3" s="1"/>
  <c r="D527" i="3" l="1"/>
  <c r="E526" i="3"/>
  <c r="F526" i="3" s="1"/>
  <c r="D528" i="3" l="1"/>
  <c r="E527" i="3"/>
  <c r="F527" i="3" s="1"/>
  <c r="E528" i="3" l="1"/>
  <c r="F528" i="3" s="1"/>
  <c r="D529" i="3"/>
  <c r="D530" i="3" l="1"/>
  <c r="E529" i="3"/>
  <c r="F529" i="3" s="1"/>
  <c r="E530" i="3" l="1"/>
  <c r="F530" i="3" s="1"/>
  <c r="D531" i="3"/>
  <c r="E531" i="3" l="1"/>
  <c r="F531" i="3" s="1"/>
  <c r="D532" i="3"/>
  <c r="D533" i="3" l="1"/>
  <c r="E532" i="3"/>
  <c r="F532" i="3" s="1"/>
  <c r="D534" i="3" l="1"/>
  <c r="E533" i="3"/>
  <c r="F533" i="3" s="1"/>
  <c r="E534" i="3" l="1"/>
  <c r="F534" i="3" s="1"/>
  <c r="D535" i="3"/>
  <c r="E535" i="3" l="1"/>
  <c r="F535" i="3" s="1"/>
  <c r="D536" i="3"/>
  <c r="D537" i="3" l="1"/>
  <c r="E536" i="3"/>
  <c r="F536" i="3" s="1"/>
  <c r="E537" i="3" l="1"/>
  <c r="F537" i="3" s="1"/>
  <c r="D538" i="3"/>
  <c r="D539" i="3" l="1"/>
  <c r="E538" i="3"/>
  <c r="F538" i="3" s="1"/>
  <c r="D540" i="3" l="1"/>
  <c r="E539" i="3"/>
  <c r="F539" i="3" s="1"/>
  <c r="E540" i="3" l="1"/>
  <c r="F540" i="3" s="1"/>
  <c r="D541" i="3"/>
  <c r="E541" i="3" l="1"/>
  <c r="F541" i="3" s="1"/>
  <c r="D542" i="3"/>
  <c r="D543" i="3" l="1"/>
  <c r="E542" i="3"/>
  <c r="F542" i="3" s="1"/>
  <c r="D544" i="3" l="1"/>
  <c r="E543" i="3"/>
  <c r="F543" i="3" s="1"/>
  <c r="D545" i="3" l="1"/>
  <c r="E544" i="3"/>
  <c r="F544" i="3" s="1"/>
  <c r="E545" i="3" l="1"/>
  <c r="F545" i="3" s="1"/>
  <c r="D546" i="3"/>
  <c r="E546" i="3" l="1"/>
  <c r="F546" i="3" s="1"/>
  <c r="D547" i="3"/>
  <c r="E547" i="3" l="1"/>
  <c r="F547" i="3" s="1"/>
  <c r="D548" i="3"/>
  <c r="D549" i="3" l="1"/>
  <c r="E548" i="3"/>
  <c r="F548" i="3" s="1"/>
  <c r="D550" i="3" l="1"/>
  <c r="E549" i="3"/>
  <c r="F549" i="3" s="1"/>
  <c r="E550" i="3" l="1"/>
  <c r="F550" i="3" s="1"/>
  <c r="D551" i="3"/>
  <c r="E551" i="3" l="1"/>
  <c r="F551" i="3" s="1"/>
  <c r="D552" i="3"/>
  <c r="D553" i="3" l="1"/>
  <c r="E552" i="3"/>
  <c r="F552" i="3" s="1"/>
  <c r="E553" i="3" l="1"/>
  <c r="F553" i="3" s="1"/>
  <c r="D554" i="3"/>
  <c r="E554" i="3" l="1"/>
  <c r="F554" i="3" s="1"/>
  <c r="D555" i="3"/>
  <c r="D556" i="3" l="1"/>
  <c r="E555" i="3"/>
  <c r="F555" i="3" s="1"/>
  <c r="E556" i="3" l="1"/>
  <c r="F556" i="3" s="1"/>
  <c r="D557" i="3"/>
  <c r="D558" i="3" l="1"/>
  <c r="E557" i="3"/>
  <c r="F557" i="3" s="1"/>
  <c r="E558" i="3" l="1"/>
  <c r="F558" i="3" s="1"/>
  <c r="D559" i="3"/>
  <c r="D560" i="3" l="1"/>
  <c r="E559" i="3"/>
  <c r="F559" i="3" s="1"/>
  <c r="D561" i="3" l="1"/>
  <c r="E560" i="3"/>
  <c r="F560" i="3" s="1"/>
  <c r="D562" i="3" l="1"/>
  <c r="E561" i="3"/>
  <c r="F561" i="3" s="1"/>
  <c r="E562" i="3" l="1"/>
  <c r="F562" i="3" s="1"/>
  <c r="D563" i="3"/>
  <c r="E563" i="3" l="1"/>
  <c r="F563" i="3" s="1"/>
  <c r="D564" i="3"/>
  <c r="E564" i="3" l="1"/>
  <c r="F564" i="3" s="1"/>
  <c r="D565" i="3"/>
  <c r="D566" i="3" l="1"/>
  <c r="E565" i="3"/>
  <c r="F565" i="3" s="1"/>
  <c r="E566" i="3" l="1"/>
  <c r="F566" i="3" s="1"/>
  <c r="D567" i="3"/>
  <c r="E567" i="3" l="1"/>
  <c r="F567" i="3" s="1"/>
  <c r="D568" i="3"/>
  <c r="D569" i="3" l="1"/>
  <c r="E568" i="3"/>
  <c r="F568" i="3" s="1"/>
  <c r="E569" i="3" l="1"/>
  <c r="F569" i="3" s="1"/>
  <c r="D570" i="3"/>
  <c r="E570" i="3" l="1"/>
  <c r="F570" i="3" s="1"/>
  <c r="D571" i="3"/>
  <c r="E571" i="3" l="1"/>
  <c r="F571" i="3" s="1"/>
  <c r="D572" i="3"/>
  <c r="E572" i="3" l="1"/>
  <c r="F572" i="3" s="1"/>
  <c r="D573" i="3"/>
  <c r="D574" i="3" l="1"/>
  <c r="E573" i="3"/>
  <c r="F573" i="3" s="1"/>
  <c r="E574" i="3" l="1"/>
  <c r="F574" i="3" s="1"/>
  <c r="D575" i="3"/>
  <c r="D576" i="3" l="1"/>
  <c r="E575" i="3"/>
  <c r="F575" i="3" s="1"/>
  <c r="D577" i="3" l="1"/>
  <c r="E576" i="3"/>
  <c r="F576" i="3" s="1"/>
  <c r="E577" i="3" l="1"/>
  <c r="F577" i="3" s="1"/>
  <c r="D578" i="3"/>
  <c r="E578" i="3" l="1"/>
  <c r="F578" i="3" s="1"/>
  <c r="D579" i="3"/>
  <c r="E579" i="3" l="1"/>
  <c r="F579" i="3" s="1"/>
  <c r="D580" i="3"/>
  <c r="D581" i="3" l="1"/>
  <c r="E580" i="3"/>
  <c r="F580" i="3" s="1"/>
  <c r="D582" i="3" l="1"/>
  <c r="E581" i="3"/>
  <c r="F581" i="3" s="1"/>
  <c r="E582" i="3" l="1"/>
  <c r="F582" i="3" s="1"/>
  <c r="D583" i="3"/>
  <c r="D584" i="3" l="1"/>
  <c r="E583" i="3"/>
  <c r="F583" i="3" s="1"/>
  <c r="D585" i="3" l="1"/>
  <c r="E584" i="3"/>
  <c r="F584" i="3" s="1"/>
  <c r="E585" i="3" l="1"/>
  <c r="F585" i="3" s="1"/>
  <c r="D586" i="3"/>
  <c r="E586" i="3" l="1"/>
  <c r="F586" i="3" s="1"/>
  <c r="D587" i="3"/>
  <c r="E587" i="3" l="1"/>
  <c r="F587" i="3" s="1"/>
  <c r="D588" i="3"/>
  <c r="E588" i="3" l="1"/>
  <c r="F588" i="3" s="1"/>
  <c r="D589" i="3"/>
  <c r="E589" i="3" l="1"/>
  <c r="F589" i="3" s="1"/>
  <c r="D590" i="3"/>
  <c r="E590" i="3" l="1"/>
  <c r="F590" i="3" s="1"/>
  <c r="D591" i="3"/>
  <c r="D592" i="3" l="1"/>
  <c r="E591" i="3"/>
  <c r="F591" i="3" s="1"/>
  <c r="D593" i="3" l="1"/>
  <c r="E592" i="3"/>
  <c r="F592" i="3" s="1"/>
  <c r="E593" i="3" l="1"/>
  <c r="F593" i="3" s="1"/>
  <c r="D594" i="3"/>
  <c r="E594" i="3" l="1"/>
  <c r="F594" i="3" s="1"/>
  <c r="D595" i="3"/>
  <c r="E595" i="3" l="1"/>
  <c r="F595" i="3" s="1"/>
  <c r="D596" i="3"/>
  <c r="D597" i="3" l="1"/>
  <c r="E596" i="3"/>
  <c r="F596" i="3" s="1"/>
  <c r="D598" i="3" l="1"/>
  <c r="E597" i="3"/>
  <c r="F597" i="3" s="1"/>
  <c r="E598" i="3" l="1"/>
  <c r="F598" i="3" s="1"/>
  <c r="D599" i="3"/>
  <c r="E599" i="3" l="1"/>
  <c r="F599" i="3" s="1"/>
  <c r="D600" i="3"/>
  <c r="D601" i="3" l="1"/>
  <c r="E600" i="3"/>
  <c r="F600" i="3" s="1"/>
  <c r="E601" i="3" l="1"/>
  <c r="F601" i="3" s="1"/>
  <c r="D602" i="3"/>
  <c r="E602" i="3" l="1"/>
  <c r="F602" i="3" s="1"/>
  <c r="D603" i="3"/>
  <c r="D604" i="3" l="1"/>
  <c r="E603" i="3"/>
  <c r="F603" i="3" s="1"/>
  <c r="E604" i="3" l="1"/>
  <c r="F604" i="3" s="1"/>
  <c r="D605" i="3"/>
  <c r="D606" i="3" l="1"/>
  <c r="E605" i="3"/>
  <c r="F605" i="3" s="1"/>
  <c r="D607" i="3" l="1"/>
  <c r="E606" i="3"/>
  <c r="F606" i="3" s="1"/>
  <c r="D608" i="3" l="1"/>
  <c r="E607" i="3"/>
  <c r="F607" i="3" s="1"/>
  <c r="D609" i="3" l="1"/>
  <c r="E608" i="3"/>
  <c r="F608" i="3" s="1"/>
  <c r="E609" i="3" l="1"/>
  <c r="F609" i="3" s="1"/>
  <c r="D610" i="3"/>
  <c r="D611" i="3" l="1"/>
  <c r="E610" i="3"/>
  <c r="F610" i="3" s="1"/>
  <c r="E611" i="3" l="1"/>
  <c r="F611" i="3" s="1"/>
  <c r="D612" i="3"/>
  <c r="D613" i="3" l="1"/>
  <c r="E612" i="3"/>
  <c r="F612" i="3" s="1"/>
  <c r="D614" i="3" l="1"/>
  <c r="E613" i="3"/>
  <c r="F613" i="3" s="1"/>
  <c r="E614" i="3" l="1"/>
  <c r="F614" i="3" s="1"/>
  <c r="D615" i="3"/>
  <c r="D616" i="3" l="1"/>
  <c r="E615" i="3"/>
  <c r="F615" i="3" s="1"/>
  <c r="D617" i="3" l="1"/>
  <c r="E616" i="3"/>
  <c r="F616" i="3" s="1"/>
  <c r="E617" i="3" l="1"/>
  <c r="F617" i="3" s="1"/>
  <c r="D618" i="3"/>
  <c r="D619" i="3" l="1"/>
  <c r="E618" i="3"/>
  <c r="F618" i="3" s="1"/>
  <c r="D620" i="3" l="1"/>
  <c r="E619" i="3"/>
  <c r="F619" i="3" s="1"/>
  <c r="E620" i="3" l="1"/>
  <c r="F620" i="3" s="1"/>
  <c r="D621" i="3"/>
  <c r="E621" i="3" l="1"/>
  <c r="F621" i="3" s="1"/>
  <c r="D622" i="3"/>
  <c r="E622" i="3" l="1"/>
  <c r="F622" i="3" s="1"/>
  <c r="D623" i="3"/>
  <c r="D624" i="3" l="1"/>
  <c r="E623" i="3"/>
  <c r="F623" i="3" s="1"/>
  <c r="D625" i="3" l="1"/>
  <c r="E624" i="3"/>
  <c r="F624" i="3" s="1"/>
  <c r="E625" i="3" l="1"/>
  <c r="F625" i="3" s="1"/>
  <c r="D626" i="3"/>
  <c r="D627" i="3" l="1"/>
  <c r="E626" i="3"/>
  <c r="F626" i="3" s="1"/>
  <c r="E627" i="3" l="1"/>
  <c r="F627" i="3" s="1"/>
  <c r="D628" i="3"/>
  <c r="D629" i="3" l="1"/>
  <c r="E628" i="3"/>
  <c r="F628" i="3" s="1"/>
  <c r="D630" i="3" l="1"/>
  <c r="E629" i="3"/>
  <c r="F629" i="3" s="1"/>
  <c r="E630" i="3" l="1"/>
  <c r="F630" i="3" s="1"/>
  <c r="D631" i="3"/>
  <c r="D632" i="3" l="1"/>
  <c r="E631" i="3"/>
  <c r="F631" i="3" s="1"/>
  <c r="D633" i="3" l="1"/>
  <c r="E632" i="3"/>
  <c r="F632" i="3" s="1"/>
  <c r="E633" i="3" l="1"/>
  <c r="F633" i="3" s="1"/>
  <c r="D634" i="3"/>
  <c r="D635" i="3" l="1"/>
  <c r="E634" i="3"/>
  <c r="F634" i="3" s="1"/>
  <c r="D636" i="3" l="1"/>
  <c r="E635" i="3"/>
  <c r="F635" i="3" s="1"/>
  <c r="E636" i="3" l="1"/>
  <c r="F636" i="3" s="1"/>
  <c r="D637" i="3"/>
  <c r="E637" i="3" l="1"/>
  <c r="F637" i="3" s="1"/>
  <c r="D638" i="3"/>
  <c r="E638" i="3" s="1"/>
  <c r="F638" i="3" s="1"/>
  <c r="CG32" i="1" l="1"/>
  <c r="CH32" i="1" s="1"/>
  <c r="AA32" i="1"/>
  <c r="AN32" i="1" s="1"/>
  <c r="S31" i="1"/>
  <c r="CF31" i="1" s="1"/>
  <c r="S30" i="1"/>
  <c r="AA30" i="1" l="1"/>
  <c r="AN30" i="1" s="1"/>
  <c r="CF30" i="1"/>
  <c r="CL32" i="1"/>
  <c r="CM32" i="1"/>
  <c r="CM44" i="1"/>
  <c r="CL35" i="1"/>
  <c r="CK33" i="1"/>
  <c r="CJ32" i="1"/>
  <c r="CM43" i="1"/>
  <c r="DC19" i="1"/>
  <c r="CI33" i="1"/>
  <c r="CL34" i="1"/>
  <c r="CM31" i="1"/>
  <c r="CJ31" i="1"/>
  <c r="CK31" i="1"/>
  <c r="CG31" i="1"/>
  <c r="CH31" i="1" s="1"/>
  <c r="CL31" i="1"/>
  <c r="CG30" i="1"/>
  <c r="CH30" i="1" s="1"/>
  <c r="AA31" i="1"/>
  <c r="AN31" i="1" s="1"/>
  <c r="CK32" i="1"/>
  <c r="CI34" i="1"/>
  <c r="CI32" i="1"/>
  <c r="CM42" i="1"/>
  <c r="CL33" i="1"/>
  <c r="DC20" i="1"/>
  <c r="CM30" i="1" l="1"/>
  <c r="CJ30" i="1"/>
  <c r="CK30" i="1"/>
  <c r="CI31" i="1"/>
  <c r="CI30" i="1"/>
  <c r="CL30" i="1"/>
  <c r="DC24" i="1"/>
  <c r="DA24" i="1"/>
</calcChain>
</file>

<file path=xl/sharedStrings.xml><?xml version="1.0" encoding="utf-8"?>
<sst xmlns="http://schemas.openxmlformats.org/spreadsheetml/2006/main" count="330" uniqueCount="220">
  <si>
    <t>PNC Checking</t>
  </si>
  <si>
    <t>USAA Checking</t>
  </si>
  <si>
    <t>Ally Savings</t>
  </si>
  <si>
    <t>Wells Fargo Checking</t>
  </si>
  <si>
    <t>Wells Fargo Savings</t>
  </si>
  <si>
    <t>Vanguard IRA - Chris</t>
  </si>
  <si>
    <t>Vanguard Roth IRA - Chris</t>
  </si>
  <si>
    <t>Vanguard Roth IRA - Shannon</t>
  </si>
  <si>
    <t>JH 401(k)</t>
  </si>
  <si>
    <t>FBA HSA</t>
  </si>
  <si>
    <t>Edward Jones IRA</t>
  </si>
  <si>
    <t>Edward Jones Taxable</t>
  </si>
  <si>
    <t>Betterment Taxable</t>
  </si>
  <si>
    <t>USAA Roth IRA - Chris</t>
  </si>
  <si>
    <t>USAA IRA - Chris</t>
  </si>
  <si>
    <t>Discover CC</t>
  </si>
  <si>
    <t>Chase SP CC</t>
  </si>
  <si>
    <t>USAA CC</t>
  </si>
  <si>
    <t>AmEx BCP CC</t>
  </si>
  <si>
    <t>HSA Invest</t>
  </si>
  <si>
    <t>Navient Loan 3</t>
  </si>
  <si>
    <t>Navient Loan 4</t>
  </si>
  <si>
    <t>Net Worth</t>
  </si>
  <si>
    <t>Expense Calculations</t>
  </si>
  <si>
    <t>United CC</t>
  </si>
  <si>
    <t>Other Direct Expenses</t>
  </si>
  <si>
    <t>Rent/ Mortgage</t>
  </si>
  <si>
    <t>Total Monthly Expenses</t>
  </si>
  <si>
    <t>3 Month Avg Monthly Expenses</t>
  </si>
  <si>
    <t>12 Month Avg Monthly Expenses</t>
  </si>
  <si>
    <t>3 Month Average Annual Expenses</t>
  </si>
  <si>
    <t>12 Month Average Annual Expenses</t>
  </si>
  <si>
    <t>1 Month Average Annual Expenses</t>
  </si>
  <si>
    <t>Portfolio Calculations</t>
  </si>
  <si>
    <t>Annual Expenses</t>
  </si>
  <si>
    <t>Portfolio Required to Support Current Spending @ SWR</t>
  </si>
  <si>
    <t>SWR</t>
  </si>
  <si>
    <t>Progress</t>
  </si>
  <si>
    <t>Monthly Increase</t>
  </si>
  <si>
    <t>Quarterly Increase</t>
  </si>
  <si>
    <t>Annual Increase</t>
  </si>
  <si>
    <t>Credit Card Expenses</t>
  </si>
  <si>
    <t>Time To FI</t>
  </si>
  <si>
    <t>3 month running avg portfolio required @ SWR</t>
  </si>
  <si>
    <t>12 month running avg portfolio required @ SWR</t>
  </si>
  <si>
    <t>Target Series (based on 3 month running avg)</t>
  </si>
  <si>
    <t>Target</t>
  </si>
  <si>
    <t>find target portfolio (3 month avg)</t>
  </si>
  <si>
    <t>Trendline</t>
  </si>
  <si>
    <t>x^2</t>
  </si>
  <si>
    <t>x</t>
  </si>
  <si>
    <t>Formula</t>
  </si>
  <si>
    <t>Est. FI</t>
  </si>
  <si>
    <t>ASSETS</t>
  </si>
  <si>
    <t>TOTAL ASSETS</t>
  </si>
  <si>
    <t>graph on website</t>
  </si>
  <si>
    <t>monthly statement, 10th</t>
  </si>
  <si>
    <t>calculated from YNAB</t>
  </si>
  <si>
    <t>manual checking on website</t>
  </si>
  <si>
    <t>monthly statement, end of month</t>
  </si>
  <si>
    <t>closed</t>
  </si>
  <si>
    <t>monthly statement, 9th, daily balance summary</t>
  </si>
  <si>
    <t>export, then back calc from current balance</t>
  </si>
  <si>
    <t>notes</t>
  </si>
  <si>
    <t>JH 401(k) transferred in $16997.46 from GAC</t>
  </si>
  <si>
    <t>FBA HSA transferred $2910.93 from GAC</t>
  </si>
  <si>
    <t>zero line</t>
  </si>
  <si>
    <t>is january</t>
  </si>
  <si>
    <t>is february</t>
  </si>
  <si>
    <t>is march</t>
  </si>
  <si>
    <t>is april</t>
  </si>
  <si>
    <t>is may</t>
  </si>
  <si>
    <t>is june</t>
  </si>
  <si>
    <t>is july</t>
  </si>
  <si>
    <t>is august</t>
  </si>
  <si>
    <t>is spetember</t>
  </si>
  <si>
    <t>is october</t>
  </si>
  <si>
    <t>is november</t>
  </si>
  <si>
    <t>is 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</si>
  <si>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</si>
  <si>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</si>
  <si>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</si>
  <si>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</si>
  <si>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</si>
  <si>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</si>
  <si>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</si>
  <si>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</si>
  <si>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</si>
  <si>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</si>
  <si>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</si>
  <si>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</si>
  <si>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jan expenses</t>
  </si>
  <si>
    <t>sum feb expenses</t>
  </si>
  <si>
    <t>sum march expenses</t>
  </si>
  <si>
    <t>sum april expenses</t>
  </si>
  <si>
    <t>sum may expenses</t>
  </si>
  <si>
    <t>sum june expenses</t>
  </si>
  <si>
    <t>sum july expenses</t>
  </si>
  <si>
    <t>sum august expenses</t>
  </si>
  <si>
    <t>sum september expenses</t>
  </si>
  <si>
    <t>sum october expenses</t>
  </si>
  <si>
    <t>sum november expenses</t>
  </si>
  <si>
    <t>sum december expenses</t>
  </si>
  <si>
    <t>Previous Year Expenses</t>
  </si>
  <si>
    <t>LIABILITIES</t>
  </si>
  <si>
    <t>TOTAL LIABILITIES</t>
  </si>
  <si>
    <t>Navient Loan 1 (5.31%)</t>
  </si>
  <si>
    <t>Navient Loan 2 (6.00%)</t>
  </si>
  <si>
    <t>Monthly Average Expenses (since 2016ish)</t>
  </si>
  <si>
    <t>Overall Average per Month</t>
  </si>
  <si>
    <t>Target Average per Month</t>
  </si>
  <si>
    <t>paycheck</t>
  </si>
  <si>
    <t>insert above solid black line</t>
  </si>
  <si>
    <t>Date</t>
  </si>
  <si>
    <t>fudge</t>
  </si>
  <si>
    <t>Annual Income Generated by Current Portfolio @ SWR</t>
  </si>
  <si>
    <t>Date as number</t>
  </si>
  <si>
    <t>Portfolio Balance Moving Average</t>
  </si>
  <si>
    <t>test contributions vs growth</t>
  </si>
  <si>
    <t>Contribution</t>
  </si>
  <si>
    <t>Contributed Total</t>
  </si>
  <si>
    <t>Balance</t>
  </si>
  <si>
    <t>ROR</t>
  </si>
  <si>
    <t>biweekly ROR</t>
  </si>
  <si>
    <t>Total Market Growth</t>
  </si>
  <si>
    <t>Growth Increment</t>
  </si>
  <si>
    <t>should be static value</t>
  </si>
  <si>
    <t>Credit Card balances off before marriage (before auto pay was turned on). This leads to lower balances in nov 2016 and others because of rapid payments</t>
  </si>
  <si>
    <t>auto pay should smooth out this error (although it's still not perfect)</t>
  </si>
  <si>
    <t>take note of equations and chart references in the expenses section. Write macro or notes on how to adjust formulas/references when adding data</t>
  </si>
  <si>
    <t>eventually, make this average since marriage (both monthly and overall… see chart)</t>
  </si>
  <si>
    <t>logarithmic</t>
  </si>
  <si>
    <t>c</t>
  </si>
  <si>
    <t>b</t>
  </si>
  <si>
    <t>Mortgage</t>
  </si>
  <si>
    <t>Home Equity</t>
  </si>
  <si>
    <t>Navient Loan 1</t>
  </si>
  <si>
    <t>annual credit card use</t>
  </si>
  <si>
    <t>sim RoR</t>
  </si>
  <si>
    <t>monthly contributions</t>
  </si>
  <si>
    <t>sum contrib</t>
  </si>
  <si>
    <t>simulation</t>
  </si>
  <si>
    <t>after graduation, 401(k) and IRA accounts simulate merged separate accounts (for simplification)</t>
  </si>
  <si>
    <t>before grad</t>
  </si>
  <si>
    <t>after grad</t>
  </si>
  <si>
    <t>Ed Jones taxable becomes general taxable investments</t>
  </si>
  <si>
    <t>C Base Salary</t>
  </si>
  <si>
    <t>S Base Salary</t>
  </si>
  <si>
    <t>401(k) contrib</t>
  </si>
  <si>
    <t>IRA contrib</t>
  </si>
  <si>
    <t>HSA contrib</t>
  </si>
  <si>
    <t>sum</t>
  </si>
  <si>
    <t>taxable</t>
  </si>
  <si>
    <t>https://www.fool.com/taxes/2017/12/13/your-guide-to-tax-brackets-in-2018.aspx</t>
  </si>
  <si>
    <t>net</t>
  </si>
  <si>
    <t>Cost of Living</t>
  </si>
  <si>
    <t>to distribute</t>
  </si>
  <si>
    <t>Down Payment</t>
  </si>
  <si>
    <t>Total Price</t>
  </si>
  <si>
    <t>Mortgaged amount</t>
  </si>
  <si>
    <t>Interest Rate</t>
  </si>
  <si>
    <t>years</t>
  </si>
  <si>
    <t>months</t>
  </si>
  <si>
    <t>payments</t>
  </si>
  <si>
    <t>extra monthly payment</t>
  </si>
  <si>
    <t>total monthly payment</t>
  </si>
  <si>
    <t>Year</t>
  </si>
  <si>
    <t>Beginning Balance</t>
  </si>
  <si>
    <t>Payment</t>
  </si>
  <si>
    <t>Principal</t>
  </si>
  <si>
    <t>Interest</t>
  </si>
  <si>
    <t>Extra Payment</t>
  </si>
  <si>
    <t>Cumulative Principle</t>
  </si>
  <si>
    <t>Cumulative Interest</t>
  </si>
  <si>
    <t>Ending Loan Balance</t>
  </si>
  <si>
    <t>Total Payment</t>
  </si>
  <si>
    <t>Equity</t>
  </si>
  <si>
    <t>Navient Loan 2</t>
  </si>
  <si>
    <t>Payments</t>
  </si>
  <si>
    <t>Loan 1</t>
  </si>
  <si>
    <t>Loan 2</t>
  </si>
  <si>
    <t>Loan 3</t>
  </si>
  <si>
    <t>Loan4</t>
  </si>
  <si>
    <t>Sum</t>
  </si>
  <si>
    <t>Total Debt Payments</t>
  </si>
  <si>
    <t>possible taxable invest</t>
  </si>
  <si>
    <t>C Age</t>
  </si>
  <si>
    <t xml:space="preserve">tax </t>
  </si>
  <si>
    <t>after tax total</t>
  </si>
  <si>
    <t>annual loans and mortgage</t>
  </si>
  <si>
    <t>annual mortgage double</t>
  </si>
  <si>
    <t>Maximum Savings Rates</t>
  </si>
  <si>
    <t>while paying loans and mortgage</t>
  </si>
  <si>
    <t>while paying mortgage at double</t>
  </si>
  <si>
    <t>without loans and mortgage</t>
  </si>
  <si>
    <t>monthly</t>
  </si>
  <si>
    <t>annual taxable savings</t>
  </si>
  <si>
    <t>with loans and mortgage</t>
  </si>
  <si>
    <t>with mortgage double</t>
  </si>
  <si>
    <t>after quit</t>
  </si>
  <si>
    <t>S Age</t>
  </si>
  <si>
    <t>Monthly Income Generated by Current Portfolio @ SWR</t>
  </si>
  <si>
    <t>after loans (still paying mort)</t>
  </si>
  <si>
    <t>Dynetics ESOP</t>
  </si>
  <si>
    <t>Chevron Visa CC</t>
  </si>
  <si>
    <t>for FI prediction</t>
  </si>
  <si>
    <t>Current Date</t>
  </si>
  <si>
    <t>Portfolio Balance</t>
  </si>
  <si>
    <t>FI Prediction Record</t>
  </si>
  <si>
    <t>When</t>
  </si>
  <si>
    <t>FI Date</t>
  </si>
  <si>
    <t>Notes</t>
  </si>
  <si>
    <t>Generated</t>
  </si>
  <si>
    <t>initial</t>
  </si>
  <si>
    <t>Manual Target</t>
  </si>
  <si>
    <t>2 Power</t>
  </si>
  <si>
    <t>x2</t>
  </si>
  <si>
    <t xml:space="preserve">x </t>
  </si>
  <si>
    <t>2018 dollars</t>
  </si>
  <si>
    <t>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</si>
</sst>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.00_);[Red]\(0.00\)"/>
    <numFmt numFmtId="165" formatCode="&quot;$&quot;#,##0.00"/>
    <numFmt numFmtId="166" formatCode="0.0"/>
    <numFmt numFmtId="167" formatCode="mmm\-yyyy"/>
  </numFmts>
  <fonts count="10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8" fillId="6" borderId="14" applyNumberFormat="0" applyAlignment="0" applyProtection="0"/>
    <xf numFmtId="0" fontId="9" fillId="7" borderId="0" applyNumberFormat="0" applyBorder="0" applyAlignment="0" applyProtection="0"/>
  </cellStyleXfs>
  <cellXfs count="104">
    <xf numFmtId="0" fontId="0" fillId="0" borderId="0" xfId="0"/>
    <xf numFmtId="14" fontId="0" fillId="0" borderId="0" xfId="0" applyNumberFormat="1"/>
    <xf numFmtId="40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40" fontId="2" fillId="0" borderId="0" xfId="0" applyNumberFormat="1" applyFont="1"/>
    <xf numFmtId="14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0" fontId="0" fillId="0" borderId="5" xfId="0" applyNumberFormat="1" applyBorder="1"/>
    <xf numFmtId="40" fontId="0" fillId="0" borderId="0" xfId="0" applyNumberFormat="1" applyBorder="1"/>
    <xf numFmtId="40" fontId="2" fillId="0" borderId="6" xfId="0" applyNumberFormat="1" applyFont="1" applyBorder="1"/>
    <xf numFmtId="40" fontId="1" fillId="2" borderId="1" xfId="1" applyNumberFormat="1" applyBorder="1"/>
    <xf numFmtId="40" fontId="0" fillId="0" borderId="7" xfId="0" applyNumberFormat="1" applyBorder="1"/>
    <xf numFmtId="40" fontId="0" fillId="0" borderId="8" xfId="0" applyNumberFormat="1" applyBorder="1"/>
    <xf numFmtId="40" fontId="2" fillId="0" borderId="9" xfId="0" applyNumberFormat="1" applyFont="1" applyBorder="1"/>
    <xf numFmtId="40" fontId="2" fillId="0" borderId="0" xfId="0" applyNumberFormat="1" applyFont="1" applyAlignment="1">
      <alignment wrapText="1"/>
    </xf>
    <xf numFmtId="0" fontId="2" fillId="0" borderId="2" xfId="0" applyFont="1" applyBorder="1" applyAlignment="1">
      <alignment wrapText="1"/>
    </xf>
    <xf numFmtId="40" fontId="2" fillId="0" borderId="5" xfId="0" applyNumberFormat="1" applyFont="1" applyBorder="1" applyAlignment="1">
      <alignment wrapText="1"/>
    </xf>
    <xf numFmtId="40" fontId="2" fillId="0" borderId="0" xfId="0" applyNumberFormat="1" applyFont="1" applyBorder="1" applyAlignment="1">
      <alignment wrapText="1"/>
    </xf>
    <xf numFmtId="40" fontId="2" fillId="0" borderId="6" xfId="0" applyNumberFormat="1" applyFont="1" applyBorder="1" applyAlignment="1">
      <alignment wrapText="1"/>
    </xf>
    <xf numFmtId="40" fontId="2" fillId="0" borderId="8" xfId="0" applyNumberFormat="1" applyFont="1" applyBorder="1" applyAlignment="1">
      <alignment wrapText="1"/>
    </xf>
    <xf numFmtId="10" fontId="0" fillId="0" borderId="0" xfId="0" applyNumberFormat="1"/>
    <xf numFmtId="10" fontId="2" fillId="0" borderId="0" xfId="0" applyNumberFormat="1" applyFont="1" applyBorder="1" applyAlignment="1">
      <alignment wrapText="1"/>
    </xf>
    <xf numFmtId="10" fontId="2" fillId="0" borderId="6" xfId="0" applyNumberFormat="1" applyFont="1" applyBorder="1" applyAlignment="1">
      <alignment wrapText="1"/>
    </xf>
    <xf numFmtId="40" fontId="2" fillId="0" borderId="7" xfId="0" applyNumberFormat="1" applyFont="1" applyBorder="1" applyAlignment="1">
      <alignment wrapText="1"/>
    </xf>
    <xf numFmtId="10" fontId="2" fillId="0" borderId="8" xfId="0" applyNumberFormat="1" applyFont="1" applyBorder="1" applyAlignment="1">
      <alignment wrapText="1"/>
    </xf>
    <xf numFmtId="10" fontId="2" fillId="0" borderId="9" xfId="0" applyNumberFormat="1" applyFont="1" applyBorder="1" applyAlignment="1">
      <alignment wrapText="1"/>
    </xf>
    <xf numFmtId="0" fontId="0" fillId="0" borderId="0" xfId="0" applyBorder="1"/>
    <xf numFmtId="0" fontId="2" fillId="0" borderId="0" xfId="0" applyNumberFormat="1" applyFont="1"/>
    <xf numFmtId="14" fontId="2" fillId="3" borderId="0" xfId="0" applyNumberFormat="1" applyFont="1" applyFill="1"/>
    <xf numFmtId="0" fontId="2" fillId="3" borderId="0" xfId="0" applyNumberFormat="1" applyFont="1" applyFill="1"/>
    <xf numFmtId="40" fontId="0" fillId="3" borderId="7" xfId="0" applyNumberFormat="1" applyFill="1" applyBorder="1"/>
    <xf numFmtId="40" fontId="0" fillId="3" borderId="8" xfId="0" applyNumberFormat="1" applyFill="1" applyBorder="1"/>
    <xf numFmtId="40" fontId="2" fillId="3" borderId="9" xfId="0" applyNumberFormat="1" applyFont="1" applyFill="1" applyBorder="1"/>
    <xf numFmtId="40" fontId="2" fillId="3" borderId="8" xfId="0" applyNumberFormat="1" applyFont="1" applyFill="1" applyBorder="1"/>
    <xf numFmtId="40" fontId="2" fillId="3" borderId="13" xfId="0" applyNumberFormat="1" applyFont="1" applyFill="1" applyBorder="1" applyAlignment="1">
      <alignment wrapText="1"/>
    </xf>
    <xf numFmtId="40" fontId="2" fillId="3" borderId="8" xfId="0" applyNumberFormat="1" applyFont="1" applyFill="1" applyBorder="1" applyAlignment="1">
      <alignment wrapText="1"/>
    </xf>
    <xf numFmtId="40" fontId="2" fillId="3" borderId="9" xfId="0" applyNumberFormat="1" applyFont="1" applyFill="1" applyBorder="1" applyAlignment="1">
      <alignment wrapText="1"/>
    </xf>
    <xf numFmtId="40" fontId="2" fillId="3" borderId="7" xfId="0" applyNumberFormat="1" applyFont="1" applyFill="1" applyBorder="1" applyAlignment="1">
      <alignment wrapText="1"/>
    </xf>
    <xf numFmtId="10" fontId="2" fillId="3" borderId="8" xfId="0" applyNumberFormat="1" applyFont="1" applyFill="1" applyBorder="1" applyAlignment="1">
      <alignment wrapText="1"/>
    </xf>
    <xf numFmtId="10" fontId="2" fillId="3" borderId="9" xfId="0" applyNumberFormat="1" applyFont="1" applyFill="1" applyBorder="1" applyAlignment="1">
      <alignment wrapText="1"/>
    </xf>
    <xf numFmtId="40" fontId="2" fillId="3" borderId="0" xfId="0" applyNumberFormat="1" applyFont="1" applyFill="1" applyAlignment="1">
      <alignment wrapText="1"/>
    </xf>
    <xf numFmtId="0" fontId="0" fillId="3" borderId="0" xfId="0" applyFill="1"/>
    <xf numFmtId="11" fontId="0" fillId="0" borderId="0" xfId="0" applyNumberFormat="1"/>
    <xf numFmtId="0" fontId="0" fillId="0" borderId="0" xfId="0" applyAlignment="1">
      <alignment wrapText="1"/>
    </xf>
    <xf numFmtId="40" fontId="3" fillId="0" borderId="0" xfId="0" applyNumberFormat="1" applyFont="1" applyAlignment="1">
      <alignment wrapText="1"/>
    </xf>
    <xf numFmtId="4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6" xfId="0" applyBorder="1"/>
    <xf numFmtId="38" fontId="2" fillId="0" borderId="0" xfId="0" applyNumberFormat="1" applyFont="1" applyBorder="1" applyAlignment="1">
      <alignment wrapText="1"/>
    </xf>
    <xf numFmtId="38" fontId="0" fillId="0" borderId="0" xfId="0" applyNumberFormat="1" applyAlignment="1">
      <alignment wrapText="1"/>
    </xf>
    <xf numFmtId="164" fontId="0" fillId="0" borderId="0" xfId="0" applyNumberFormat="1"/>
    <xf numFmtId="0" fontId="7" fillId="0" borderId="0" xfId="0" applyFont="1"/>
    <xf numFmtId="4" fontId="0" fillId="0" borderId="0" xfId="0" applyNumberFormat="1"/>
    <xf numFmtId="40" fontId="6" fillId="5" borderId="1" xfId="3" applyNumberFormat="1"/>
    <xf numFmtId="165" fontId="0" fillId="0" borderId="0" xfId="0" applyNumberFormat="1"/>
    <xf numFmtId="0" fontId="5" fillId="4" borderId="0" xfId="2" applyAlignment="1">
      <alignment wrapText="1"/>
    </xf>
    <xf numFmtId="0" fontId="5" fillId="4" borderId="3" xfId="2" applyBorder="1" applyAlignment="1">
      <alignment wrapText="1"/>
    </xf>
    <xf numFmtId="40" fontId="6" fillId="5" borderId="1" xfId="3" applyNumberFormat="1" applyBorder="1"/>
    <xf numFmtId="0" fontId="0" fillId="0" borderId="8" xfId="0" applyBorder="1"/>
    <xf numFmtId="9" fontId="0" fillId="0" borderId="0" xfId="0" applyNumberFormat="1"/>
    <xf numFmtId="10" fontId="6" fillId="5" borderId="1" xfId="3" applyNumberFormat="1"/>
    <xf numFmtId="9" fontId="6" fillId="5" borderId="1" xfId="3" applyNumberFormat="1"/>
    <xf numFmtId="0" fontId="2" fillId="0" borderId="0" xfId="0" applyFont="1" applyAlignment="1">
      <alignment vertical="center" wrapText="1"/>
    </xf>
    <xf numFmtId="8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>
      <alignment vertical="center" wrapText="1"/>
    </xf>
    <xf numFmtId="167" fontId="0" fillId="0" borderId="0" xfId="0" applyNumberFormat="1"/>
    <xf numFmtId="4" fontId="6" fillId="5" borderId="1" xfId="3" applyNumberFormat="1"/>
    <xf numFmtId="40" fontId="8" fillId="6" borderId="14" xfId="4" applyNumberFormat="1"/>
    <xf numFmtId="40" fontId="2" fillId="3" borderId="0" xfId="0" applyNumberFormat="1" applyFont="1" applyFill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40" fontId="2" fillId="0" borderId="3" xfId="0" applyNumberFormat="1" applyFont="1" applyBorder="1" applyAlignment="1">
      <alignment wrapText="1"/>
    </xf>
    <xf numFmtId="40" fontId="2" fillId="0" borderId="9" xfId="0" applyNumberFormat="1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0" fontId="6" fillId="5" borderId="0" xfId="3" applyNumberForma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0" fontId="6" fillId="5" borderId="2" xfId="3" applyNumberFormat="1" applyBorder="1" applyAlignment="1">
      <alignment wrapText="1"/>
    </xf>
    <xf numFmtId="40" fontId="6" fillId="5" borderId="3" xfId="3" applyNumberFormat="1" applyBorder="1" applyAlignment="1">
      <alignment wrapText="1"/>
    </xf>
    <xf numFmtId="40" fontId="6" fillId="5" borderId="4" xfId="3" applyNumberFormat="1" applyBorder="1" applyAlignment="1">
      <alignment wrapText="1"/>
    </xf>
    <xf numFmtId="40" fontId="6" fillId="5" borderId="5" xfId="3" applyNumberFormat="1" applyBorder="1" applyAlignment="1">
      <alignment wrapText="1"/>
    </xf>
    <xf numFmtId="40" fontId="6" fillId="5" borderId="6" xfId="3" applyNumberFormat="1" applyBorder="1" applyAlignment="1">
      <alignment wrapText="1"/>
    </xf>
    <xf numFmtId="0" fontId="6" fillId="5" borderId="1" xfId="3"/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9" fillId="7" borderId="2" xfId="5" applyNumberFormat="1" applyBorder="1" applyAlignment="1">
      <alignment wrapText="1"/>
    </xf>
    <xf numFmtId="14" fontId="9" fillId="7" borderId="3" xfId="5" applyNumberFormat="1" applyBorder="1" applyAlignment="1">
      <alignment wrapText="1"/>
    </xf>
    <xf numFmtId="0" fontId="9" fillId="7" borderId="3" xfId="5" applyBorder="1" applyAlignment="1">
      <alignment wrapText="1"/>
    </xf>
    <xf numFmtId="2" fontId="0" fillId="0" borderId="0" xfId="0" applyNumberFormat="1" applyBorder="1"/>
    <xf numFmtId="40" fontId="8" fillId="6" borderId="14" xfId="4" applyNumberFormat="1" applyBorder="1"/>
    <xf numFmtId="10" fontId="9" fillId="7" borderId="0" xfId="5" applyNumberFormat="1"/>
  </cellXfs>
  <cellStyles count="6">
    <cellStyle name="Bad" xfId="5" builtinId="27"/>
    <cellStyle name="Calculation" xfId="1" builtinId="22"/>
    <cellStyle name="Check Cell" xfId="4" builtinId="23"/>
    <cellStyle name="Input" xfId="3" builtinId="20"/>
    <cellStyle name="Neutral" xfId="2" builtinId="28"/>
    <cellStyle name="Normal" xfId="0" builtinId="0"/>
  </cellStyles>
  <dxfs count="36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C87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Data!$I$13</c:f>
              <c:strCache>
                <c:ptCount val="1"/>
                <c:pt idx="0">
                  <c:v>PNC Checking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Data!$I$14:$I$315</c:f>
              <c:numCache>
                <c:formatCode>#,##0.00_);[Red]\(#,##0.00\)</c:formatCode>
                <c:ptCount val="302"/>
                <c:pt idx="0">
                  <c:v>22116.68</c:v>
                </c:pt>
                <c:pt idx="1">
                  <c:v>15658.08</c:v>
                </c:pt>
                <c:pt idx="2">
                  <c:v>9373.56</c:v>
                </c:pt>
                <c:pt idx="3">
                  <c:v>10328.209999999999</c:v>
                </c:pt>
                <c:pt idx="4">
                  <c:v>9992.24</c:v>
                </c:pt>
                <c:pt idx="5">
                  <c:v>7215.91</c:v>
                </c:pt>
                <c:pt idx="6">
                  <c:v>7333.8</c:v>
                </c:pt>
                <c:pt idx="7">
                  <c:v>6507.45</c:v>
                </c:pt>
                <c:pt idx="8">
                  <c:v>8323.9500000000007</c:v>
                </c:pt>
                <c:pt idx="9">
                  <c:v>9324.5400000000009</c:v>
                </c:pt>
                <c:pt idx="10">
                  <c:v>9454.6</c:v>
                </c:pt>
                <c:pt idx="11">
                  <c:v>10354.51</c:v>
                </c:pt>
                <c:pt idx="12">
                  <c:v>12168.98</c:v>
                </c:pt>
                <c:pt idx="13">
                  <c:v>7885.76</c:v>
                </c:pt>
                <c:pt idx="14">
                  <c:v>5157.72</c:v>
                </c:pt>
                <c:pt idx="15">
                  <c:v>5157.7700000000004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Data!$J$13</c:f>
              <c:strCache>
                <c:ptCount val="1"/>
                <c:pt idx="0">
                  <c:v>USAA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Data!$J$14:$J$315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1248</c:v>
                </c:pt>
                <c:pt idx="9">
                  <c:v>1702.99</c:v>
                </c:pt>
                <c:pt idx="10">
                  <c:v>2354</c:v>
                </c:pt>
                <c:pt idx="11">
                  <c:v>2936.01</c:v>
                </c:pt>
                <c:pt idx="12">
                  <c:v>1649.36</c:v>
                </c:pt>
                <c:pt idx="13">
                  <c:v>5033.6099999999997</c:v>
                </c:pt>
                <c:pt idx="14">
                  <c:v>5341.42</c:v>
                </c:pt>
                <c:pt idx="15">
                  <c:v>4107.0200000000004</c:v>
                </c:pt>
                <c:pt idx="16">
                  <c:v>7913.53</c:v>
                </c:pt>
                <c:pt idx="17">
                  <c:v>12465.5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9000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  <c:pt idx="42">
                  <c:v>9000</c:v>
                </c:pt>
                <c:pt idx="43">
                  <c:v>9000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9000</c:v>
                </c:pt>
                <c:pt idx="49">
                  <c:v>9000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9000</c:v>
                </c:pt>
                <c:pt idx="55">
                  <c:v>9000</c:v>
                </c:pt>
                <c:pt idx="56">
                  <c:v>9000</c:v>
                </c:pt>
                <c:pt idx="57">
                  <c:v>9000</c:v>
                </c:pt>
                <c:pt idx="58">
                  <c:v>9000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  <c:pt idx="78">
                  <c:v>9000</c:v>
                </c:pt>
                <c:pt idx="79">
                  <c:v>9000</c:v>
                </c:pt>
                <c:pt idx="80">
                  <c:v>9000</c:v>
                </c:pt>
                <c:pt idx="81">
                  <c:v>9000</c:v>
                </c:pt>
                <c:pt idx="82">
                  <c:v>9000</c:v>
                </c:pt>
                <c:pt idx="83">
                  <c:v>9000</c:v>
                </c:pt>
                <c:pt idx="84">
                  <c:v>9000</c:v>
                </c:pt>
                <c:pt idx="85">
                  <c:v>9000</c:v>
                </c:pt>
                <c:pt idx="86">
                  <c:v>9000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9000</c:v>
                </c:pt>
                <c:pt idx="91">
                  <c:v>9000</c:v>
                </c:pt>
                <c:pt idx="92">
                  <c:v>9000</c:v>
                </c:pt>
                <c:pt idx="93">
                  <c:v>9000</c:v>
                </c:pt>
                <c:pt idx="94">
                  <c:v>9000</c:v>
                </c:pt>
                <c:pt idx="95">
                  <c:v>9000</c:v>
                </c:pt>
                <c:pt idx="96">
                  <c:v>9000</c:v>
                </c:pt>
                <c:pt idx="97">
                  <c:v>9000</c:v>
                </c:pt>
                <c:pt idx="98">
                  <c:v>9000</c:v>
                </c:pt>
                <c:pt idx="99">
                  <c:v>9000</c:v>
                </c:pt>
                <c:pt idx="100">
                  <c:v>9000</c:v>
                </c:pt>
                <c:pt idx="101">
                  <c:v>9000</c:v>
                </c:pt>
                <c:pt idx="102">
                  <c:v>9000</c:v>
                </c:pt>
                <c:pt idx="103">
                  <c:v>9000</c:v>
                </c:pt>
                <c:pt idx="104">
                  <c:v>9000</c:v>
                </c:pt>
                <c:pt idx="105">
                  <c:v>9000</c:v>
                </c:pt>
                <c:pt idx="106">
                  <c:v>9000</c:v>
                </c:pt>
                <c:pt idx="107">
                  <c:v>9000</c:v>
                </c:pt>
                <c:pt idx="108">
                  <c:v>9000</c:v>
                </c:pt>
                <c:pt idx="109">
                  <c:v>9000</c:v>
                </c:pt>
                <c:pt idx="110">
                  <c:v>9000</c:v>
                </c:pt>
                <c:pt idx="111">
                  <c:v>9000</c:v>
                </c:pt>
                <c:pt idx="112">
                  <c:v>9000</c:v>
                </c:pt>
                <c:pt idx="113">
                  <c:v>9000</c:v>
                </c:pt>
                <c:pt idx="114">
                  <c:v>9000</c:v>
                </c:pt>
                <c:pt idx="115">
                  <c:v>9000</c:v>
                </c:pt>
                <c:pt idx="116">
                  <c:v>9000</c:v>
                </c:pt>
                <c:pt idx="117">
                  <c:v>9000</c:v>
                </c:pt>
                <c:pt idx="118">
                  <c:v>9000</c:v>
                </c:pt>
                <c:pt idx="119">
                  <c:v>9000</c:v>
                </c:pt>
                <c:pt idx="120">
                  <c:v>9000</c:v>
                </c:pt>
                <c:pt idx="121">
                  <c:v>9000</c:v>
                </c:pt>
                <c:pt idx="122">
                  <c:v>9000</c:v>
                </c:pt>
                <c:pt idx="123">
                  <c:v>9000</c:v>
                </c:pt>
                <c:pt idx="124">
                  <c:v>9000</c:v>
                </c:pt>
                <c:pt idx="125">
                  <c:v>9000</c:v>
                </c:pt>
                <c:pt idx="126">
                  <c:v>9000</c:v>
                </c:pt>
                <c:pt idx="127">
                  <c:v>9000</c:v>
                </c:pt>
                <c:pt idx="128">
                  <c:v>9000</c:v>
                </c:pt>
                <c:pt idx="129">
                  <c:v>9000</c:v>
                </c:pt>
                <c:pt idx="130">
                  <c:v>9000</c:v>
                </c:pt>
                <c:pt idx="131">
                  <c:v>9000</c:v>
                </c:pt>
                <c:pt idx="132">
                  <c:v>9000</c:v>
                </c:pt>
                <c:pt idx="133">
                  <c:v>9000</c:v>
                </c:pt>
                <c:pt idx="134">
                  <c:v>9000</c:v>
                </c:pt>
                <c:pt idx="135">
                  <c:v>9000</c:v>
                </c:pt>
                <c:pt idx="136">
                  <c:v>9000</c:v>
                </c:pt>
                <c:pt idx="137">
                  <c:v>9000</c:v>
                </c:pt>
                <c:pt idx="138">
                  <c:v>9000</c:v>
                </c:pt>
                <c:pt idx="139">
                  <c:v>9000</c:v>
                </c:pt>
                <c:pt idx="140">
                  <c:v>9000</c:v>
                </c:pt>
                <c:pt idx="141">
                  <c:v>9000</c:v>
                </c:pt>
                <c:pt idx="142">
                  <c:v>9000</c:v>
                </c:pt>
                <c:pt idx="143">
                  <c:v>9000</c:v>
                </c:pt>
                <c:pt idx="144">
                  <c:v>9000</c:v>
                </c:pt>
                <c:pt idx="145">
                  <c:v>9000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9000</c:v>
                </c:pt>
                <c:pt idx="160">
                  <c:v>9000</c:v>
                </c:pt>
                <c:pt idx="161">
                  <c:v>9000</c:v>
                </c:pt>
                <c:pt idx="162">
                  <c:v>9000</c:v>
                </c:pt>
                <c:pt idx="163">
                  <c:v>9000</c:v>
                </c:pt>
                <c:pt idx="164">
                  <c:v>9000</c:v>
                </c:pt>
                <c:pt idx="165">
                  <c:v>9000</c:v>
                </c:pt>
                <c:pt idx="166">
                  <c:v>9000</c:v>
                </c:pt>
                <c:pt idx="167">
                  <c:v>9000</c:v>
                </c:pt>
                <c:pt idx="168">
                  <c:v>9000</c:v>
                </c:pt>
                <c:pt idx="169">
                  <c:v>9000</c:v>
                </c:pt>
                <c:pt idx="170">
                  <c:v>9000</c:v>
                </c:pt>
                <c:pt idx="171">
                  <c:v>9000</c:v>
                </c:pt>
                <c:pt idx="172">
                  <c:v>9000</c:v>
                </c:pt>
                <c:pt idx="173">
                  <c:v>9000</c:v>
                </c:pt>
                <c:pt idx="174">
                  <c:v>9000</c:v>
                </c:pt>
                <c:pt idx="175">
                  <c:v>9000</c:v>
                </c:pt>
                <c:pt idx="176">
                  <c:v>9000</c:v>
                </c:pt>
                <c:pt idx="177">
                  <c:v>9000</c:v>
                </c:pt>
                <c:pt idx="178">
                  <c:v>9000</c:v>
                </c:pt>
                <c:pt idx="179">
                  <c:v>9000</c:v>
                </c:pt>
                <c:pt idx="180">
                  <c:v>9000</c:v>
                </c:pt>
                <c:pt idx="181">
                  <c:v>9000</c:v>
                </c:pt>
                <c:pt idx="182">
                  <c:v>9000</c:v>
                </c:pt>
                <c:pt idx="183">
                  <c:v>9000</c:v>
                </c:pt>
                <c:pt idx="184">
                  <c:v>9000</c:v>
                </c:pt>
                <c:pt idx="185">
                  <c:v>9000</c:v>
                </c:pt>
                <c:pt idx="186">
                  <c:v>9000</c:v>
                </c:pt>
                <c:pt idx="187">
                  <c:v>9000</c:v>
                </c:pt>
                <c:pt idx="188">
                  <c:v>9000</c:v>
                </c:pt>
                <c:pt idx="189">
                  <c:v>9000</c:v>
                </c:pt>
                <c:pt idx="190">
                  <c:v>9000</c:v>
                </c:pt>
                <c:pt idx="191">
                  <c:v>9000</c:v>
                </c:pt>
                <c:pt idx="192">
                  <c:v>9000</c:v>
                </c:pt>
                <c:pt idx="193">
                  <c:v>9000</c:v>
                </c:pt>
                <c:pt idx="194">
                  <c:v>9000</c:v>
                </c:pt>
                <c:pt idx="195">
                  <c:v>9000</c:v>
                </c:pt>
                <c:pt idx="196">
                  <c:v>9000</c:v>
                </c:pt>
                <c:pt idx="197">
                  <c:v>9000</c:v>
                </c:pt>
                <c:pt idx="198">
                  <c:v>9000</c:v>
                </c:pt>
                <c:pt idx="199">
                  <c:v>9000</c:v>
                </c:pt>
                <c:pt idx="200">
                  <c:v>9000</c:v>
                </c:pt>
                <c:pt idx="201">
                  <c:v>9000</c:v>
                </c:pt>
                <c:pt idx="202">
                  <c:v>9000</c:v>
                </c:pt>
                <c:pt idx="203">
                  <c:v>9000</c:v>
                </c:pt>
                <c:pt idx="204">
                  <c:v>9000</c:v>
                </c:pt>
                <c:pt idx="205">
                  <c:v>9000</c:v>
                </c:pt>
                <c:pt idx="206">
                  <c:v>9000</c:v>
                </c:pt>
                <c:pt idx="207">
                  <c:v>9000</c:v>
                </c:pt>
                <c:pt idx="208">
                  <c:v>9000</c:v>
                </c:pt>
                <c:pt idx="209">
                  <c:v>9000</c:v>
                </c:pt>
                <c:pt idx="210">
                  <c:v>9000</c:v>
                </c:pt>
                <c:pt idx="211">
                  <c:v>9000</c:v>
                </c:pt>
                <c:pt idx="212">
                  <c:v>9000</c:v>
                </c:pt>
                <c:pt idx="213">
                  <c:v>9000</c:v>
                </c:pt>
                <c:pt idx="214">
                  <c:v>9000</c:v>
                </c:pt>
                <c:pt idx="215">
                  <c:v>9000</c:v>
                </c:pt>
                <c:pt idx="216">
                  <c:v>9000</c:v>
                </c:pt>
                <c:pt idx="217">
                  <c:v>9000</c:v>
                </c:pt>
                <c:pt idx="218">
                  <c:v>9000</c:v>
                </c:pt>
                <c:pt idx="219">
                  <c:v>9000</c:v>
                </c:pt>
                <c:pt idx="220">
                  <c:v>9000</c:v>
                </c:pt>
                <c:pt idx="221">
                  <c:v>9000</c:v>
                </c:pt>
                <c:pt idx="222">
                  <c:v>9000</c:v>
                </c:pt>
                <c:pt idx="223">
                  <c:v>9000</c:v>
                </c:pt>
                <c:pt idx="224">
                  <c:v>9000</c:v>
                </c:pt>
                <c:pt idx="225">
                  <c:v>9000</c:v>
                </c:pt>
                <c:pt idx="226">
                  <c:v>9000</c:v>
                </c:pt>
                <c:pt idx="227">
                  <c:v>9000</c:v>
                </c:pt>
                <c:pt idx="228">
                  <c:v>9000</c:v>
                </c:pt>
                <c:pt idx="229">
                  <c:v>9000</c:v>
                </c:pt>
                <c:pt idx="230">
                  <c:v>9000</c:v>
                </c:pt>
                <c:pt idx="231">
                  <c:v>9000</c:v>
                </c:pt>
                <c:pt idx="232">
                  <c:v>9000</c:v>
                </c:pt>
                <c:pt idx="233">
                  <c:v>9000</c:v>
                </c:pt>
                <c:pt idx="234">
                  <c:v>9000</c:v>
                </c:pt>
                <c:pt idx="235">
                  <c:v>9000</c:v>
                </c:pt>
                <c:pt idx="236">
                  <c:v>9000</c:v>
                </c:pt>
                <c:pt idx="237">
                  <c:v>9000</c:v>
                </c:pt>
                <c:pt idx="238">
                  <c:v>9000</c:v>
                </c:pt>
                <c:pt idx="239">
                  <c:v>9000</c:v>
                </c:pt>
                <c:pt idx="240">
                  <c:v>9000</c:v>
                </c:pt>
                <c:pt idx="241">
                  <c:v>9000</c:v>
                </c:pt>
                <c:pt idx="242">
                  <c:v>9000</c:v>
                </c:pt>
                <c:pt idx="243">
                  <c:v>9000</c:v>
                </c:pt>
                <c:pt idx="244">
                  <c:v>9000</c:v>
                </c:pt>
                <c:pt idx="245">
                  <c:v>9000</c:v>
                </c:pt>
                <c:pt idx="246">
                  <c:v>9000</c:v>
                </c:pt>
                <c:pt idx="247">
                  <c:v>9000</c:v>
                </c:pt>
                <c:pt idx="248">
                  <c:v>9000</c:v>
                </c:pt>
                <c:pt idx="249">
                  <c:v>9000</c:v>
                </c:pt>
                <c:pt idx="250">
                  <c:v>9000</c:v>
                </c:pt>
                <c:pt idx="251">
                  <c:v>9000</c:v>
                </c:pt>
                <c:pt idx="252">
                  <c:v>9000</c:v>
                </c:pt>
                <c:pt idx="253">
                  <c:v>9000</c:v>
                </c:pt>
                <c:pt idx="254">
                  <c:v>9000</c:v>
                </c:pt>
                <c:pt idx="255">
                  <c:v>9000</c:v>
                </c:pt>
                <c:pt idx="256">
                  <c:v>9000</c:v>
                </c:pt>
                <c:pt idx="257">
                  <c:v>9000</c:v>
                </c:pt>
                <c:pt idx="258">
                  <c:v>9000</c:v>
                </c:pt>
                <c:pt idx="259">
                  <c:v>9000</c:v>
                </c:pt>
                <c:pt idx="260">
                  <c:v>9000</c:v>
                </c:pt>
                <c:pt idx="261">
                  <c:v>9000</c:v>
                </c:pt>
                <c:pt idx="262">
                  <c:v>9000</c:v>
                </c:pt>
                <c:pt idx="263">
                  <c:v>9000</c:v>
                </c:pt>
                <c:pt idx="264">
                  <c:v>9000</c:v>
                </c:pt>
                <c:pt idx="265">
                  <c:v>9000</c:v>
                </c:pt>
                <c:pt idx="266">
                  <c:v>9000</c:v>
                </c:pt>
                <c:pt idx="267">
                  <c:v>9000</c:v>
                </c:pt>
                <c:pt idx="268">
                  <c:v>9000</c:v>
                </c:pt>
                <c:pt idx="269">
                  <c:v>9000</c:v>
                </c:pt>
                <c:pt idx="270">
                  <c:v>9000</c:v>
                </c:pt>
                <c:pt idx="271">
                  <c:v>9000</c:v>
                </c:pt>
                <c:pt idx="272">
                  <c:v>9000</c:v>
                </c:pt>
                <c:pt idx="273">
                  <c:v>9000</c:v>
                </c:pt>
                <c:pt idx="274">
                  <c:v>9000</c:v>
                </c:pt>
                <c:pt idx="275">
                  <c:v>9000</c:v>
                </c:pt>
                <c:pt idx="276">
                  <c:v>9000</c:v>
                </c:pt>
                <c:pt idx="277">
                  <c:v>9000</c:v>
                </c:pt>
                <c:pt idx="278">
                  <c:v>9000</c:v>
                </c:pt>
                <c:pt idx="279">
                  <c:v>9000</c:v>
                </c:pt>
                <c:pt idx="280">
                  <c:v>9000</c:v>
                </c:pt>
                <c:pt idx="281">
                  <c:v>9000</c:v>
                </c:pt>
                <c:pt idx="282">
                  <c:v>9000</c:v>
                </c:pt>
                <c:pt idx="283">
                  <c:v>9000</c:v>
                </c:pt>
                <c:pt idx="284">
                  <c:v>9000</c:v>
                </c:pt>
                <c:pt idx="285">
                  <c:v>9000</c:v>
                </c:pt>
                <c:pt idx="286">
                  <c:v>9000</c:v>
                </c:pt>
                <c:pt idx="287">
                  <c:v>9000</c:v>
                </c:pt>
                <c:pt idx="288">
                  <c:v>9000</c:v>
                </c:pt>
                <c:pt idx="289">
                  <c:v>9000</c:v>
                </c:pt>
                <c:pt idx="290">
                  <c:v>9000</c:v>
                </c:pt>
                <c:pt idx="291">
                  <c:v>9000</c:v>
                </c:pt>
                <c:pt idx="292">
                  <c:v>9000</c:v>
                </c:pt>
                <c:pt idx="293">
                  <c:v>9000</c:v>
                </c:pt>
                <c:pt idx="294">
                  <c:v>9000</c:v>
                </c:pt>
                <c:pt idx="295">
                  <c:v>9000</c:v>
                </c:pt>
                <c:pt idx="296">
                  <c:v>9000</c:v>
                </c:pt>
                <c:pt idx="297">
                  <c:v>9000</c:v>
                </c:pt>
                <c:pt idx="298">
                  <c:v>9000</c:v>
                </c:pt>
                <c:pt idx="299">
                  <c:v>9000</c:v>
                </c:pt>
                <c:pt idx="300">
                  <c:v>9000</c:v>
                </c:pt>
              </c:numCache>
            </c:numRef>
          </c:val>
        </c:ser>
        <c:ser>
          <c:idx val="2"/>
          <c:order val="2"/>
          <c:tx>
            <c:strRef>
              <c:f>Data!$K$13</c:f>
              <c:strCache>
                <c:ptCount val="1"/>
                <c:pt idx="0">
                  <c:v>Wells Fargo Checking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Data!$K$14:$K$315</c:f>
              <c:numCache>
                <c:formatCode>#,##0.00_);[Red]\(#,##0.00\)</c:formatCode>
                <c:ptCount val="302"/>
                <c:pt idx="0">
                  <c:v>6042.8</c:v>
                </c:pt>
                <c:pt idx="1">
                  <c:v>6100.08</c:v>
                </c:pt>
                <c:pt idx="2">
                  <c:v>6048.59</c:v>
                </c:pt>
                <c:pt idx="3">
                  <c:v>4731.74</c:v>
                </c:pt>
                <c:pt idx="4">
                  <c:v>7546.29</c:v>
                </c:pt>
                <c:pt idx="5">
                  <c:v>11373.94</c:v>
                </c:pt>
                <c:pt idx="6">
                  <c:v>9489.76</c:v>
                </c:pt>
                <c:pt idx="7">
                  <c:v>9899.16</c:v>
                </c:pt>
                <c:pt idx="8">
                  <c:v>9634.6200000000008</c:v>
                </c:pt>
                <c:pt idx="9">
                  <c:v>7797.01</c:v>
                </c:pt>
                <c:pt idx="10">
                  <c:v>8011.98</c:v>
                </c:pt>
                <c:pt idx="11">
                  <c:v>7866.65</c:v>
                </c:pt>
                <c:pt idx="12">
                  <c:v>4787.99</c:v>
                </c:pt>
                <c:pt idx="13">
                  <c:v>4337.08</c:v>
                </c:pt>
                <c:pt idx="14">
                  <c:v>3579.88</c:v>
                </c:pt>
                <c:pt idx="15">
                  <c:v>3514.88</c:v>
                </c:pt>
                <c:pt idx="16">
                  <c:v>3678.34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>
                  <c:v>550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550</c:v>
                </c:pt>
                <c:pt idx="28">
                  <c:v>550</c:v>
                </c:pt>
                <c:pt idx="29">
                  <c:v>550</c:v>
                </c:pt>
                <c:pt idx="30">
                  <c:v>550</c:v>
                </c:pt>
                <c:pt idx="31">
                  <c:v>550</c:v>
                </c:pt>
                <c:pt idx="32">
                  <c:v>550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  <c:pt idx="36">
                  <c:v>550</c:v>
                </c:pt>
                <c:pt idx="37">
                  <c:v>550</c:v>
                </c:pt>
                <c:pt idx="38">
                  <c:v>550</c:v>
                </c:pt>
                <c:pt idx="39">
                  <c:v>550</c:v>
                </c:pt>
                <c:pt idx="40">
                  <c:v>550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550</c:v>
                </c:pt>
                <c:pt idx="46">
                  <c:v>550</c:v>
                </c:pt>
                <c:pt idx="47">
                  <c:v>550</c:v>
                </c:pt>
                <c:pt idx="48">
                  <c:v>550</c:v>
                </c:pt>
                <c:pt idx="49">
                  <c:v>550</c:v>
                </c:pt>
                <c:pt idx="50">
                  <c:v>550</c:v>
                </c:pt>
                <c:pt idx="51">
                  <c:v>550</c:v>
                </c:pt>
                <c:pt idx="52">
                  <c:v>550</c:v>
                </c:pt>
                <c:pt idx="53">
                  <c:v>550</c:v>
                </c:pt>
                <c:pt idx="54">
                  <c:v>550</c:v>
                </c:pt>
                <c:pt idx="55">
                  <c:v>550</c:v>
                </c:pt>
                <c:pt idx="56">
                  <c:v>550</c:v>
                </c:pt>
                <c:pt idx="57">
                  <c:v>550</c:v>
                </c:pt>
                <c:pt idx="58">
                  <c:v>550</c:v>
                </c:pt>
                <c:pt idx="59">
                  <c:v>550</c:v>
                </c:pt>
                <c:pt idx="60">
                  <c:v>550</c:v>
                </c:pt>
                <c:pt idx="61">
                  <c:v>550</c:v>
                </c:pt>
                <c:pt idx="62">
                  <c:v>550</c:v>
                </c:pt>
                <c:pt idx="63">
                  <c:v>550</c:v>
                </c:pt>
                <c:pt idx="64">
                  <c:v>550</c:v>
                </c:pt>
                <c:pt idx="65">
                  <c:v>550</c:v>
                </c:pt>
                <c:pt idx="66">
                  <c:v>550</c:v>
                </c:pt>
                <c:pt idx="67">
                  <c:v>550</c:v>
                </c:pt>
                <c:pt idx="68">
                  <c:v>550</c:v>
                </c:pt>
                <c:pt idx="69">
                  <c:v>550</c:v>
                </c:pt>
                <c:pt idx="70">
                  <c:v>550</c:v>
                </c:pt>
                <c:pt idx="71">
                  <c:v>550</c:v>
                </c:pt>
                <c:pt idx="72">
                  <c:v>550</c:v>
                </c:pt>
                <c:pt idx="73">
                  <c:v>550</c:v>
                </c:pt>
                <c:pt idx="74">
                  <c:v>550</c:v>
                </c:pt>
                <c:pt idx="75">
                  <c:v>550</c:v>
                </c:pt>
                <c:pt idx="76">
                  <c:v>550</c:v>
                </c:pt>
                <c:pt idx="77">
                  <c:v>550</c:v>
                </c:pt>
                <c:pt idx="78">
                  <c:v>550</c:v>
                </c:pt>
                <c:pt idx="79">
                  <c:v>550</c:v>
                </c:pt>
                <c:pt idx="80">
                  <c:v>550</c:v>
                </c:pt>
                <c:pt idx="81">
                  <c:v>550</c:v>
                </c:pt>
                <c:pt idx="82">
                  <c:v>550</c:v>
                </c:pt>
                <c:pt idx="83">
                  <c:v>550</c:v>
                </c:pt>
                <c:pt idx="84">
                  <c:v>550</c:v>
                </c:pt>
                <c:pt idx="85">
                  <c:v>550</c:v>
                </c:pt>
                <c:pt idx="86">
                  <c:v>550</c:v>
                </c:pt>
                <c:pt idx="87">
                  <c:v>550</c:v>
                </c:pt>
                <c:pt idx="88">
                  <c:v>550</c:v>
                </c:pt>
                <c:pt idx="89">
                  <c:v>550</c:v>
                </c:pt>
                <c:pt idx="90">
                  <c:v>550</c:v>
                </c:pt>
                <c:pt idx="91">
                  <c:v>550</c:v>
                </c:pt>
                <c:pt idx="92">
                  <c:v>550</c:v>
                </c:pt>
                <c:pt idx="93">
                  <c:v>550</c:v>
                </c:pt>
                <c:pt idx="94">
                  <c:v>550</c:v>
                </c:pt>
                <c:pt idx="95">
                  <c:v>550</c:v>
                </c:pt>
                <c:pt idx="96">
                  <c:v>550</c:v>
                </c:pt>
                <c:pt idx="97">
                  <c:v>550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550</c:v>
                </c:pt>
                <c:pt idx="102">
                  <c:v>550</c:v>
                </c:pt>
                <c:pt idx="103">
                  <c:v>550</c:v>
                </c:pt>
                <c:pt idx="104">
                  <c:v>550</c:v>
                </c:pt>
                <c:pt idx="105">
                  <c:v>550</c:v>
                </c:pt>
                <c:pt idx="106">
                  <c:v>550</c:v>
                </c:pt>
                <c:pt idx="107">
                  <c:v>550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550</c:v>
                </c:pt>
                <c:pt idx="112">
                  <c:v>550</c:v>
                </c:pt>
                <c:pt idx="113">
                  <c:v>550</c:v>
                </c:pt>
                <c:pt idx="114">
                  <c:v>550</c:v>
                </c:pt>
                <c:pt idx="115">
                  <c:v>550</c:v>
                </c:pt>
                <c:pt idx="116">
                  <c:v>550</c:v>
                </c:pt>
                <c:pt idx="117">
                  <c:v>550</c:v>
                </c:pt>
                <c:pt idx="118">
                  <c:v>550</c:v>
                </c:pt>
                <c:pt idx="119">
                  <c:v>550</c:v>
                </c:pt>
                <c:pt idx="120">
                  <c:v>550</c:v>
                </c:pt>
                <c:pt idx="121">
                  <c:v>550</c:v>
                </c:pt>
                <c:pt idx="122">
                  <c:v>550</c:v>
                </c:pt>
                <c:pt idx="123">
                  <c:v>550</c:v>
                </c:pt>
                <c:pt idx="124">
                  <c:v>550</c:v>
                </c:pt>
                <c:pt idx="125">
                  <c:v>550</c:v>
                </c:pt>
                <c:pt idx="126">
                  <c:v>550</c:v>
                </c:pt>
                <c:pt idx="127">
                  <c:v>550</c:v>
                </c:pt>
                <c:pt idx="128">
                  <c:v>550</c:v>
                </c:pt>
                <c:pt idx="129">
                  <c:v>550</c:v>
                </c:pt>
                <c:pt idx="130">
                  <c:v>550</c:v>
                </c:pt>
                <c:pt idx="131">
                  <c:v>550</c:v>
                </c:pt>
                <c:pt idx="132">
                  <c:v>550</c:v>
                </c:pt>
                <c:pt idx="133">
                  <c:v>550</c:v>
                </c:pt>
                <c:pt idx="134">
                  <c:v>550</c:v>
                </c:pt>
                <c:pt idx="135">
                  <c:v>550</c:v>
                </c:pt>
                <c:pt idx="136">
                  <c:v>550</c:v>
                </c:pt>
                <c:pt idx="137">
                  <c:v>550</c:v>
                </c:pt>
                <c:pt idx="138">
                  <c:v>550</c:v>
                </c:pt>
                <c:pt idx="139">
                  <c:v>550</c:v>
                </c:pt>
                <c:pt idx="140">
                  <c:v>550</c:v>
                </c:pt>
                <c:pt idx="141">
                  <c:v>550</c:v>
                </c:pt>
                <c:pt idx="142">
                  <c:v>550</c:v>
                </c:pt>
                <c:pt idx="143">
                  <c:v>550</c:v>
                </c:pt>
                <c:pt idx="144">
                  <c:v>550</c:v>
                </c:pt>
                <c:pt idx="145">
                  <c:v>550</c:v>
                </c:pt>
                <c:pt idx="146">
                  <c:v>550</c:v>
                </c:pt>
                <c:pt idx="147">
                  <c:v>550</c:v>
                </c:pt>
                <c:pt idx="148">
                  <c:v>550</c:v>
                </c:pt>
                <c:pt idx="149">
                  <c:v>550</c:v>
                </c:pt>
                <c:pt idx="150">
                  <c:v>550</c:v>
                </c:pt>
                <c:pt idx="151">
                  <c:v>550</c:v>
                </c:pt>
                <c:pt idx="152">
                  <c:v>550</c:v>
                </c:pt>
                <c:pt idx="153">
                  <c:v>550</c:v>
                </c:pt>
                <c:pt idx="154">
                  <c:v>550</c:v>
                </c:pt>
                <c:pt idx="155">
                  <c:v>550</c:v>
                </c:pt>
                <c:pt idx="156">
                  <c:v>550</c:v>
                </c:pt>
                <c:pt idx="157">
                  <c:v>550</c:v>
                </c:pt>
                <c:pt idx="158">
                  <c:v>550</c:v>
                </c:pt>
                <c:pt idx="159">
                  <c:v>550</c:v>
                </c:pt>
                <c:pt idx="160">
                  <c:v>550</c:v>
                </c:pt>
                <c:pt idx="161">
                  <c:v>550</c:v>
                </c:pt>
                <c:pt idx="162">
                  <c:v>550</c:v>
                </c:pt>
                <c:pt idx="163">
                  <c:v>550</c:v>
                </c:pt>
                <c:pt idx="164">
                  <c:v>550</c:v>
                </c:pt>
                <c:pt idx="165">
                  <c:v>550</c:v>
                </c:pt>
                <c:pt idx="166">
                  <c:v>550</c:v>
                </c:pt>
                <c:pt idx="167">
                  <c:v>550</c:v>
                </c:pt>
                <c:pt idx="168">
                  <c:v>550</c:v>
                </c:pt>
                <c:pt idx="169">
                  <c:v>550</c:v>
                </c:pt>
                <c:pt idx="170">
                  <c:v>550</c:v>
                </c:pt>
                <c:pt idx="171">
                  <c:v>550</c:v>
                </c:pt>
                <c:pt idx="172">
                  <c:v>550</c:v>
                </c:pt>
                <c:pt idx="173">
                  <c:v>550</c:v>
                </c:pt>
                <c:pt idx="174">
                  <c:v>550</c:v>
                </c:pt>
                <c:pt idx="175">
                  <c:v>550</c:v>
                </c:pt>
                <c:pt idx="176">
                  <c:v>550</c:v>
                </c:pt>
                <c:pt idx="177">
                  <c:v>550</c:v>
                </c:pt>
                <c:pt idx="178">
                  <c:v>550</c:v>
                </c:pt>
                <c:pt idx="179">
                  <c:v>550</c:v>
                </c:pt>
                <c:pt idx="180">
                  <c:v>550</c:v>
                </c:pt>
                <c:pt idx="181">
                  <c:v>550</c:v>
                </c:pt>
                <c:pt idx="182">
                  <c:v>550</c:v>
                </c:pt>
                <c:pt idx="183">
                  <c:v>550</c:v>
                </c:pt>
                <c:pt idx="184">
                  <c:v>550</c:v>
                </c:pt>
                <c:pt idx="185">
                  <c:v>550</c:v>
                </c:pt>
                <c:pt idx="186">
                  <c:v>550</c:v>
                </c:pt>
                <c:pt idx="187">
                  <c:v>550</c:v>
                </c:pt>
                <c:pt idx="188">
                  <c:v>550</c:v>
                </c:pt>
                <c:pt idx="189">
                  <c:v>550</c:v>
                </c:pt>
                <c:pt idx="190">
                  <c:v>550</c:v>
                </c:pt>
                <c:pt idx="191">
                  <c:v>550</c:v>
                </c:pt>
                <c:pt idx="192">
                  <c:v>550</c:v>
                </c:pt>
                <c:pt idx="193">
                  <c:v>550</c:v>
                </c:pt>
                <c:pt idx="194">
                  <c:v>550</c:v>
                </c:pt>
                <c:pt idx="195">
                  <c:v>550</c:v>
                </c:pt>
                <c:pt idx="196">
                  <c:v>550</c:v>
                </c:pt>
                <c:pt idx="197">
                  <c:v>550</c:v>
                </c:pt>
                <c:pt idx="198">
                  <c:v>550</c:v>
                </c:pt>
                <c:pt idx="199">
                  <c:v>550</c:v>
                </c:pt>
                <c:pt idx="200">
                  <c:v>550</c:v>
                </c:pt>
                <c:pt idx="201">
                  <c:v>550</c:v>
                </c:pt>
                <c:pt idx="202">
                  <c:v>550</c:v>
                </c:pt>
                <c:pt idx="203">
                  <c:v>550</c:v>
                </c:pt>
                <c:pt idx="204">
                  <c:v>550</c:v>
                </c:pt>
                <c:pt idx="205">
                  <c:v>550</c:v>
                </c:pt>
                <c:pt idx="206">
                  <c:v>550</c:v>
                </c:pt>
                <c:pt idx="207">
                  <c:v>550</c:v>
                </c:pt>
                <c:pt idx="208">
                  <c:v>550</c:v>
                </c:pt>
                <c:pt idx="209">
                  <c:v>550</c:v>
                </c:pt>
                <c:pt idx="210">
                  <c:v>550</c:v>
                </c:pt>
                <c:pt idx="211">
                  <c:v>550</c:v>
                </c:pt>
                <c:pt idx="212">
                  <c:v>550</c:v>
                </c:pt>
                <c:pt idx="213">
                  <c:v>550</c:v>
                </c:pt>
                <c:pt idx="214">
                  <c:v>550</c:v>
                </c:pt>
                <c:pt idx="215">
                  <c:v>550</c:v>
                </c:pt>
                <c:pt idx="216">
                  <c:v>550</c:v>
                </c:pt>
                <c:pt idx="217">
                  <c:v>550</c:v>
                </c:pt>
                <c:pt idx="218">
                  <c:v>550</c:v>
                </c:pt>
                <c:pt idx="219">
                  <c:v>550</c:v>
                </c:pt>
                <c:pt idx="220">
                  <c:v>550</c:v>
                </c:pt>
                <c:pt idx="221">
                  <c:v>550</c:v>
                </c:pt>
                <c:pt idx="222">
                  <c:v>550</c:v>
                </c:pt>
                <c:pt idx="223">
                  <c:v>550</c:v>
                </c:pt>
                <c:pt idx="224">
                  <c:v>550</c:v>
                </c:pt>
                <c:pt idx="225">
                  <c:v>550</c:v>
                </c:pt>
                <c:pt idx="226">
                  <c:v>550</c:v>
                </c:pt>
                <c:pt idx="227">
                  <c:v>550</c:v>
                </c:pt>
                <c:pt idx="228">
                  <c:v>550</c:v>
                </c:pt>
                <c:pt idx="229">
                  <c:v>550</c:v>
                </c:pt>
                <c:pt idx="230">
                  <c:v>550</c:v>
                </c:pt>
                <c:pt idx="231">
                  <c:v>550</c:v>
                </c:pt>
                <c:pt idx="232">
                  <c:v>550</c:v>
                </c:pt>
                <c:pt idx="233">
                  <c:v>550</c:v>
                </c:pt>
                <c:pt idx="234">
                  <c:v>550</c:v>
                </c:pt>
                <c:pt idx="235">
                  <c:v>550</c:v>
                </c:pt>
                <c:pt idx="236">
                  <c:v>550</c:v>
                </c:pt>
                <c:pt idx="237">
                  <c:v>550</c:v>
                </c:pt>
                <c:pt idx="238">
                  <c:v>550</c:v>
                </c:pt>
                <c:pt idx="239">
                  <c:v>550</c:v>
                </c:pt>
                <c:pt idx="240">
                  <c:v>550</c:v>
                </c:pt>
                <c:pt idx="241">
                  <c:v>550</c:v>
                </c:pt>
                <c:pt idx="242">
                  <c:v>550</c:v>
                </c:pt>
                <c:pt idx="243">
                  <c:v>550</c:v>
                </c:pt>
                <c:pt idx="244">
                  <c:v>550</c:v>
                </c:pt>
                <c:pt idx="245">
                  <c:v>550</c:v>
                </c:pt>
                <c:pt idx="246">
                  <c:v>550</c:v>
                </c:pt>
                <c:pt idx="247">
                  <c:v>550</c:v>
                </c:pt>
                <c:pt idx="248">
                  <c:v>550</c:v>
                </c:pt>
                <c:pt idx="249">
                  <c:v>550</c:v>
                </c:pt>
                <c:pt idx="250">
                  <c:v>550</c:v>
                </c:pt>
                <c:pt idx="251">
                  <c:v>550</c:v>
                </c:pt>
                <c:pt idx="252">
                  <c:v>550</c:v>
                </c:pt>
                <c:pt idx="253">
                  <c:v>550</c:v>
                </c:pt>
                <c:pt idx="254">
                  <c:v>550</c:v>
                </c:pt>
                <c:pt idx="255">
                  <c:v>550</c:v>
                </c:pt>
                <c:pt idx="256">
                  <c:v>550</c:v>
                </c:pt>
                <c:pt idx="257">
                  <c:v>550</c:v>
                </c:pt>
                <c:pt idx="258">
                  <c:v>550</c:v>
                </c:pt>
                <c:pt idx="259">
                  <c:v>550</c:v>
                </c:pt>
                <c:pt idx="260">
                  <c:v>550</c:v>
                </c:pt>
                <c:pt idx="261">
                  <c:v>550</c:v>
                </c:pt>
                <c:pt idx="262">
                  <c:v>550</c:v>
                </c:pt>
                <c:pt idx="263">
                  <c:v>550</c:v>
                </c:pt>
                <c:pt idx="264">
                  <c:v>550</c:v>
                </c:pt>
                <c:pt idx="265">
                  <c:v>550</c:v>
                </c:pt>
                <c:pt idx="266">
                  <c:v>550</c:v>
                </c:pt>
                <c:pt idx="267">
                  <c:v>550</c:v>
                </c:pt>
                <c:pt idx="268">
                  <c:v>550</c:v>
                </c:pt>
                <c:pt idx="269">
                  <c:v>550</c:v>
                </c:pt>
                <c:pt idx="270">
                  <c:v>550</c:v>
                </c:pt>
                <c:pt idx="271">
                  <c:v>550</c:v>
                </c:pt>
                <c:pt idx="272">
                  <c:v>550</c:v>
                </c:pt>
                <c:pt idx="273">
                  <c:v>550</c:v>
                </c:pt>
                <c:pt idx="274">
                  <c:v>550</c:v>
                </c:pt>
                <c:pt idx="275">
                  <c:v>550</c:v>
                </c:pt>
                <c:pt idx="276">
                  <c:v>550</c:v>
                </c:pt>
                <c:pt idx="277">
                  <c:v>550</c:v>
                </c:pt>
                <c:pt idx="278">
                  <c:v>550</c:v>
                </c:pt>
                <c:pt idx="279">
                  <c:v>550</c:v>
                </c:pt>
                <c:pt idx="280">
                  <c:v>550</c:v>
                </c:pt>
                <c:pt idx="281">
                  <c:v>550</c:v>
                </c:pt>
                <c:pt idx="282">
                  <c:v>550</c:v>
                </c:pt>
                <c:pt idx="283">
                  <c:v>550</c:v>
                </c:pt>
                <c:pt idx="284">
                  <c:v>550</c:v>
                </c:pt>
                <c:pt idx="285">
                  <c:v>550</c:v>
                </c:pt>
                <c:pt idx="286">
                  <c:v>550</c:v>
                </c:pt>
                <c:pt idx="287">
                  <c:v>550</c:v>
                </c:pt>
                <c:pt idx="288">
                  <c:v>550</c:v>
                </c:pt>
                <c:pt idx="289">
                  <c:v>550</c:v>
                </c:pt>
                <c:pt idx="290">
                  <c:v>550</c:v>
                </c:pt>
                <c:pt idx="291">
                  <c:v>550</c:v>
                </c:pt>
                <c:pt idx="292">
                  <c:v>550</c:v>
                </c:pt>
                <c:pt idx="293">
                  <c:v>550</c:v>
                </c:pt>
                <c:pt idx="294">
                  <c:v>550</c:v>
                </c:pt>
                <c:pt idx="295">
                  <c:v>550</c:v>
                </c:pt>
                <c:pt idx="296">
                  <c:v>550</c:v>
                </c:pt>
                <c:pt idx="297">
                  <c:v>550</c:v>
                </c:pt>
                <c:pt idx="298">
                  <c:v>550</c:v>
                </c:pt>
                <c:pt idx="299">
                  <c:v>550</c:v>
                </c:pt>
                <c:pt idx="300">
                  <c:v>550</c:v>
                </c:pt>
              </c:numCache>
            </c:numRef>
          </c:val>
        </c:ser>
        <c:ser>
          <c:idx val="3"/>
          <c:order val="3"/>
          <c:tx>
            <c:strRef>
              <c:f>Data!$L$13</c:f>
              <c:strCache>
                <c:ptCount val="1"/>
                <c:pt idx="0">
                  <c:v>Ally Savings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Data!$L$14:$L$315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1000</c:v>
                </c:pt>
                <c:pt idx="14">
                  <c:v>4000.42</c:v>
                </c:pt>
                <c:pt idx="15">
                  <c:v>4004.23</c:v>
                </c:pt>
                <c:pt idx="16">
                  <c:v>9009.31</c:v>
                </c:pt>
                <c:pt idx="17">
                  <c:v>9019.43</c:v>
                </c:pt>
                <c:pt idx="18">
                  <c:v>9030.3284779166661</c:v>
                </c:pt>
                <c:pt idx="19">
                  <c:v>9041.2401248274818</c:v>
                </c:pt>
                <c:pt idx="20">
                  <c:v>9052.1649566449814</c:v>
                </c:pt>
                <c:pt idx="21">
                  <c:v>9063.1029893009272</c:v>
                </c:pt>
                <c:pt idx="22">
                  <c:v>9074.054238746332</c:v>
                </c:pt>
                <c:pt idx="23">
                  <c:v>9085.0187209514825</c:v>
                </c:pt>
                <c:pt idx="24">
                  <c:v>9095.9964519059649</c:v>
                </c:pt>
                <c:pt idx="25">
                  <c:v>9106.9874476186833</c:v>
                </c:pt>
                <c:pt idx="26">
                  <c:v>9117.9917241178882</c:v>
                </c:pt>
                <c:pt idx="27">
                  <c:v>9129.0092974511972</c:v>
                </c:pt>
                <c:pt idx="28">
                  <c:v>9140.0401836856163</c:v>
                </c:pt>
                <c:pt idx="29">
                  <c:v>9151.0843989075693</c:v>
                </c:pt>
                <c:pt idx="30">
                  <c:v>9162.1419592229158</c:v>
                </c:pt>
                <c:pt idx="31">
                  <c:v>9173.212880756977</c:v>
                </c:pt>
                <c:pt idx="32">
                  <c:v>9184.2971796545571</c:v>
                </c:pt>
                <c:pt idx="33">
                  <c:v>9195.3948720799726</c:v>
                </c:pt>
                <c:pt idx="34">
                  <c:v>9206.5059742170688</c:v>
                </c:pt>
                <c:pt idx="35">
                  <c:v>9217.6305022692468</c:v>
                </c:pt>
                <c:pt idx="36">
                  <c:v>9228.7684724594874</c:v>
                </c:pt>
                <c:pt idx="37">
                  <c:v>9239.9199010303746</c:v>
                </c:pt>
                <c:pt idx="38">
                  <c:v>9251.0848042441194</c:v>
                </c:pt>
                <c:pt idx="39">
                  <c:v>9262.2631983825795</c:v>
                </c:pt>
                <c:pt idx="40">
                  <c:v>9273.4550997472907</c:v>
                </c:pt>
                <c:pt idx="41">
                  <c:v>9284.6605246594845</c:v>
                </c:pt>
                <c:pt idx="42">
                  <c:v>9295.8794894601142</c:v>
                </c:pt>
                <c:pt idx="43">
                  <c:v>9307.112010509878</c:v>
                </c:pt>
                <c:pt idx="44">
                  <c:v>9318.358104189243</c:v>
                </c:pt>
                <c:pt idx="45">
                  <c:v>9329.6177868984705</c:v>
                </c:pt>
                <c:pt idx="46">
                  <c:v>9340.8910750576397</c:v>
                </c:pt>
                <c:pt idx="47">
                  <c:v>9352.1779851066676</c:v>
                </c:pt>
                <c:pt idx="48">
                  <c:v>9363.4785335053366</c:v>
                </c:pt>
                <c:pt idx="49">
                  <c:v>9374.7927367333214</c:v>
                </c:pt>
                <c:pt idx="50">
                  <c:v>9386.1206112902073</c:v>
                </c:pt>
                <c:pt idx="51">
                  <c:v>9397.462173695516</c:v>
                </c:pt>
                <c:pt idx="52">
                  <c:v>9408.8174404887304</c:v>
                </c:pt>
                <c:pt idx="53">
                  <c:v>9420.1864282293209</c:v>
                </c:pt>
                <c:pt idx="54">
                  <c:v>9431.5691534967646</c:v>
                </c:pt>
                <c:pt idx="55">
                  <c:v>9442.965632890573</c:v>
                </c:pt>
                <c:pt idx="56">
                  <c:v>9454.3758830303159</c:v>
                </c:pt>
                <c:pt idx="57">
                  <c:v>9465.7999205556443</c:v>
                </c:pt>
                <c:pt idx="58">
                  <c:v>9477.2377621263149</c:v>
                </c:pt>
                <c:pt idx="59">
                  <c:v>9488.6894244222167</c:v>
                </c:pt>
                <c:pt idx="60">
                  <c:v>9500.1549241433931</c:v>
                </c:pt>
                <c:pt idx="61">
                  <c:v>9511.6342780100658</c:v>
                </c:pt>
                <c:pt idx="62">
                  <c:v>9523.1275027626598</c:v>
                </c:pt>
                <c:pt idx="63">
                  <c:v>9534.6346151618309</c:v>
                </c:pt>
                <c:pt idx="64">
                  <c:v>9546.1556319884839</c:v>
                </c:pt>
                <c:pt idx="65">
                  <c:v>9557.6905700438019</c:v>
                </c:pt>
                <c:pt idx="66">
                  <c:v>9569.2394461492713</c:v>
                </c:pt>
                <c:pt idx="67">
                  <c:v>9580.8022771467004</c:v>
                </c:pt>
                <c:pt idx="68">
                  <c:v>9592.3790798982518</c:v>
                </c:pt>
                <c:pt idx="69">
                  <c:v>9603.9698712864611</c:v>
                </c:pt>
                <c:pt idx="70">
                  <c:v>9615.5746682142653</c:v>
                </c:pt>
                <c:pt idx="71">
                  <c:v>9627.1934876050236</c:v>
                </c:pt>
                <c:pt idx="72">
                  <c:v>9638.8263464025458</c:v>
                </c:pt>
                <c:pt idx="73">
                  <c:v>9650.4732615711146</c:v>
                </c:pt>
                <c:pt idx="74">
                  <c:v>9662.1342500955125</c:v>
                </c:pt>
                <c:pt idx="75">
                  <c:v>9673.809328981044</c:v>
                </c:pt>
                <c:pt idx="76">
                  <c:v>9685.4985152535628</c:v>
                </c:pt>
                <c:pt idx="77">
                  <c:v>9697.2018259594934</c:v>
                </c:pt>
                <c:pt idx="78">
                  <c:v>9708.9192781658603</c:v>
                </c:pt>
                <c:pt idx="79">
                  <c:v>9720.6508889603101</c:v>
                </c:pt>
                <c:pt idx="80">
                  <c:v>9732.3966754511366</c:v>
                </c:pt>
                <c:pt idx="81">
                  <c:v>9744.1566547673065</c:v>
                </c:pt>
                <c:pt idx="82">
                  <c:v>9755.9308440584828</c:v>
                </c:pt>
                <c:pt idx="83">
                  <c:v>9767.7192604950524</c:v>
                </c:pt>
                <c:pt idx="84">
                  <c:v>9779.5219212681495</c:v>
                </c:pt>
                <c:pt idx="85">
                  <c:v>9791.3388435896813</c:v>
                </c:pt>
                <c:pt idx="86">
                  <c:v>9803.1700446923514</c:v>
                </c:pt>
                <c:pt idx="87">
                  <c:v>9815.0155418296872</c:v>
                </c:pt>
                <c:pt idx="88">
                  <c:v>9826.8753522760635</c:v>
                </c:pt>
                <c:pt idx="89">
                  <c:v>9838.7494933267299</c:v>
                </c:pt>
                <c:pt idx="90">
                  <c:v>9850.6379822978324</c:v>
                </c:pt>
                <c:pt idx="91">
                  <c:v>9862.5408365264411</c:v>
                </c:pt>
                <c:pt idx="92">
                  <c:v>9874.458073370577</c:v>
                </c:pt>
                <c:pt idx="93">
                  <c:v>9886.3897102092324</c:v>
                </c:pt>
                <c:pt idx="94">
                  <c:v>9898.3357644424013</c:v>
                </c:pt>
                <c:pt idx="95">
                  <c:v>9910.2962534911021</c:v>
                </c:pt>
                <c:pt idx="96">
                  <c:v>9922.271194797404</c:v>
                </c:pt>
                <c:pt idx="97">
                  <c:v>9934.2606058244492</c:v>
                </c:pt>
                <c:pt idx="98">
                  <c:v>9946.2645040564857</c:v>
                </c:pt>
                <c:pt idx="99">
                  <c:v>9958.2829069988857</c:v>
                </c:pt>
                <c:pt idx="100">
                  <c:v>9970.3158321781757</c:v>
                </c:pt>
                <c:pt idx="101">
                  <c:v>9982.3632971420575</c:v>
                </c:pt>
                <c:pt idx="102">
                  <c:v>9994.4253194594367</c:v>
                </c:pt>
                <c:pt idx="103">
                  <c:v>10006.50191672045</c:v>
                </c:pt>
                <c:pt idx="104">
                  <c:v>10018.593106536486</c:v>
                </c:pt>
                <c:pt idx="105">
                  <c:v>10030.698906540216</c:v>
                </c:pt>
                <c:pt idx="106">
                  <c:v>10042.819334385618</c:v>
                </c:pt>
                <c:pt idx="107">
                  <c:v>10054.954407748</c:v>
                </c:pt>
                <c:pt idx="108">
                  <c:v>10067.104144324028</c:v>
                </c:pt>
                <c:pt idx="109">
                  <c:v>10079.268561831752</c:v>
                </c:pt>
                <c:pt idx="110">
                  <c:v>10091.447678010631</c:v>
                </c:pt>
                <c:pt idx="111">
                  <c:v>10103.641510621559</c:v>
                </c:pt>
                <c:pt idx="112">
                  <c:v>10115.850077446892</c:v>
                </c:pt>
                <c:pt idx="113">
                  <c:v>10128.073396290472</c:v>
                </c:pt>
                <c:pt idx="114">
                  <c:v>10140.311484977656</c:v>
                </c:pt>
                <c:pt idx="115">
                  <c:v>10152.564361355337</c:v>
                </c:pt>
                <c:pt idx="116">
                  <c:v>10164.832043291974</c:v>
                </c:pt>
                <c:pt idx="117">
                  <c:v>10177.114548677617</c:v>
                </c:pt>
                <c:pt idx="118">
                  <c:v>10189.411895423935</c:v>
                </c:pt>
                <c:pt idx="119">
                  <c:v>10201.724101464239</c:v>
                </c:pt>
                <c:pt idx="120">
                  <c:v>10214.051184753507</c:v>
                </c:pt>
                <c:pt idx="121">
                  <c:v>10226.393163268416</c:v>
                </c:pt>
                <c:pt idx="122">
                  <c:v>10238.750055007366</c:v>
                </c:pt>
                <c:pt idx="123">
                  <c:v>10251.121877990499</c:v>
                </c:pt>
                <c:pt idx="124">
                  <c:v>10263.508650259737</c:v>
                </c:pt>
                <c:pt idx="125">
                  <c:v>10275.9103898788</c:v>
                </c:pt>
                <c:pt idx="126">
                  <c:v>10288.327114933236</c:v>
                </c:pt>
                <c:pt idx="127">
                  <c:v>10300.758843530446</c:v>
                </c:pt>
                <c:pt idx="128">
                  <c:v>10313.205593799712</c:v>
                </c:pt>
                <c:pt idx="129">
                  <c:v>10325.66738389222</c:v>
                </c:pt>
                <c:pt idx="130">
                  <c:v>10338.144231981089</c:v>
                </c:pt>
                <c:pt idx="131">
                  <c:v>10350.636156261398</c:v>
                </c:pt>
                <c:pt idx="132">
                  <c:v>10363.143174950214</c:v>
                </c:pt>
                <c:pt idx="133">
                  <c:v>10375.665306286612</c:v>
                </c:pt>
                <c:pt idx="134">
                  <c:v>10388.202568531708</c:v>
                </c:pt>
                <c:pt idx="135">
                  <c:v>10400.754979968682</c:v>
                </c:pt>
                <c:pt idx="136">
                  <c:v>10413.32255890281</c:v>
                </c:pt>
                <c:pt idx="137">
                  <c:v>10425.905323661484</c:v>
                </c:pt>
                <c:pt idx="138">
                  <c:v>10438.50329259424</c:v>
                </c:pt>
                <c:pt idx="139">
                  <c:v>10451.116484072791</c:v>
                </c:pt>
                <c:pt idx="140">
                  <c:v>10463.744916491045</c:v>
                </c:pt>
                <c:pt idx="141">
                  <c:v>10476.388608265137</c:v>
                </c:pt>
                <c:pt idx="142">
                  <c:v>10489.047577833457</c:v>
                </c:pt>
                <c:pt idx="143">
                  <c:v>10501.721843656671</c:v>
                </c:pt>
                <c:pt idx="144">
                  <c:v>10514.411424217755</c:v>
                </c:pt>
                <c:pt idx="145">
                  <c:v>10527.116338022017</c:v>
                </c:pt>
                <c:pt idx="146">
                  <c:v>10539.836603597127</c:v>
                </c:pt>
                <c:pt idx="147">
                  <c:v>10552.57223949314</c:v>
                </c:pt>
                <c:pt idx="148">
                  <c:v>10565.323264282526</c:v>
                </c:pt>
                <c:pt idx="149">
                  <c:v>10578.089696560201</c:v>
                </c:pt>
                <c:pt idx="150">
                  <c:v>10590.871554943544</c:v>
                </c:pt>
                <c:pt idx="151">
                  <c:v>10603.668858072433</c:v>
                </c:pt>
                <c:pt idx="152">
                  <c:v>10616.481624609271</c:v>
                </c:pt>
                <c:pt idx="153">
                  <c:v>10629.309873239006</c:v>
                </c:pt>
                <c:pt idx="154">
                  <c:v>10642.15362266917</c:v>
                </c:pt>
                <c:pt idx="155">
                  <c:v>10655.012891629895</c:v>
                </c:pt>
                <c:pt idx="156">
                  <c:v>10667.887698873947</c:v>
                </c:pt>
                <c:pt idx="157">
                  <c:v>10680.778063176751</c:v>
                </c:pt>
                <c:pt idx="158">
                  <c:v>10693.684003336422</c:v>
                </c:pt>
                <c:pt idx="159">
                  <c:v>10706.605538173786</c:v>
                </c:pt>
                <c:pt idx="160">
                  <c:v>10719.542686532412</c:v>
                </c:pt>
                <c:pt idx="161">
                  <c:v>10732.495467278637</c:v>
                </c:pt>
                <c:pt idx="162">
                  <c:v>10745.463899301598</c:v>
                </c:pt>
                <c:pt idx="163">
                  <c:v>10758.448001513254</c:v>
                </c:pt>
                <c:pt idx="164">
                  <c:v>10771.447792848416</c:v>
                </c:pt>
                <c:pt idx="165">
                  <c:v>10784.463292264772</c:v>
                </c:pt>
                <c:pt idx="166">
                  <c:v>10797.494518742926</c:v>
                </c:pt>
                <c:pt idx="167">
                  <c:v>10810.541491286405</c:v>
                </c:pt>
                <c:pt idx="168">
                  <c:v>10823.604228921709</c:v>
                </c:pt>
                <c:pt idx="169">
                  <c:v>10836.682750698323</c:v>
                </c:pt>
                <c:pt idx="170">
                  <c:v>10849.777075688749</c:v>
                </c:pt>
                <c:pt idx="171">
                  <c:v>10862.887222988538</c:v>
                </c:pt>
                <c:pt idx="172">
                  <c:v>10876.013211716316</c:v>
                </c:pt>
                <c:pt idx="173">
                  <c:v>10889.155061013806</c:v>
                </c:pt>
                <c:pt idx="174">
                  <c:v>10902.312790045864</c:v>
                </c:pt>
                <c:pt idx="175">
                  <c:v>10915.486418000502</c:v>
                </c:pt>
                <c:pt idx="176">
                  <c:v>10928.675964088919</c:v>
                </c:pt>
                <c:pt idx="177">
                  <c:v>10941.881447545526</c:v>
                </c:pt>
                <c:pt idx="178">
                  <c:v>10955.102887627976</c:v>
                </c:pt>
                <c:pt idx="179">
                  <c:v>10968.340303617193</c:v>
                </c:pt>
                <c:pt idx="180">
                  <c:v>10981.593714817396</c:v>
                </c:pt>
                <c:pt idx="181">
                  <c:v>10994.863140556134</c:v>
                </c:pt>
                <c:pt idx="182">
                  <c:v>11008.148600184304</c:v>
                </c:pt>
                <c:pt idx="183">
                  <c:v>11021.450113076193</c:v>
                </c:pt>
                <c:pt idx="184">
                  <c:v>11034.767698629492</c:v>
                </c:pt>
                <c:pt idx="185">
                  <c:v>11048.101376265335</c:v>
                </c:pt>
                <c:pt idx="186">
                  <c:v>11061.451165428321</c:v>
                </c:pt>
                <c:pt idx="187">
                  <c:v>11074.817085586546</c:v>
                </c:pt>
                <c:pt idx="188">
                  <c:v>11088.199156231629</c:v>
                </c:pt>
                <c:pt idx="189">
                  <c:v>11101.597396878742</c:v>
                </c:pt>
                <c:pt idx="190">
                  <c:v>11115.011827066637</c:v>
                </c:pt>
                <c:pt idx="191">
                  <c:v>11128.442466357676</c:v>
                </c:pt>
                <c:pt idx="192">
                  <c:v>11141.889334337857</c:v>
                </c:pt>
                <c:pt idx="193">
                  <c:v>11155.352450616847</c:v>
                </c:pt>
                <c:pt idx="194">
                  <c:v>11168.831834828008</c:v>
                </c:pt>
                <c:pt idx="195">
                  <c:v>11182.327506628424</c:v>
                </c:pt>
                <c:pt idx="196">
                  <c:v>11195.839485698933</c:v>
                </c:pt>
                <c:pt idx="197">
                  <c:v>11209.367791744151</c:v>
                </c:pt>
                <c:pt idx="198">
                  <c:v>11222.912444492507</c:v>
                </c:pt>
                <c:pt idx="199">
                  <c:v>11236.473463696268</c:v>
                </c:pt>
                <c:pt idx="200">
                  <c:v>11250.050869131566</c:v>
                </c:pt>
                <c:pt idx="201">
                  <c:v>11263.644680598432</c:v>
                </c:pt>
                <c:pt idx="202">
                  <c:v>11277.254917920822</c:v>
                </c:pt>
                <c:pt idx="203">
                  <c:v>11290.881600946643</c:v>
                </c:pt>
                <c:pt idx="204">
                  <c:v>11304.524749547785</c:v>
                </c:pt>
                <c:pt idx="205">
                  <c:v>11318.184383620155</c:v>
                </c:pt>
                <c:pt idx="206">
                  <c:v>11331.860523083695</c:v>
                </c:pt>
                <c:pt idx="207">
                  <c:v>11345.55318788242</c:v>
                </c:pt>
                <c:pt idx="208">
                  <c:v>11359.262397984445</c:v>
                </c:pt>
                <c:pt idx="209">
                  <c:v>11372.988173382008</c:v>
                </c:pt>
                <c:pt idx="210">
                  <c:v>11386.73053409151</c:v>
                </c:pt>
                <c:pt idx="211">
                  <c:v>11400.489500153537</c:v>
                </c:pt>
                <c:pt idx="212">
                  <c:v>11414.265091632888</c:v>
                </c:pt>
                <c:pt idx="213">
                  <c:v>11428.05732861861</c:v>
                </c:pt>
                <c:pt idx="214">
                  <c:v>11441.866231224023</c:v>
                </c:pt>
                <c:pt idx="215">
                  <c:v>11455.691819586751</c:v>
                </c:pt>
                <c:pt idx="216">
                  <c:v>11469.534113868751</c:v>
                </c:pt>
                <c:pt idx="217">
                  <c:v>11483.393134256341</c:v>
                </c:pt>
                <c:pt idx="218">
                  <c:v>11497.268900960233</c:v>
                </c:pt>
                <c:pt idx="219">
                  <c:v>11511.161434215559</c:v>
                </c:pt>
                <c:pt idx="220">
                  <c:v>11525.070754281902</c:v>
                </c:pt>
                <c:pt idx="221">
                  <c:v>11538.996881443325</c:v>
                </c:pt>
                <c:pt idx="222">
                  <c:v>11552.939836008401</c:v>
                </c:pt>
                <c:pt idx="223">
                  <c:v>11566.899638310244</c:v>
                </c:pt>
                <c:pt idx="224">
                  <c:v>11580.876308706534</c:v>
                </c:pt>
                <c:pt idx="225">
                  <c:v>11594.869867579553</c:v>
                </c:pt>
                <c:pt idx="226">
                  <c:v>11608.880335336211</c:v>
                </c:pt>
                <c:pt idx="227">
                  <c:v>11622.907732408075</c:v>
                </c:pt>
                <c:pt idx="228">
                  <c:v>11636.952079251401</c:v>
                </c:pt>
                <c:pt idx="229">
                  <c:v>11651.013396347162</c:v>
                </c:pt>
                <c:pt idx="230">
                  <c:v>11665.091704201081</c:v>
                </c:pt>
                <c:pt idx="231">
                  <c:v>11679.187023343657</c:v>
                </c:pt>
                <c:pt idx="232">
                  <c:v>11693.299374330196</c:v>
                </c:pt>
                <c:pt idx="233">
                  <c:v>11707.428777740844</c:v>
                </c:pt>
                <c:pt idx="234">
                  <c:v>11721.575254180614</c:v>
                </c:pt>
                <c:pt idx="235">
                  <c:v>11735.738824279415</c:v>
                </c:pt>
                <c:pt idx="236">
                  <c:v>11749.919508692084</c:v>
                </c:pt>
                <c:pt idx="237">
                  <c:v>11764.11732809842</c:v>
                </c:pt>
                <c:pt idx="238">
                  <c:v>11778.332303203206</c:v>
                </c:pt>
                <c:pt idx="239">
                  <c:v>11792.564454736243</c:v>
                </c:pt>
                <c:pt idx="240">
                  <c:v>11806.813803452382</c:v>
                </c:pt>
                <c:pt idx="241">
                  <c:v>11821.080370131553</c:v>
                </c:pt>
                <c:pt idx="242">
                  <c:v>11835.364175578794</c:v>
                </c:pt>
                <c:pt idx="243">
                  <c:v>11849.665240624285</c:v>
                </c:pt>
                <c:pt idx="244">
                  <c:v>11863.983586123371</c:v>
                </c:pt>
                <c:pt idx="245">
                  <c:v>11878.319232956603</c:v>
                </c:pt>
                <c:pt idx="246">
                  <c:v>11892.672202029758</c:v>
                </c:pt>
                <c:pt idx="247">
                  <c:v>11907.042514273877</c:v>
                </c:pt>
                <c:pt idx="248">
                  <c:v>11921.430190645289</c:v>
                </c:pt>
                <c:pt idx="249">
                  <c:v>11935.835252125651</c:v>
                </c:pt>
                <c:pt idx="250">
                  <c:v>11950.257719721969</c:v>
                </c:pt>
                <c:pt idx="251">
                  <c:v>11964.697614466631</c:v>
                </c:pt>
                <c:pt idx="252">
                  <c:v>11979.154957417444</c:v>
                </c:pt>
                <c:pt idx="253">
                  <c:v>11993.629769657657</c:v>
                </c:pt>
                <c:pt idx="254">
                  <c:v>12008.122072295992</c:v>
                </c:pt>
                <c:pt idx="255">
                  <c:v>12022.631886466681</c:v>
                </c:pt>
                <c:pt idx="256">
                  <c:v>12037.159233329494</c:v>
                </c:pt>
                <c:pt idx="257">
                  <c:v>12051.704134069767</c:v>
                </c:pt>
                <c:pt idx="258">
                  <c:v>12066.266609898434</c:v>
                </c:pt>
                <c:pt idx="259">
                  <c:v>12080.846682052061</c:v>
                </c:pt>
                <c:pt idx="260">
                  <c:v>12095.444371792873</c:v>
                </c:pt>
                <c:pt idx="261">
                  <c:v>12110.059700408789</c:v>
                </c:pt>
                <c:pt idx="262">
                  <c:v>12124.692689213449</c:v>
                </c:pt>
                <c:pt idx="263">
                  <c:v>12139.343359546247</c:v>
                </c:pt>
                <c:pt idx="264">
                  <c:v>12154.011732772364</c:v>
                </c:pt>
                <c:pt idx="265">
                  <c:v>12168.697830282796</c:v>
                </c:pt>
                <c:pt idx="266">
                  <c:v>12183.401673494387</c:v>
                </c:pt>
                <c:pt idx="267">
                  <c:v>12198.123283849858</c:v>
                </c:pt>
                <c:pt idx="268">
                  <c:v>12212.862682817842</c:v>
                </c:pt>
                <c:pt idx="269">
                  <c:v>12227.619891892913</c:v>
                </c:pt>
                <c:pt idx="270">
                  <c:v>12242.394932595616</c:v>
                </c:pt>
                <c:pt idx="271">
                  <c:v>12257.187826472502</c:v>
                </c:pt>
                <c:pt idx="272">
                  <c:v>12271.998595096155</c:v>
                </c:pt>
                <c:pt idx="273">
                  <c:v>12286.827260065229</c:v>
                </c:pt>
                <c:pt idx="274">
                  <c:v>12301.673843004473</c:v>
                </c:pt>
                <c:pt idx="275">
                  <c:v>12316.538365564769</c:v>
                </c:pt>
                <c:pt idx="276">
                  <c:v>12331.420849423159</c:v>
                </c:pt>
                <c:pt idx="277">
                  <c:v>12346.321316282878</c:v>
                </c:pt>
                <c:pt idx="278">
                  <c:v>12361.239787873385</c:v>
                </c:pt>
                <c:pt idx="279">
                  <c:v>12376.176285950398</c:v>
                </c:pt>
                <c:pt idx="280">
                  <c:v>12391.130832295921</c:v>
                </c:pt>
                <c:pt idx="281">
                  <c:v>12406.103448718277</c:v>
                </c:pt>
                <c:pt idx="282">
                  <c:v>12421.094157052145</c:v>
                </c:pt>
                <c:pt idx="283">
                  <c:v>12436.102979158582</c:v>
                </c:pt>
                <c:pt idx="284">
                  <c:v>12451.129936925065</c:v>
                </c:pt>
                <c:pt idx="285">
                  <c:v>12466.175052265515</c:v>
                </c:pt>
                <c:pt idx="286">
                  <c:v>12481.238347120334</c:v>
                </c:pt>
                <c:pt idx="287">
                  <c:v>12496.319843456437</c:v>
                </c:pt>
                <c:pt idx="288">
                  <c:v>12511.419563267278</c:v>
                </c:pt>
                <c:pt idx="289">
                  <c:v>12526.537528572891</c:v>
                </c:pt>
                <c:pt idx="290">
                  <c:v>12541.673761419916</c:v>
                </c:pt>
                <c:pt idx="291">
                  <c:v>12556.82828388163</c:v>
                </c:pt>
                <c:pt idx="292">
                  <c:v>12572.001118057986</c:v>
                </c:pt>
                <c:pt idx="293">
                  <c:v>12587.192286075639</c:v>
                </c:pt>
                <c:pt idx="294">
                  <c:v>12602.401810087978</c:v>
                </c:pt>
                <c:pt idx="295">
                  <c:v>12617.629712275168</c:v>
                </c:pt>
                <c:pt idx="296">
                  <c:v>12632.876014844165</c:v>
                </c:pt>
                <c:pt idx="297">
                  <c:v>12648.140740028768</c:v>
                </c:pt>
                <c:pt idx="298">
                  <c:v>12663.423910089636</c:v>
                </c:pt>
                <c:pt idx="299">
                  <c:v>12678.725547314327</c:v>
                </c:pt>
                <c:pt idx="300">
                  <c:v>12694.04567401733</c:v>
                </c:pt>
              </c:numCache>
            </c:numRef>
          </c:val>
        </c:ser>
        <c:ser>
          <c:idx val="9"/>
          <c:order val="4"/>
          <c:tx>
            <c:strRef>
              <c:f>Data!$M$13</c:f>
              <c:strCache>
                <c:ptCount val="1"/>
                <c:pt idx="0">
                  <c:v>Wells Fargo Savings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Data!$M$14:$M$315</c:f>
              <c:numCache>
                <c:formatCode>#,##0.00_);[Red]\(#,##0.00\)</c:formatCode>
                <c:ptCount val="302"/>
                <c:pt idx="0">
                  <c:v>639.09</c:v>
                </c:pt>
                <c:pt idx="1">
                  <c:v>639.09666666666669</c:v>
                </c:pt>
                <c:pt idx="2">
                  <c:v>639.10333333333335</c:v>
                </c:pt>
                <c:pt idx="3">
                  <c:v>639.11</c:v>
                </c:pt>
                <c:pt idx="4">
                  <c:v>639.11333333333334</c:v>
                </c:pt>
                <c:pt idx="5">
                  <c:v>639.11666666666667</c:v>
                </c:pt>
                <c:pt idx="6">
                  <c:v>639.12</c:v>
                </c:pt>
                <c:pt idx="7">
                  <c:v>639.12666666666667</c:v>
                </c:pt>
                <c:pt idx="8">
                  <c:v>639.13333333333333</c:v>
                </c:pt>
                <c:pt idx="9">
                  <c:v>639.14</c:v>
                </c:pt>
                <c:pt idx="10">
                  <c:v>639.14333333333332</c:v>
                </c:pt>
                <c:pt idx="11">
                  <c:v>639.14666666666665</c:v>
                </c:pt>
                <c:pt idx="12">
                  <c:v>639.15</c:v>
                </c:pt>
                <c:pt idx="13">
                  <c:v>639.15666666666664</c:v>
                </c:pt>
                <c:pt idx="14">
                  <c:v>639.1633333333333</c:v>
                </c:pt>
                <c:pt idx="15">
                  <c:v>639.16999999999996</c:v>
                </c:pt>
                <c:pt idx="16">
                  <c:v>639.16999999999996</c:v>
                </c:pt>
                <c:pt idx="17">
                  <c:v>305</c:v>
                </c:pt>
                <c:pt idx="18">
                  <c:v>305</c:v>
                </c:pt>
                <c:pt idx="19">
                  <c:v>305</c:v>
                </c:pt>
                <c:pt idx="20">
                  <c:v>305</c:v>
                </c:pt>
                <c:pt idx="21">
                  <c:v>305</c:v>
                </c:pt>
                <c:pt idx="22">
                  <c:v>305</c:v>
                </c:pt>
                <c:pt idx="23">
                  <c:v>305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305</c:v>
                </c:pt>
                <c:pt idx="31">
                  <c:v>305</c:v>
                </c:pt>
                <c:pt idx="32">
                  <c:v>305</c:v>
                </c:pt>
                <c:pt idx="33">
                  <c:v>305</c:v>
                </c:pt>
                <c:pt idx="34">
                  <c:v>305</c:v>
                </c:pt>
                <c:pt idx="35">
                  <c:v>305</c:v>
                </c:pt>
                <c:pt idx="36">
                  <c:v>305</c:v>
                </c:pt>
                <c:pt idx="37">
                  <c:v>305</c:v>
                </c:pt>
                <c:pt idx="38">
                  <c:v>305</c:v>
                </c:pt>
                <c:pt idx="39">
                  <c:v>305</c:v>
                </c:pt>
                <c:pt idx="40">
                  <c:v>305</c:v>
                </c:pt>
                <c:pt idx="41">
                  <c:v>305</c:v>
                </c:pt>
                <c:pt idx="42">
                  <c:v>305</c:v>
                </c:pt>
                <c:pt idx="43">
                  <c:v>305</c:v>
                </c:pt>
                <c:pt idx="44">
                  <c:v>305</c:v>
                </c:pt>
                <c:pt idx="45">
                  <c:v>305</c:v>
                </c:pt>
                <c:pt idx="46">
                  <c:v>305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305</c:v>
                </c:pt>
                <c:pt idx="51">
                  <c:v>305</c:v>
                </c:pt>
                <c:pt idx="52">
                  <c:v>305</c:v>
                </c:pt>
                <c:pt idx="53">
                  <c:v>305</c:v>
                </c:pt>
                <c:pt idx="54">
                  <c:v>305</c:v>
                </c:pt>
                <c:pt idx="55">
                  <c:v>305</c:v>
                </c:pt>
                <c:pt idx="56">
                  <c:v>305</c:v>
                </c:pt>
                <c:pt idx="57">
                  <c:v>305</c:v>
                </c:pt>
                <c:pt idx="58">
                  <c:v>305</c:v>
                </c:pt>
                <c:pt idx="59">
                  <c:v>305</c:v>
                </c:pt>
                <c:pt idx="60">
                  <c:v>305</c:v>
                </c:pt>
                <c:pt idx="61">
                  <c:v>305</c:v>
                </c:pt>
                <c:pt idx="62">
                  <c:v>305</c:v>
                </c:pt>
                <c:pt idx="63">
                  <c:v>305</c:v>
                </c:pt>
                <c:pt idx="64">
                  <c:v>305</c:v>
                </c:pt>
                <c:pt idx="65">
                  <c:v>305</c:v>
                </c:pt>
                <c:pt idx="66">
                  <c:v>305</c:v>
                </c:pt>
                <c:pt idx="67">
                  <c:v>305</c:v>
                </c:pt>
                <c:pt idx="68">
                  <c:v>305</c:v>
                </c:pt>
                <c:pt idx="69">
                  <c:v>305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305</c:v>
                </c:pt>
                <c:pt idx="75">
                  <c:v>305</c:v>
                </c:pt>
                <c:pt idx="76">
                  <c:v>305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305</c:v>
                </c:pt>
                <c:pt idx="85">
                  <c:v>305</c:v>
                </c:pt>
                <c:pt idx="86">
                  <c:v>305</c:v>
                </c:pt>
                <c:pt idx="87">
                  <c:v>305</c:v>
                </c:pt>
                <c:pt idx="88">
                  <c:v>305</c:v>
                </c:pt>
                <c:pt idx="89">
                  <c:v>305</c:v>
                </c:pt>
                <c:pt idx="90">
                  <c:v>305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305</c:v>
                </c:pt>
                <c:pt idx="99">
                  <c:v>305</c:v>
                </c:pt>
                <c:pt idx="100">
                  <c:v>305</c:v>
                </c:pt>
                <c:pt idx="101">
                  <c:v>305</c:v>
                </c:pt>
                <c:pt idx="102">
                  <c:v>305</c:v>
                </c:pt>
                <c:pt idx="103">
                  <c:v>305</c:v>
                </c:pt>
                <c:pt idx="104">
                  <c:v>305</c:v>
                </c:pt>
                <c:pt idx="105">
                  <c:v>305</c:v>
                </c:pt>
                <c:pt idx="106">
                  <c:v>305</c:v>
                </c:pt>
                <c:pt idx="107">
                  <c:v>305</c:v>
                </c:pt>
                <c:pt idx="108">
                  <c:v>305</c:v>
                </c:pt>
                <c:pt idx="109">
                  <c:v>305</c:v>
                </c:pt>
                <c:pt idx="110">
                  <c:v>305</c:v>
                </c:pt>
                <c:pt idx="111">
                  <c:v>305</c:v>
                </c:pt>
                <c:pt idx="112">
                  <c:v>305</c:v>
                </c:pt>
                <c:pt idx="113">
                  <c:v>305</c:v>
                </c:pt>
                <c:pt idx="114">
                  <c:v>305</c:v>
                </c:pt>
                <c:pt idx="115">
                  <c:v>305</c:v>
                </c:pt>
                <c:pt idx="116">
                  <c:v>305</c:v>
                </c:pt>
                <c:pt idx="117">
                  <c:v>305</c:v>
                </c:pt>
                <c:pt idx="118">
                  <c:v>305</c:v>
                </c:pt>
                <c:pt idx="119">
                  <c:v>305</c:v>
                </c:pt>
                <c:pt idx="120">
                  <c:v>305</c:v>
                </c:pt>
                <c:pt idx="121">
                  <c:v>305</c:v>
                </c:pt>
                <c:pt idx="122">
                  <c:v>305</c:v>
                </c:pt>
                <c:pt idx="123">
                  <c:v>305</c:v>
                </c:pt>
                <c:pt idx="124">
                  <c:v>305</c:v>
                </c:pt>
                <c:pt idx="125">
                  <c:v>305</c:v>
                </c:pt>
                <c:pt idx="126">
                  <c:v>305</c:v>
                </c:pt>
                <c:pt idx="127">
                  <c:v>305</c:v>
                </c:pt>
                <c:pt idx="128">
                  <c:v>305</c:v>
                </c:pt>
                <c:pt idx="129">
                  <c:v>305</c:v>
                </c:pt>
                <c:pt idx="130">
                  <c:v>305</c:v>
                </c:pt>
                <c:pt idx="131">
                  <c:v>305</c:v>
                </c:pt>
                <c:pt idx="132">
                  <c:v>305</c:v>
                </c:pt>
                <c:pt idx="133">
                  <c:v>305</c:v>
                </c:pt>
                <c:pt idx="134">
                  <c:v>305</c:v>
                </c:pt>
                <c:pt idx="135">
                  <c:v>305</c:v>
                </c:pt>
                <c:pt idx="136">
                  <c:v>305</c:v>
                </c:pt>
                <c:pt idx="137">
                  <c:v>305</c:v>
                </c:pt>
                <c:pt idx="138">
                  <c:v>305</c:v>
                </c:pt>
                <c:pt idx="139">
                  <c:v>305</c:v>
                </c:pt>
                <c:pt idx="140">
                  <c:v>305</c:v>
                </c:pt>
                <c:pt idx="141">
                  <c:v>305</c:v>
                </c:pt>
                <c:pt idx="142">
                  <c:v>305</c:v>
                </c:pt>
                <c:pt idx="143">
                  <c:v>305</c:v>
                </c:pt>
                <c:pt idx="144">
                  <c:v>305</c:v>
                </c:pt>
                <c:pt idx="145">
                  <c:v>305</c:v>
                </c:pt>
                <c:pt idx="146">
                  <c:v>305</c:v>
                </c:pt>
                <c:pt idx="147">
                  <c:v>305</c:v>
                </c:pt>
                <c:pt idx="148">
                  <c:v>305</c:v>
                </c:pt>
                <c:pt idx="149">
                  <c:v>305</c:v>
                </c:pt>
                <c:pt idx="150">
                  <c:v>305</c:v>
                </c:pt>
                <c:pt idx="151">
                  <c:v>305</c:v>
                </c:pt>
                <c:pt idx="152">
                  <c:v>305</c:v>
                </c:pt>
                <c:pt idx="153">
                  <c:v>305</c:v>
                </c:pt>
                <c:pt idx="154">
                  <c:v>305</c:v>
                </c:pt>
                <c:pt idx="155">
                  <c:v>305</c:v>
                </c:pt>
                <c:pt idx="156">
                  <c:v>305</c:v>
                </c:pt>
                <c:pt idx="157">
                  <c:v>305</c:v>
                </c:pt>
                <c:pt idx="158">
                  <c:v>305</c:v>
                </c:pt>
                <c:pt idx="159">
                  <c:v>305</c:v>
                </c:pt>
                <c:pt idx="160">
                  <c:v>305</c:v>
                </c:pt>
                <c:pt idx="161">
                  <c:v>305</c:v>
                </c:pt>
                <c:pt idx="162">
                  <c:v>305</c:v>
                </c:pt>
                <c:pt idx="163">
                  <c:v>305</c:v>
                </c:pt>
                <c:pt idx="164">
                  <c:v>305</c:v>
                </c:pt>
                <c:pt idx="165">
                  <c:v>305</c:v>
                </c:pt>
                <c:pt idx="166">
                  <c:v>305</c:v>
                </c:pt>
                <c:pt idx="167">
                  <c:v>305</c:v>
                </c:pt>
                <c:pt idx="168">
                  <c:v>305</c:v>
                </c:pt>
                <c:pt idx="169">
                  <c:v>305</c:v>
                </c:pt>
                <c:pt idx="170">
                  <c:v>305</c:v>
                </c:pt>
                <c:pt idx="171">
                  <c:v>305</c:v>
                </c:pt>
                <c:pt idx="172">
                  <c:v>305</c:v>
                </c:pt>
                <c:pt idx="173">
                  <c:v>305</c:v>
                </c:pt>
                <c:pt idx="174">
                  <c:v>305</c:v>
                </c:pt>
                <c:pt idx="175">
                  <c:v>305</c:v>
                </c:pt>
                <c:pt idx="176">
                  <c:v>305</c:v>
                </c:pt>
                <c:pt idx="177">
                  <c:v>305</c:v>
                </c:pt>
                <c:pt idx="178">
                  <c:v>305</c:v>
                </c:pt>
                <c:pt idx="179">
                  <c:v>305</c:v>
                </c:pt>
                <c:pt idx="180">
                  <c:v>305</c:v>
                </c:pt>
                <c:pt idx="181">
                  <c:v>305</c:v>
                </c:pt>
                <c:pt idx="182">
                  <c:v>305</c:v>
                </c:pt>
                <c:pt idx="183">
                  <c:v>305</c:v>
                </c:pt>
                <c:pt idx="184">
                  <c:v>305</c:v>
                </c:pt>
                <c:pt idx="185">
                  <c:v>305</c:v>
                </c:pt>
                <c:pt idx="186">
                  <c:v>305</c:v>
                </c:pt>
                <c:pt idx="187">
                  <c:v>305</c:v>
                </c:pt>
                <c:pt idx="188">
                  <c:v>305</c:v>
                </c:pt>
                <c:pt idx="189">
                  <c:v>305</c:v>
                </c:pt>
                <c:pt idx="190">
                  <c:v>305</c:v>
                </c:pt>
                <c:pt idx="191">
                  <c:v>305</c:v>
                </c:pt>
                <c:pt idx="192">
                  <c:v>305</c:v>
                </c:pt>
                <c:pt idx="193">
                  <c:v>305</c:v>
                </c:pt>
                <c:pt idx="194">
                  <c:v>305</c:v>
                </c:pt>
                <c:pt idx="195">
                  <c:v>305</c:v>
                </c:pt>
                <c:pt idx="196">
                  <c:v>305</c:v>
                </c:pt>
                <c:pt idx="197">
                  <c:v>305</c:v>
                </c:pt>
                <c:pt idx="198">
                  <c:v>305</c:v>
                </c:pt>
                <c:pt idx="199">
                  <c:v>305</c:v>
                </c:pt>
                <c:pt idx="200">
                  <c:v>305</c:v>
                </c:pt>
                <c:pt idx="201">
                  <c:v>305</c:v>
                </c:pt>
                <c:pt idx="202">
                  <c:v>305</c:v>
                </c:pt>
                <c:pt idx="203">
                  <c:v>305</c:v>
                </c:pt>
                <c:pt idx="204">
                  <c:v>305</c:v>
                </c:pt>
                <c:pt idx="205">
                  <c:v>305</c:v>
                </c:pt>
                <c:pt idx="206">
                  <c:v>305</c:v>
                </c:pt>
                <c:pt idx="207">
                  <c:v>305</c:v>
                </c:pt>
                <c:pt idx="208">
                  <c:v>305</c:v>
                </c:pt>
                <c:pt idx="209">
                  <c:v>305</c:v>
                </c:pt>
                <c:pt idx="210">
                  <c:v>305</c:v>
                </c:pt>
                <c:pt idx="211">
                  <c:v>305</c:v>
                </c:pt>
                <c:pt idx="212">
                  <c:v>305</c:v>
                </c:pt>
                <c:pt idx="213">
                  <c:v>305</c:v>
                </c:pt>
                <c:pt idx="214">
                  <c:v>305</c:v>
                </c:pt>
                <c:pt idx="215">
                  <c:v>305</c:v>
                </c:pt>
                <c:pt idx="216">
                  <c:v>305</c:v>
                </c:pt>
                <c:pt idx="217">
                  <c:v>305</c:v>
                </c:pt>
                <c:pt idx="218">
                  <c:v>305</c:v>
                </c:pt>
                <c:pt idx="219">
                  <c:v>305</c:v>
                </c:pt>
                <c:pt idx="220">
                  <c:v>305</c:v>
                </c:pt>
                <c:pt idx="221">
                  <c:v>305</c:v>
                </c:pt>
                <c:pt idx="222">
                  <c:v>305</c:v>
                </c:pt>
                <c:pt idx="223">
                  <c:v>305</c:v>
                </c:pt>
                <c:pt idx="224">
                  <c:v>305</c:v>
                </c:pt>
                <c:pt idx="225">
                  <c:v>305</c:v>
                </c:pt>
                <c:pt idx="226">
                  <c:v>305</c:v>
                </c:pt>
                <c:pt idx="227">
                  <c:v>305</c:v>
                </c:pt>
                <c:pt idx="228">
                  <c:v>305</c:v>
                </c:pt>
                <c:pt idx="229">
                  <c:v>305</c:v>
                </c:pt>
                <c:pt idx="230">
                  <c:v>305</c:v>
                </c:pt>
                <c:pt idx="231">
                  <c:v>305</c:v>
                </c:pt>
                <c:pt idx="232">
                  <c:v>305</c:v>
                </c:pt>
                <c:pt idx="233">
                  <c:v>305</c:v>
                </c:pt>
                <c:pt idx="234">
                  <c:v>305</c:v>
                </c:pt>
                <c:pt idx="235">
                  <c:v>305</c:v>
                </c:pt>
                <c:pt idx="236">
                  <c:v>305</c:v>
                </c:pt>
                <c:pt idx="237">
                  <c:v>305</c:v>
                </c:pt>
                <c:pt idx="238">
                  <c:v>305</c:v>
                </c:pt>
                <c:pt idx="239">
                  <c:v>305</c:v>
                </c:pt>
                <c:pt idx="240">
                  <c:v>305</c:v>
                </c:pt>
                <c:pt idx="241">
                  <c:v>305</c:v>
                </c:pt>
                <c:pt idx="242">
                  <c:v>305</c:v>
                </c:pt>
                <c:pt idx="243">
                  <c:v>305</c:v>
                </c:pt>
                <c:pt idx="244">
                  <c:v>305</c:v>
                </c:pt>
                <c:pt idx="245">
                  <c:v>305</c:v>
                </c:pt>
                <c:pt idx="246">
                  <c:v>305</c:v>
                </c:pt>
                <c:pt idx="247">
                  <c:v>305</c:v>
                </c:pt>
                <c:pt idx="248">
                  <c:v>305</c:v>
                </c:pt>
                <c:pt idx="249">
                  <c:v>305</c:v>
                </c:pt>
                <c:pt idx="250">
                  <c:v>305</c:v>
                </c:pt>
                <c:pt idx="251">
                  <c:v>305</c:v>
                </c:pt>
                <c:pt idx="252">
                  <c:v>305</c:v>
                </c:pt>
                <c:pt idx="253">
                  <c:v>305</c:v>
                </c:pt>
                <c:pt idx="254">
                  <c:v>305</c:v>
                </c:pt>
                <c:pt idx="255">
                  <c:v>305</c:v>
                </c:pt>
                <c:pt idx="256">
                  <c:v>305</c:v>
                </c:pt>
                <c:pt idx="257">
                  <c:v>305</c:v>
                </c:pt>
                <c:pt idx="258">
                  <c:v>305</c:v>
                </c:pt>
                <c:pt idx="259">
                  <c:v>305</c:v>
                </c:pt>
                <c:pt idx="260">
                  <c:v>305</c:v>
                </c:pt>
                <c:pt idx="261">
                  <c:v>305</c:v>
                </c:pt>
                <c:pt idx="262">
                  <c:v>305</c:v>
                </c:pt>
                <c:pt idx="263">
                  <c:v>305</c:v>
                </c:pt>
                <c:pt idx="264">
                  <c:v>305</c:v>
                </c:pt>
                <c:pt idx="265">
                  <c:v>305</c:v>
                </c:pt>
                <c:pt idx="266">
                  <c:v>305</c:v>
                </c:pt>
                <c:pt idx="267">
                  <c:v>305</c:v>
                </c:pt>
                <c:pt idx="268">
                  <c:v>305</c:v>
                </c:pt>
                <c:pt idx="269">
                  <c:v>305</c:v>
                </c:pt>
                <c:pt idx="270">
                  <c:v>305</c:v>
                </c:pt>
                <c:pt idx="271">
                  <c:v>305</c:v>
                </c:pt>
                <c:pt idx="272">
                  <c:v>305</c:v>
                </c:pt>
                <c:pt idx="273">
                  <c:v>305</c:v>
                </c:pt>
                <c:pt idx="274">
                  <c:v>305</c:v>
                </c:pt>
                <c:pt idx="275">
                  <c:v>305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305</c:v>
                </c:pt>
                <c:pt idx="281">
                  <c:v>305</c:v>
                </c:pt>
                <c:pt idx="282">
                  <c:v>305</c:v>
                </c:pt>
                <c:pt idx="283">
                  <c:v>305</c:v>
                </c:pt>
                <c:pt idx="284">
                  <c:v>305</c:v>
                </c:pt>
                <c:pt idx="285">
                  <c:v>305</c:v>
                </c:pt>
                <c:pt idx="286">
                  <c:v>305</c:v>
                </c:pt>
                <c:pt idx="287">
                  <c:v>305</c:v>
                </c:pt>
                <c:pt idx="288">
                  <c:v>305</c:v>
                </c:pt>
                <c:pt idx="289">
                  <c:v>305</c:v>
                </c:pt>
                <c:pt idx="290">
                  <c:v>305</c:v>
                </c:pt>
                <c:pt idx="291">
                  <c:v>305</c:v>
                </c:pt>
                <c:pt idx="292">
                  <c:v>305</c:v>
                </c:pt>
                <c:pt idx="293">
                  <c:v>305</c:v>
                </c:pt>
                <c:pt idx="294">
                  <c:v>305</c:v>
                </c:pt>
                <c:pt idx="295">
                  <c:v>305</c:v>
                </c:pt>
                <c:pt idx="296">
                  <c:v>305</c:v>
                </c:pt>
                <c:pt idx="297">
                  <c:v>305</c:v>
                </c:pt>
                <c:pt idx="298">
                  <c:v>305</c:v>
                </c:pt>
                <c:pt idx="299">
                  <c:v>305</c:v>
                </c:pt>
                <c:pt idx="300">
                  <c:v>305</c:v>
                </c:pt>
              </c:numCache>
            </c:numRef>
          </c:val>
        </c:ser>
        <c:ser>
          <c:idx val="7"/>
          <c:order val="5"/>
          <c:tx>
            <c:strRef>
              <c:f>Data!$V$13</c:f>
              <c:strCache>
                <c:ptCount val="1"/>
                <c:pt idx="0">
                  <c:v>FBA HSA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Data!$V$14:$V$315</c:f>
              <c:numCache>
                <c:formatCode>#,##0.00_);[Red]\(#,##0.00\)</c:formatCode>
                <c:ptCount val="302"/>
                <c:pt idx="0">
                  <c:v>2910.93</c:v>
                </c:pt>
                <c:pt idx="1">
                  <c:v>2910.93</c:v>
                </c:pt>
                <c:pt idx="2">
                  <c:v>2910.93</c:v>
                </c:pt>
                <c:pt idx="3">
                  <c:v>2910.93</c:v>
                </c:pt>
                <c:pt idx="4">
                  <c:v>3530.97</c:v>
                </c:pt>
                <c:pt idx="5">
                  <c:v>3651.02</c:v>
                </c:pt>
                <c:pt idx="6">
                  <c:v>3831.0899999999997</c:v>
                </c:pt>
                <c:pt idx="7">
                  <c:v>3031.09</c:v>
                </c:pt>
                <c:pt idx="8">
                  <c:v>3091.37</c:v>
                </c:pt>
                <c:pt idx="9">
                  <c:v>3091.65</c:v>
                </c:pt>
                <c:pt idx="10">
                  <c:v>3211.94</c:v>
                </c:pt>
                <c:pt idx="11">
                  <c:v>3192.23</c:v>
                </c:pt>
                <c:pt idx="12">
                  <c:v>3160.29</c:v>
                </c:pt>
                <c:pt idx="13">
                  <c:v>3160.29</c:v>
                </c:pt>
                <c:pt idx="14">
                  <c:v>3160.28</c:v>
                </c:pt>
                <c:pt idx="15">
                  <c:v>3160.3</c:v>
                </c:pt>
                <c:pt idx="16">
                  <c:v>3100.29</c:v>
                </c:pt>
                <c:pt idx="17">
                  <c:v>3100.27</c:v>
                </c:pt>
                <c:pt idx="18">
                  <c:v>3100</c:v>
                </c:pt>
                <c:pt idx="19">
                  <c:v>3100</c:v>
                </c:pt>
                <c:pt idx="20">
                  <c:v>3100</c:v>
                </c:pt>
                <c:pt idx="21">
                  <c:v>3100</c:v>
                </c:pt>
                <c:pt idx="22">
                  <c:v>3100</c:v>
                </c:pt>
                <c:pt idx="23">
                  <c:v>3100</c:v>
                </c:pt>
                <c:pt idx="24">
                  <c:v>3100</c:v>
                </c:pt>
                <c:pt idx="25">
                  <c:v>3100</c:v>
                </c:pt>
                <c:pt idx="26">
                  <c:v>3100</c:v>
                </c:pt>
                <c:pt idx="27">
                  <c:v>3100</c:v>
                </c:pt>
                <c:pt idx="28">
                  <c:v>3100</c:v>
                </c:pt>
                <c:pt idx="29">
                  <c:v>3100</c:v>
                </c:pt>
                <c:pt idx="30">
                  <c:v>3100</c:v>
                </c:pt>
                <c:pt idx="31">
                  <c:v>3100</c:v>
                </c:pt>
                <c:pt idx="32">
                  <c:v>3100</c:v>
                </c:pt>
                <c:pt idx="33">
                  <c:v>3100</c:v>
                </c:pt>
                <c:pt idx="34">
                  <c:v>3100</c:v>
                </c:pt>
                <c:pt idx="35">
                  <c:v>3100</c:v>
                </c:pt>
                <c:pt idx="36">
                  <c:v>3100</c:v>
                </c:pt>
                <c:pt idx="37">
                  <c:v>3100</c:v>
                </c:pt>
                <c:pt idx="38">
                  <c:v>3100</c:v>
                </c:pt>
                <c:pt idx="39">
                  <c:v>3100</c:v>
                </c:pt>
                <c:pt idx="40">
                  <c:v>3100</c:v>
                </c:pt>
                <c:pt idx="41">
                  <c:v>3100</c:v>
                </c:pt>
                <c:pt idx="42">
                  <c:v>3100</c:v>
                </c:pt>
                <c:pt idx="43">
                  <c:v>3100</c:v>
                </c:pt>
                <c:pt idx="44">
                  <c:v>3100</c:v>
                </c:pt>
                <c:pt idx="45">
                  <c:v>3100</c:v>
                </c:pt>
                <c:pt idx="46">
                  <c:v>3100</c:v>
                </c:pt>
                <c:pt idx="47">
                  <c:v>3100</c:v>
                </c:pt>
                <c:pt idx="48">
                  <c:v>3100</c:v>
                </c:pt>
                <c:pt idx="49">
                  <c:v>3100</c:v>
                </c:pt>
                <c:pt idx="50">
                  <c:v>3100</c:v>
                </c:pt>
                <c:pt idx="51">
                  <c:v>3100</c:v>
                </c:pt>
                <c:pt idx="52">
                  <c:v>3100</c:v>
                </c:pt>
                <c:pt idx="53">
                  <c:v>3100</c:v>
                </c:pt>
                <c:pt idx="54">
                  <c:v>3100</c:v>
                </c:pt>
                <c:pt idx="55">
                  <c:v>3100</c:v>
                </c:pt>
                <c:pt idx="56">
                  <c:v>3100</c:v>
                </c:pt>
                <c:pt idx="57">
                  <c:v>3100</c:v>
                </c:pt>
                <c:pt idx="58">
                  <c:v>3100</c:v>
                </c:pt>
                <c:pt idx="59">
                  <c:v>3100</c:v>
                </c:pt>
                <c:pt idx="60">
                  <c:v>3100</c:v>
                </c:pt>
                <c:pt idx="61">
                  <c:v>3100</c:v>
                </c:pt>
                <c:pt idx="62">
                  <c:v>3100</c:v>
                </c:pt>
                <c:pt idx="63">
                  <c:v>3100</c:v>
                </c:pt>
                <c:pt idx="64">
                  <c:v>3100</c:v>
                </c:pt>
                <c:pt idx="65">
                  <c:v>3100</c:v>
                </c:pt>
                <c:pt idx="66">
                  <c:v>3100</c:v>
                </c:pt>
                <c:pt idx="67">
                  <c:v>3100</c:v>
                </c:pt>
                <c:pt idx="68">
                  <c:v>3100</c:v>
                </c:pt>
                <c:pt idx="69">
                  <c:v>3100</c:v>
                </c:pt>
                <c:pt idx="70">
                  <c:v>3100</c:v>
                </c:pt>
                <c:pt idx="71">
                  <c:v>3100</c:v>
                </c:pt>
                <c:pt idx="72">
                  <c:v>3100</c:v>
                </c:pt>
                <c:pt idx="73">
                  <c:v>3100</c:v>
                </c:pt>
                <c:pt idx="74">
                  <c:v>3100</c:v>
                </c:pt>
                <c:pt idx="75">
                  <c:v>3100</c:v>
                </c:pt>
                <c:pt idx="76">
                  <c:v>3100</c:v>
                </c:pt>
                <c:pt idx="77">
                  <c:v>3100</c:v>
                </c:pt>
                <c:pt idx="78">
                  <c:v>3100</c:v>
                </c:pt>
                <c:pt idx="79">
                  <c:v>3100</c:v>
                </c:pt>
                <c:pt idx="80">
                  <c:v>3100</c:v>
                </c:pt>
                <c:pt idx="81">
                  <c:v>3100</c:v>
                </c:pt>
                <c:pt idx="82">
                  <c:v>3100</c:v>
                </c:pt>
                <c:pt idx="83">
                  <c:v>3100</c:v>
                </c:pt>
                <c:pt idx="84">
                  <c:v>3100</c:v>
                </c:pt>
                <c:pt idx="85">
                  <c:v>3100</c:v>
                </c:pt>
                <c:pt idx="86">
                  <c:v>3100</c:v>
                </c:pt>
                <c:pt idx="87">
                  <c:v>3100</c:v>
                </c:pt>
                <c:pt idx="88">
                  <c:v>3100</c:v>
                </c:pt>
                <c:pt idx="89">
                  <c:v>3100</c:v>
                </c:pt>
                <c:pt idx="90">
                  <c:v>3100</c:v>
                </c:pt>
                <c:pt idx="91">
                  <c:v>3100</c:v>
                </c:pt>
                <c:pt idx="92">
                  <c:v>3100</c:v>
                </c:pt>
                <c:pt idx="93">
                  <c:v>3100</c:v>
                </c:pt>
                <c:pt idx="94">
                  <c:v>3100</c:v>
                </c:pt>
                <c:pt idx="95">
                  <c:v>3100</c:v>
                </c:pt>
                <c:pt idx="96">
                  <c:v>3100</c:v>
                </c:pt>
                <c:pt idx="97">
                  <c:v>3100</c:v>
                </c:pt>
                <c:pt idx="98">
                  <c:v>3100</c:v>
                </c:pt>
                <c:pt idx="99">
                  <c:v>3100</c:v>
                </c:pt>
                <c:pt idx="100">
                  <c:v>3100</c:v>
                </c:pt>
                <c:pt idx="101">
                  <c:v>3100</c:v>
                </c:pt>
                <c:pt idx="102">
                  <c:v>3100</c:v>
                </c:pt>
                <c:pt idx="103">
                  <c:v>3100</c:v>
                </c:pt>
                <c:pt idx="104">
                  <c:v>3100</c:v>
                </c:pt>
                <c:pt idx="105">
                  <c:v>3100</c:v>
                </c:pt>
                <c:pt idx="106">
                  <c:v>3100</c:v>
                </c:pt>
                <c:pt idx="107">
                  <c:v>3100</c:v>
                </c:pt>
                <c:pt idx="108">
                  <c:v>3100</c:v>
                </c:pt>
                <c:pt idx="109">
                  <c:v>3100</c:v>
                </c:pt>
                <c:pt idx="110">
                  <c:v>3100</c:v>
                </c:pt>
                <c:pt idx="111">
                  <c:v>3100</c:v>
                </c:pt>
                <c:pt idx="112">
                  <c:v>3100</c:v>
                </c:pt>
                <c:pt idx="113">
                  <c:v>3100</c:v>
                </c:pt>
                <c:pt idx="114">
                  <c:v>3100</c:v>
                </c:pt>
                <c:pt idx="115">
                  <c:v>3100</c:v>
                </c:pt>
                <c:pt idx="116">
                  <c:v>3100</c:v>
                </c:pt>
                <c:pt idx="117">
                  <c:v>3100</c:v>
                </c:pt>
                <c:pt idx="118">
                  <c:v>3100</c:v>
                </c:pt>
                <c:pt idx="119">
                  <c:v>3100</c:v>
                </c:pt>
                <c:pt idx="120">
                  <c:v>3100</c:v>
                </c:pt>
                <c:pt idx="121">
                  <c:v>3100</c:v>
                </c:pt>
                <c:pt idx="122">
                  <c:v>3100</c:v>
                </c:pt>
                <c:pt idx="123">
                  <c:v>3100</c:v>
                </c:pt>
                <c:pt idx="124">
                  <c:v>3100</c:v>
                </c:pt>
                <c:pt idx="125">
                  <c:v>3100</c:v>
                </c:pt>
                <c:pt idx="126">
                  <c:v>3100</c:v>
                </c:pt>
                <c:pt idx="127">
                  <c:v>3100</c:v>
                </c:pt>
                <c:pt idx="128">
                  <c:v>3100</c:v>
                </c:pt>
                <c:pt idx="129">
                  <c:v>3100</c:v>
                </c:pt>
                <c:pt idx="130">
                  <c:v>3100</c:v>
                </c:pt>
                <c:pt idx="131">
                  <c:v>3100</c:v>
                </c:pt>
                <c:pt idx="132">
                  <c:v>3100</c:v>
                </c:pt>
                <c:pt idx="133">
                  <c:v>3100</c:v>
                </c:pt>
                <c:pt idx="134">
                  <c:v>3100</c:v>
                </c:pt>
                <c:pt idx="135">
                  <c:v>3100</c:v>
                </c:pt>
                <c:pt idx="136">
                  <c:v>3100</c:v>
                </c:pt>
                <c:pt idx="137">
                  <c:v>3100</c:v>
                </c:pt>
                <c:pt idx="138">
                  <c:v>3100</c:v>
                </c:pt>
                <c:pt idx="139">
                  <c:v>3100</c:v>
                </c:pt>
                <c:pt idx="140">
                  <c:v>3100</c:v>
                </c:pt>
                <c:pt idx="141">
                  <c:v>3100</c:v>
                </c:pt>
                <c:pt idx="142">
                  <c:v>3100</c:v>
                </c:pt>
                <c:pt idx="143">
                  <c:v>3100</c:v>
                </c:pt>
                <c:pt idx="144">
                  <c:v>3100</c:v>
                </c:pt>
                <c:pt idx="145">
                  <c:v>3100</c:v>
                </c:pt>
                <c:pt idx="146">
                  <c:v>3100</c:v>
                </c:pt>
                <c:pt idx="147">
                  <c:v>3100</c:v>
                </c:pt>
                <c:pt idx="148">
                  <c:v>3100</c:v>
                </c:pt>
                <c:pt idx="149">
                  <c:v>3100</c:v>
                </c:pt>
                <c:pt idx="150">
                  <c:v>3100</c:v>
                </c:pt>
                <c:pt idx="151">
                  <c:v>3100</c:v>
                </c:pt>
                <c:pt idx="152">
                  <c:v>3100</c:v>
                </c:pt>
                <c:pt idx="153">
                  <c:v>3100</c:v>
                </c:pt>
                <c:pt idx="154">
                  <c:v>3100</c:v>
                </c:pt>
                <c:pt idx="155">
                  <c:v>3100</c:v>
                </c:pt>
                <c:pt idx="156">
                  <c:v>3100</c:v>
                </c:pt>
                <c:pt idx="157">
                  <c:v>3100</c:v>
                </c:pt>
                <c:pt idx="158">
                  <c:v>3100</c:v>
                </c:pt>
                <c:pt idx="159">
                  <c:v>3100</c:v>
                </c:pt>
                <c:pt idx="160">
                  <c:v>3100</c:v>
                </c:pt>
                <c:pt idx="161">
                  <c:v>3100</c:v>
                </c:pt>
                <c:pt idx="162">
                  <c:v>3100</c:v>
                </c:pt>
                <c:pt idx="163">
                  <c:v>3100</c:v>
                </c:pt>
                <c:pt idx="164">
                  <c:v>3100</c:v>
                </c:pt>
                <c:pt idx="165">
                  <c:v>3100</c:v>
                </c:pt>
                <c:pt idx="166">
                  <c:v>3100</c:v>
                </c:pt>
                <c:pt idx="167">
                  <c:v>3100</c:v>
                </c:pt>
                <c:pt idx="168">
                  <c:v>3100</c:v>
                </c:pt>
                <c:pt idx="169">
                  <c:v>3100</c:v>
                </c:pt>
                <c:pt idx="170">
                  <c:v>3100</c:v>
                </c:pt>
                <c:pt idx="171">
                  <c:v>3100</c:v>
                </c:pt>
                <c:pt idx="172">
                  <c:v>3100</c:v>
                </c:pt>
                <c:pt idx="173">
                  <c:v>3100</c:v>
                </c:pt>
                <c:pt idx="174">
                  <c:v>3100</c:v>
                </c:pt>
                <c:pt idx="175">
                  <c:v>3100</c:v>
                </c:pt>
                <c:pt idx="176">
                  <c:v>3100</c:v>
                </c:pt>
                <c:pt idx="177">
                  <c:v>3100</c:v>
                </c:pt>
                <c:pt idx="178">
                  <c:v>3100</c:v>
                </c:pt>
                <c:pt idx="179">
                  <c:v>3100</c:v>
                </c:pt>
                <c:pt idx="180">
                  <c:v>3100</c:v>
                </c:pt>
                <c:pt idx="181">
                  <c:v>3100</c:v>
                </c:pt>
                <c:pt idx="182">
                  <c:v>3100</c:v>
                </c:pt>
                <c:pt idx="183">
                  <c:v>3100</c:v>
                </c:pt>
                <c:pt idx="184">
                  <c:v>3100</c:v>
                </c:pt>
                <c:pt idx="185">
                  <c:v>3100</c:v>
                </c:pt>
                <c:pt idx="186">
                  <c:v>3100</c:v>
                </c:pt>
                <c:pt idx="187">
                  <c:v>3100</c:v>
                </c:pt>
                <c:pt idx="188">
                  <c:v>3100</c:v>
                </c:pt>
                <c:pt idx="189">
                  <c:v>3100</c:v>
                </c:pt>
                <c:pt idx="190">
                  <c:v>3100</c:v>
                </c:pt>
                <c:pt idx="191">
                  <c:v>3100</c:v>
                </c:pt>
                <c:pt idx="192">
                  <c:v>3100</c:v>
                </c:pt>
                <c:pt idx="193">
                  <c:v>3100</c:v>
                </c:pt>
                <c:pt idx="194">
                  <c:v>3100</c:v>
                </c:pt>
                <c:pt idx="195">
                  <c:v>3100</c:v>
                </c:pt>
                <c:pt idx="196">
                  <c:v>3100</c:v>
                </c:pt>
                <c:pt idx="197">
                  <c:v>3100</c:v>
                </c:pt>
                <c:pt idx="198">
                  <c:v>3100</c:v>
                </c:pt>
                <c:pt idx="199">
                  <c:v>3100</c:v>
                </c:pt>
                <c:pt idx="200">
                  <c:v>3100</c:v>
                </c:pt>
                <c:pt idx="201">
                  <c:v>3100</c:v>
                </c:pt>
                <c:pt idx="202">
                  <c:v>3100</c:v>
                </c:pt>
                <c:pt idx="203">
                  <c:v>3100</c:v>
                </c:pt>
                <c:pt idx="204">
                  <c:v>3100</c:v>
                </c:pt>
                <c:pt idx="205">
                  <c:v>3100</c:v>
                </c:pt>
                <c:pt idx="206">
                  <c:v>3100</c:v>
                </c:pt>
                <c:pt idx="207">
                  <c:v>3100</c:v>
                </c:pt>
                <c:pt idx="208">
                  <c:v>3100</c:v>
                </c:pt>
                <c:pt idx="209">
                  <c:v>3100</c:v>
                </c:pt>
                <c:pt idx="210">
                  <c:v>3100</c:v>
                </c:pt>
                <c:pt idx="211">
                  <c:v>3100</c:v>
                </c:pt>
                <c:pt idx="212">
                  <c:v>3100</c:v>
                </c:pt>
                <c:pt idx="213">
                  <c:v>3100</c:v>
                </c:pt>
                <c:pt idx="214">
                  <c:v>3100</c:v>
                </c:pt>
                <c:pt idx="215">
                  <c:v>3100</c:v>
                </c:pt>
                <c:pt idx="216">
                  <c:v>3100</c:v>
                </c:pt>
                <c:pt idx="217">
                  <c:v>3100</c:v>
                </c:pt>
                <c:pt idx="218">
                  <c:v>3100</c:v>
                </c:pt>
                <c:pt idx="219">
                  <c:v>3100</c:v>
                </c:pt>
                <c:pt idx="220">
                  <c:v>3100</c:v>
                </c:pt>
                <c:pt idx="221">
                  <c:v>3100</c:v>
                </c:pt>
                <c:pt idx="222">
                  <c:v>3100</c:v>
                </c:pt>
                <c:pt idx="223">
                  <c:v>3100</c:v>
                </c:pt>
                <c:pt idx="224">
                  <c:v>3100</c:v>
                </c:pt>
                <c:pt idx="225">
                  <c:v>3100</c:v>
                </c:pt>
                <c:pt idx="226">
                  <c:v>3100</c:v>
                </c:pt>
                <c:pt idx="227">
                  <c:v>3100</c:v>
                </c:pt>
                <c:pt idx="228">
                  <c:v>3100</c:v>
                </c:pt>
                <c:pt idx="229">
                  <c:v>3100</c:v>
                </c:pt>
                <c:pt idx="230">
                  <c:v>3100</c:v>
                </c:pt>
                <c:pt idx="231">
                  <c:v>3100</c:v>
                </c:pt>
                <c:pt idx="232">
                  <c:v>3100</c:v>
                </c:pt>
                <c:pt idx="233">
                  <c:v>3100</c:v>
                </c:pt>
                <c:pt idx="234">
                  <c:v>3100</c:v>
                </c:pt>
                <c:pt idx="235">
                  <c:v>3100</c:v>
                </c:pt>
                <c:pt idx="236">
                  <c:v>3100</c:v>
                </c:pt>
                <c:pt idx="237">
                  <c:v>3100</c:v>
                </c:pt>
                <c:pt idx="238">
                  <c:v>3100</c:v>
                </c:pt>
                <c:pt idx="239">
                  <c:v>3100</c:v>
                </c:pt>
                <c:pt idx="240">
                  <c:v>3100</c:v>
                </c:pt>
                <c:pt idx="241">
                  <c:v>3100</c:v>
                </c:pt>
                <c:pt idx="242">
                  <c:v>3100</c:v>
                </c:pt>
                <c:pt idx="243">
                  <c:v>3100</c:v>
                </c:pt>
                <c:pt idx="244">
                  <c:v>3100</c:v>
                </c:pt>
                <c:pt idx="245">
                  <c:v>3100</c:v>
                </c:pt>
                <c:pt idx="246">
                  <c:v>3100</c:v>
                </c:pt>
                <c:pt idx="247">
                  <c:v>3100</c:v>
                </c:pt>
                <c:pt idx="248">
                  <c:v>3100</c:v>
                </c:pt>
                <c:pt idx="249">
                  <c:v>3100</c:v>
                </c:pt>
                <c:pt idx="250">
                  <c:v>3100</c:v>
                </c:pt>
                <c:pt idx="251">
                  <c:v>3100</c:v>
                </c:pt>
                <c:pt idx="252">
                  <c:v>3100</c:v>
                </c:pt>
                <c:pt idx="253">
                  <c:v>3100</c:v>
                </c:pt>
                <c:pt idx="254">
                  <c:v>3100</c:v>
                </c:pt>
                <c:pt idx="255">
                  <c:v>3100</c:v>
                </c:pt>
                <c:pt idx="256">
                  <c:v>3100</c:v>
                </c:pt>
                <c:pt idx="257">
                  <c:v>3100</c:v>
                </c:pt>
                <c:pt idx="258">
                  <c:v>3100</c:v>
                </c:pt>
                <c:pt idx="259">
                  <c:v>3100</c:v>
                </c:pt>
                <c:pt idx="260">
                  <c:v>3100</c:v>
                </c:pt>
                <c:pt idx="261">
                  <c:v>3100</c:v>
                </c:pt>
                <c:pt idx="262">
                  <c:v>3100</c:v>
                </c:pt>
                <c:pt idx="263">
                  <c:v>3100</c:v>
                </c:pt>
                <c:pt idx="264">
                  <c:v>3100</c:v>
                </c:pt>
                <c:pt idx="265">
                  <c:v>3100</c:v>
                </c:pt>
                <c:pt idx="266">
                  <c:v>3100</c:v>
                </c:pt>
                <c:pt idx="267">
                  <c:v>3100</c:v>
                </c:pt>
                <c:pt idx="268">
                  <c:v>3100</c:v>
                </c:pt>
                <c:pt idx="269">
                  <c:v>3100</c:v>
                </c:pt>
                <c:pt idx="270">
                  <c:v>3100</c:v>
                </c:pt>
                <c:pt idx="271">
                  <c:v>3100</c:v>
                </c:pt>
                <c:pt idx="272">
                  <c:v>3100</c:v>
                </c:pt>
                <c:pt idx="273">
                  <c:v>3100</c:v>
                </c:pt>
                <c:pt idx="274">
                  <c:v>3100</c:v>
                </c:pt>
                <c:pt idx="275">
                  <c:v>3100</c:v>
                </c:pt>
                <c:pt idx="276">
                  <c:v>3100</c:v>
                </c:pt>
                <c:pt idx="277">
                  <c:v>3100</c:v>
                </c:pt>
                <c:pt idx="278">
                  <c:v>3100</c:v>
                </c:pt>
                <c:pt idx="279">
                  <c:v>3100</c:v>
                </c:pt>
                <c:pt idx="280">
                  <c:v>3100</c:v>
                </c:pt>
                <c:pt idx="281">
                  <c:v>3100</c:v>
                </c:pt>
                <c:pt idx="282">
                  <c:v>3100</c:v>
                </c:pt>
                <c:pt idx="283">
                  <c:v>3100</c:v>
                </c:pt>
                <c:pt idx="284">
                  <c:v>3100</c:v>
                </c:pt>
                <c:pt idx="285">
                  <c:v>3100</c:v>
                </c:pt>
                <c:pt idx="286">
                  <c:v>3100</c:v>
                </c:pt>
                <c:pt idx="287">
                  <c:v>3100</c:v>
                </c:pt>
                <c:pt idx="288">
                  <c:v>3100</c:v>
                </c:pt>
                <c:pt idx="289">
                  <c:v>3100</c:v>
                </c:pt>
                <c:pt idx="290">
                  <c:v>3100</c:v>
                </c:pt>
                <c:pt idx="291">
                  <c:v>3100</c:v>
                </c:pt>
                <c:pt idx="292">
                  <c:v>3100</c:v>
                </c:pt>
                <c:pt idx="293">
                  <c:v>3100</c:v>
                </c:pt>
                <c:pt idx="294">
                  <c:v>3100</c:v>
                </c:pt>
                <c:pt idx="295">
                  <c:v>3100</c:v>
                </c:pt>
                <c:pt idx="296">
                  <c:v>3100</c:v>
                </c:pt>
                <c:pt idx="297">
                  <c:v>3100</c:v>
                </c:pt>
                <c:pt idx="298">
                  <c:v>3100</c:v>
                </c:pt>
                <c:pt idx="299">
                  <c:v>3100</c:v>
                </c:pt>
                <c:pt idx="300">
                  <c:v>3100</c:v>
                </c:pt>
              </c:numCache>
            </c:numRef>
          </c:val>
        </c:ser>
        <c:ser>
          <c:idx val="10"/>
          <c:order val="6"/>
          <c:tx>
            <c:strRef>
              <c:f>Data!$N$13</c:f>
              <c:strCache>
                <c:ptCount val="1"/>
                <c:pt idx="0">
                  <c:v>Betterment Taxable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Data!$N$14:$N$315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399.75</c:v>
                </c:pt>
                <c:pt idx="8">
                  <c:v>808.26</c:v>
                </c:pt>
                <c:pt idx="9">
                  <c:v>1003.84</c:v>
                </c:pt>
                <c:pt idx="10">
                  <c:v>1829.57</c:v>
                </c:pt>
                <c:pt idx="11">
                  <c:v>1835.52</c:v>
                </c:pt>
                <c:pt idx="12">
                  <c:v>2157.58</c:v>
                </c:pt>
                <c:pt idx="13">
                  <c:v>2684.96</c:v>
                </c:pt>
                <c:pt idx="14">
                  <c:v>2703.16</c:v>
                </c:pt>
                <c:pt idx="15">
                  <c:v>2943.3</c:v>
                </c:pt>
                <c:pt idx="16">
                  <c:v>3354.62</c:v>
                </c:pt>
                <c:pt idx="17">
                  <c:v>3498.84</c:v>
                </c:pt>
                <c:pt idx="18">
                  <c:v>3717.79205</c:v>
                </c:pt>
                <c:pt idx="19">
                  <c:v>3937.9300902708333</c:v>
                </c:pt>
                <c:pt idx="20">
                  <c:v>4159.2605449264665</c:v>
                </c:pt>
                <c:pt idx="21">
                  <c:v>4381.789872878152</c:v>
                </c:pt>
                <c:pt idx="22">
                  <c:v>4605.5245680229091</c:v>
                </c:pt>
                <c:pt idx="23">
                  <c:v>4830.4711594330329</c:v>
                </c:pt>
                <c:pt idx="24">
                  <c:v>5056.6362115466281</c:v>
                </c:pt>
                <c:pt idx="25">
                  <c:v>5284.0263243591726</c:v>
                </c:pt>
                <c:pt idx="26">
                  <c:v>5512.6481336161178</c:v>
                </c:pt>
                <c:pt idx="27">
                  <c:v>5742.5083110065389</c:v>
                </c:pt>
                <c:pt idx="28">
                  <c:v>5973.6135643578245</c:v>
                </c:pt>
                <c:pt idx="29">
                  <c:v>6205.9706378314295</c:v>
                </c:pt>
                <c:pt idx="30">
                  <c:v>6439.5863121196835</c:v>
                </c:pt>
                <c:pt idx="31">
                  <c:v>6674.4674046436648</c:v>
                </c:pt>
                <c:pt idx="32">
                  <c:v>6910.6207697521513</c:v>
                </c:pt>
                <c:pt idx="33">
                  <c:v>7148.0532989216417</c:v>
                </c:pt>
                <c:pt idx="34">
                  <c:v>7386.771920957467</c:v>
                </c:pt>
                <c:pt idx="35">
                  <c:v>7626.7836021959865</c:v>
                </c:pt>
                <c:pt idx="36">
                  <c:v>7868.0953467078816</c:v>
                </c:pt>
                <c:pt idx="37">
                  <c:v>8110.7141965025494</c:v>
                </c:pt>
                <c:pt idx="38">
                  <c:v>8354.6472317336047</c:v>
                </c:pt>
                <c:pt idx="39">
                  <c:v>8599.9015709054947</c:v>
                </c:pt>
                <c:pt idx="40">
                  <c:v>8846.4843710812329</c:v>
                </c:pt>
                <c:pt idx="41">
                  <c:v>9094.4028280912571</c:v>
                </c:pt>
                <c:pt idx="42">
                  <c:v>9343.6641767434176</c:v>
                </c:pt>
                <c:pt idx="43">
                  <c:v>9594.2756910341104</c:v>
                </c:pt>
                <c:pt idx="44">
                  <c:v>9846.2446843605449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5"/>
          <c:order val="7"/>
          <c:tx>
            <c:strRef>
              <c:f>Data!$Y$13</c:f>
              <c:strCache>
                <c:ptCount val="1"/>
                <c:pt idx="0">
                  <c:v>Edward Jones Taxable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Data!$Y$14:$Y$315</c:f>
              <c:numCache>
                <c:formatCode>#,##0.00_);[Red]\(#,##0.00\)</c:formatCode>
                <c:ptCount val="302"/>
                <c:pt idx="0">
                  <c:v>23326.94</c:v>
                </c:pt>
                <c:pt idx="1">
                  <c:v>23086.12</c:v>
                </c:pt>
                <c:pt idx="2">
                  <c:v>24238.59</c:v>
                </c:pt>
                <c:pt idx="3">
                  <c:v>24640.1</c:v>
                </c:pt>
                <c:pt idx="4">
                  <c:v>25187.599999999999</c:v>
                </c:pt>
                <c:pt idx="5">
                  <c:v>25819.34</c:v>
                </c:pt>
                <c:pt idx="6">
                  <c:v>25706.9</c:v>
                </c:pt>
                <c:pt idx="7">
                  <c:v>25924.48</c:v>
                </c:pt>
                <c:pt idx="8">
                  <c:v>26317.33</c:v>
                </c:pt>
                <c:pt idx="9">
                  <c:v>26346.9</c:v>
                </c:pt>
                <c:pt idx="10">
                  <c:v>26919.06</c:v>
                </c:pt>
                <c:pt idx="11">
                  <c:v>26825.77</c:v>
                </c:pt>
                <c:pt idx="12">
                  <c:v>27819.32</c:v>
                </c:pt>
                <c:pt idx="13">
                  <c:v>28419.01</c:v>
                </c:pt>
                <c:pt idx="14">
                  <c:v>28456.49</c:v>
                </c:pt>
                <c:pt idx="15">
                  <c:v>29614.46</c:v>
                </c:pt>
                <c:pt idx="16">
                  <c:v>31644.82</c:v>
                </c:pt>
                <c:pt idx="17">
                  <c:v>30289.09</c:v>
                </c:pt>
                <c:pt idx="18">
                  <c:v>30453.155904166666</c:v>
                </c:pt>
                <c:pt idx="19">
                  <c:v>30618.110498647569</c:v>
                </c:pt>
                <c:pt idx="20">
                  <c:v>30783.958597181911</c:v>
                </c:pt>
                <c:pt idx="21">
                  <c:v>30950.705039583314</c:v>
                </c:pt>
                <c:pt idx="22">
                  <c:v>31118.354691881057</c:v>
                </c:pt>
                <c:pt idx="23">
                  <c:v>31286.91244646208</c:v>
                </c:pt>
                <c:pt idx="24">
                  <c:v>31456.38322221375</c:v>
                </c:pt>
                <c:pt idx="25">
                  <c:v>31626.771964667409</c:v>
                </c:pt>
                <c:pt idx="26">
                  <c:v>31798.083646142692</c:v>
                </c:pt>
                <c:pt idx="27">
                  <c:v>31970.323265892632</c:v>
                </c:pt>
                <c:pt idx="28">
                  <c:v>32143.49585024955</c:v>
                </c:pt>
                <c:pt idx="29">
                  <c:v>32317.606452771735</c:v>
                </c:pt>
                <c:pt idx="30">
                  <c:v>32492.660154390916</c:v>
                </c:pt>
                <c:pt idx="31">
                  <c:v>32668.662063560532</c:v>
                </c:pt>
                <c:pt idx="32">
                  <c:v>32845.617316404816</c:v>
                </c:pt>
                <c:pt idx="33">
                  <c:v>33023.531076868676</c:v>
                </c:pt>
                <c:pt idx="34">
                  <c:v>33202.408536868381</c:v>
                </c:pt>
                <c:pt idx="35">
                  <c:v>33382.254916443082</c:v>
                </c:pt>
                <c:pt idx="36">
                  <c:v>33563.075463907146</c:v>
                </c:pt>
                <c:pt idx="37">
                  <c:v>33744.875456003312</c:v>
                </c:pt>
                <c:pt idx="38">
                  <c:v>33927.660198056663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650</c:v>
                </c:pt>
                <c:pt idx="46">
                  <c:v>1303.5208333333335</c:v>
                </c:pt>
                <c:pt idx="47">
                  <c:v>1960.5815711805558</c:v>
                </c:pt>
                <c:pt idx="48">
                  <c:v>2621.2013880244504</c:v>
                </c:pt>
                <c:pt idx="49">
                  <c:v>3285.3995622095827</c:v>
                </c:pt>
                <c:pt idx="50">
                  <c:v>3953.1954765048845</c:v>
                </c:pt>
                <c:pt idx="51">
                  <c:v>4624.6086186692864</c:v>
                </c:pt>
                <c:pt idx="52">
                  <c:v>5299.6585820204118</c:v>
                </c:pt>
                <c:pt idx="53">
                  <c:v>5978.3650660063558</c:v>
                </c:pt>
                <c:pt idx="54">
                  <c:v>6660.7478767805569</c:v>
                </c:pt>
                <c:pt idx="55">
                  <c:v>7346.8269277797854</c:v>
                </c:pt>
                <c:pt idx="56">
                  <c:v>8036.6222403052589</c:v>
                </c:pt>
                <c:pt idx="57">
                  <c:v>8730.1539441069126</c:v>
                </c:pt>
                <c:pt idx="58">
                  <c:v>9427.4422779708257</c:v>
                </c:pt>
                <c:pt idx="59">
                  <c:v>10128.507590309835</c:v>
                </c:pt>
                <c:pt idx="60">
                  <c:v>10833.370339757346</c:v>
                </c:pt>
                <c:pt idx="61">
                  <c:v>11542.051095764366</c:v>
                </c:pt>
                <c:pt idx="62">
                  <c:v>12254.570539199756</c:v>
                </c:pt>
                <c:pt idx="63">
                  <c:v>12970.949462953755</c:v>
                </c:pt>
                <c:pt idx="64">
                  <c:v>13691.208772544755</c:v>
                </c:pt>
                <c:pt idx="65">
                  <c:v>14415.369486729373</c:v>
                </c:pt>
                <c:pt idx="66">
                  <c:v>15143.452738115824</c:v>
                </c:pt>
                <c:pt idx="67">
                  <c:v>15875.479773780618</c:v>
                </c:pt>
                <c:pt idx="68">
                  <c:v>16611.471955888599</c:v>
                </c:pt>
                <c:pt idx="69">
                  <c:v>17351.45076231633</c:v>
                </c:pt>
                <c:pt idx="70">
                  <c:v>18095.437787278875</c:v>
                </c:pt>
                <c:pt idx="71">
                  <c:v>18843.454741959969</c:v>
                </c:pt>
                <c:pt idx="72">
                  <c:v>19595.523455145587</c:v>
                </c:pt>
                <c:pt idx="73">
                  <c:v>20351.665873860959</c:v>
                </c:pt>
                <c:pt idx="74">
                  <c:v>21111.90406401104</c:v>
                </c:pt>
                <c:pt idx="75">
                  <c:v>21876.260211024433</c:v>
                </c:pt>
                <c:pt idx="76">
                  <c:v>22644.756620500815</c:v>
                </c:pt>
                <c:pt idx="77">
                  <c:v>23417.415718861863</c:v>
                </c:pt>
                <c:pt idx="78">
                  <c:v>24194.260054005699</c:v>
                </c:pt>
                <c:pt idx="79">
                  <c:v>24975.312295964897</c:v>
                </c:pt>
                <c:pt idx="80">
                  <c:v>25760.595237568039</c:v>
                </c:pt>
                <c:pt idx="81">
                  <c:v>26550.131795104866</c:v>
                </c:pt>
                <c:pt idx="82">
                  <c:v>27343.945008995019</c:v>
                </c:pt>
                <c:pt idx="83">
                  <c:v>28142.058044460409</c:v>
                </c:pt>
                <c:pt idx="84">
                  <c:v>28944.494192201237</c:v>
                </c:pt>
                <c:pt idx="85">
                  <c:v>29751.27686907566</c:v>
                </c:pt>
                <c:pt idx="86">
                  <c:v>30562.429618783153</c:v>
                </c:pt>
                <c:pt idx="87">
                  <c:v>31377.976112551562</c:v>
                </c:pt>
                <c:pt idx="88">
                  <c:v>32197.940149827882</c:v>
                </c:pt>
                <c:pt idx="89">
                  <c:v>33022.345658972787</c:v>
                </c:pt>
                <c:pt idx="90">
                  <c:v>33851.216697958887</c:v>
                </c:pt>
                <c:pt idx="91">
                  <c:v>34684.577455072831</c:v>
                </c:pt>
                <c:pt idx="92">
                  <c:v>35522.452249621143</c:v>
                </c:pt>
                <c:pt idx="93">
                  <c:v>36364.865532639924</c:v>
                </c:pt>
                <c:pt idx="94">
                  <c:v>37211.841887608389</c:v>
                </c:pt>
                <c:pt idx="95">
                  <c:v>38063.406031166269</c:v>
                </c:pt>
                <c:pt idx="96">
                  <c:v>38919.582813835084</c:v>
                </c:pt>
                <c:pt idx="97">
                  <c:v>39780.397220743354</c:v>
                </c:pt>
                <c:pt idx="98">
                  <c:v>40645.874372355713</c:v>
                </c:pt>
                <c:pt idx="99">
                  <c:v>41516.039525205975</c:v>
                </c:pt>
                <c:pt idx="100">
                  <c:v>43690.918072634173</c:v>
                </c:pt>
                <c:pt idx="101">
                  <c:v>45877.577212194272</c:v>
                </c:pt>
                <c:pt idx="102">
                  <c:v>48076.080755426992</c:v>
                </c:pt>
                <c:pt idx="103">
                  <c:v>50286.49285951889</c:v>
                </c:pt>
                <c:pt idx="104">
                  <c:v>52508.878029174615</c:v>
                </c:pt>
                <c:pt idx="105">
                  <c:v>54743.301118499308</c:v>
                </c:pt>
                <c:pt idx="106">
                  <c:v>56989.827332891182</c:v>
                </c:pt>
                <c:pt idx="107">
                  <c:v>59248.522230944342</c:v>
                </c:pt>
                <c:pt idx="108">
                  <c:v>61519.451726361956</c:v>
                </c:pt>
                <c:pt idx="109">
                  <c:v>63802.682089879752</c:v>
                </c:pt>
                <c:pt idx="110">
                  <c:v>66098.279951199933</c:v>
                </c:pt>
                <c:pt idx="111">
                  <c:v>68406.312300935606</c:v>
                </c:pt>
                <c:pt idx="112">
                  <c:v>70726.846492565674</c:v>
                </c:pt>
                <c:pt idx="113">
                  <c:v>73059.950244400403</c:v>
                </c:pt>
                <c:pt idx="114">
                  <c:v>75405.691641557569</c:v>
                </c:pt>
                <c:pt idx="115">
                  <c:v>77764.139137949343</c:v>
                </c:pt>
                <c:pt idx="116">
                  <c:v>80135.361558279896</c:v>
                </c:pt>
                <c:pt idx="117">
                  <c:v>82519.428100053905</c:v>
                </c:pt>
                <c:pt idx="118">
                  <c:v>84916.408335595857</c:v>
                </c:pt>
                <c:pt idx="119">
                  <c:v>87326.372214080329</c:v>
                </c:pt>
                <c:pt idx="120">
                  <c:v>89749.390063573272</c:v>
                </c:pt>
                <c:pt idx="121">
                  <c:v>92185.532593084296</c:v>
                </c:pt>
                <c:pt idx="122">
                  <c:v>94634.870894630163</c:v>
                </c:pt>
                <c:pt idx="123">
                  <c:v>97097.47644530941</c:v>
                </c:pt>
                <c:pt idx="124">
                  <c:v>99573.421109388175</c:v>
                </c:pt>
                <c:pt idx="125">
                  <c:v>102062.77714039736</c:v>
                </c:pt>
                <c:pt idx="126">
                  <c:v>104565.61718324118</c:v>
                </c:pt>
                <c:pt idx="127">
                  <c:v>107082.01427631707</c:v>
                </c:pt>
                <c:pt idx="128">
                  <c:v>109612.04185364713</c:v>
                </c:pt>
                <c:pt idx="129">
                  <c:v>112155.77374702104</c:v>
                </c:pt>
                <c:pt idx="130">
                  <c:v>114713.28418815073</c:v>
                </c:pt>
                <c:pt idx="131">
                  <c:v>117284.64781083656</c:v>
                </c:pt>
                <c:pt idx="132">
                  <c:v>119869.93965314525</c:v>
                </c:pt>
                <c:pt idx="133">
                  <c:v>122469.23515959979</c:v>
                </c:pt>
                <c:pt idx="134">
                  <c:v>125082.61018338095</c:v>
                </c:pt>
                <c:pt idx="135">
                  <c:v>127710.14098854094</c:v>
                </c:pt>
                <c:pt idx="136">
                  <c:v>130351.90425222887</c:v>
                </c:pt>
                <c:pt idx="137">
                  <c:v>133007.97706692843</c:v>
                </c:pt>
                <c:pt idx="138">
                  <c:v>135678.43694270763</c:v>
                </c:pt>
                <c:pt idx="139">
                  <c:v>138363.36180948064</c:v>
                </c:pt>
                <c:pt idx="140">
                  <c:v>141062.830019282</c:v>
                </c:pt>
                <c:pt idx="141">
                  <c:v>143776.9203485531</c:v>
                </c:pt>
                <c:pt idx="142">
                  <c:v>146505.7120004411</c:v>
                </c:pt>
                <c:pt idx="143">
                  <c:v>149249.28460711017</c:v>
                </c:pt>
                <c:pt idx="144">
                  <c:v>152007.71823206535</c:v>
                </c:pt>
                <c:pt idx="145">
                  <c:v>154781.09337248903</c:v>
                </c:pt>
                <c:pt idx="146">
                  <c:v>157569.49096159003</c:v>
                </c:pt>
                <c:pt idx="147">
                  <c:v>160372.99237096531</c:v>
                </c:pt>
                <c:pt idx="148">
                  <c:v>163191.67941297471</c:v>
                </c:pt>
                <c:pt idx="149">
                  <c:v>166025.63434312833</c:v>
                </c:pt>
                <c:pt idx="150">
                  <c:v>168874.93986248694</c:v>
                </c:pt>
                <c:pt idx="151">
                  <c:v>171739.67912007539</c:v>
                </c:pt>
                <c:pt idx="152">
                  <c:v>174619.93571530914</c:v>
                </c:pt>
                <c:pt idx="153">
                  <c:v>177515.79370043374</c:v>
                </c:pt>
                <c:pt idx="154">
                  <c:v>180427.33758297775</c:v>
                </c:pt>
                <c:pt idx="155">
                  <c:v>183354.65232821889</c:v>
                </c:pt>
                <c:pt idx="156">
                  <c:v>186297.82336166341</c:v>
                </c:pt>
                <c:pt idx="157">
                  <c:v>189256.93657153909</c:v>
                </c:pt>
                <c:pt idx="158">
                  <c:v>192232.07831130159</c:v>
                </c:pt>
                <c:pt idx="159">
                  <c:v>195223.33540215448</c:v>
                </c:pt>
                <c:pt idx="160">
                  <c:v>198230.79513558283</c:v>
                </c:pt>
                <c:pt idx="161">
                  <c:v>201254.54527590057</c:v>
                </c:pt>
                <c:pt idx="162">
                  <c:v>204294.67406281171</c:v>
                </c:pt>
                <c:pt idx="163">
                  <c:v>207351.27021398526</c:v>
                </c:pt>
                <c:pt idx="164">
                  <c:v>210424.42292764434</c:v>
                </c:pt>
                <c:pt idx="165">
                  <c:v>213514.22188516907</c:v>
                </c:pt>
                <c:pt idx="166">
                  <c:v>216620.75725371373</c:v>
                </c:pt>
                <c:pt idx="167">
                  <c:v>219744.11968883802</c:v>
                </c:pt>
                <c:pt idx="168">
                  <c:v>222884.40033715256</c:v>
                </c:pt>
                <c:pt idx="169">
                  <c:v>226041.6908389788</c:v>
                </c:pt>
                <c:pt idx="170">
                  <c:v>229216.08333102326</c:v>
                </c:pt>
                <c:pt idx="171">
                  <c:v>232407.6704490663</c:v>
                </c:pt>
                <c:pt idx="172">
                  <c:v>235616.54533066539</c:v>
                </c:pt>
                <c:pt idx="173">
                  <c:v>238842.80161787316</c:v>
                </c:pt>
                <c:pt idx="174">
                  <c:v>242086.53345996997</c:v>
                </c:pt>
                <c:pt idx="175">
                  <c:v>245347.83551621146</c:v>
                </c:pt>
                <c:pt idx="176">
                  <c:v>248626.80295859094</c:v>
                </c:pt>
                <c:pt idx="177">
                  <c:v>251923.53147461664</c:v>
                </c:pt>
                <c:pt idx="178">
                  <c:v>255238.11727010415</c:v>
                </c:pt>
                <c:pt idx="179">
                  <c:v>258570.65707198388</c:v>
                </c:pt>
                <c:pt idx="180">
                  <c:v>261921.24813112378</c:v>
                </c:pt>
                <c:pt idx="181">
                  <c:v>265289.98822516738</c:v>
                </c:pt>
                <c:pt idx="182">
                  <c:v>268676.97566138703</c:v>
                </c:pt>
                <c:pt idx="183">
                  <c:v>272082.30927955289</c:v>
                </c:pt>
                <c:pt idx="184">
                  <c:v>275506.08845481713</c:v>
                </c:pt>
                <c:pt idx="185">
                  <c:v>278948.41310061404</c:v>
                </c:pt>
                <c:pt idx="186">
                  <c:v>282409.38367157569</c:v>
                </c:pt>
                <c:pt idx="187">
                  <c:v>285889.1011664634</c:v>
                </c:pt>
                <c:pt idx="188">
                  <c:v>289387.6671311151</c:v>
                </c:pt>
                <c:pt idx="189">
                  <c:v>292905.18366140866</c:v>
                </c:pt>
                <c:pt idx="190">
                  <c:v>296441.7534062413</c:v>
                </c:pt>
                <c:pt idx="191">
                  <c:v>299997.47957052512</c:v>
                </c:pt>
                <c:pt idx="192">
                  <c:v>303572.46591819881</c:v>
                </c:pt>
                <c:pt idx="193">
                  <c:v>307166.81677525572</c:v>
                </c:pt>
                <c:pt idx="194">
                  <c:v>310780.63703278836</c:v>
                </c:pt>
                <c:pt idx="195">
                  <c:v>314414.03215004929</c:v>
                </c:pt>
                <c:pt idx="196">
                  <c:v>318067.10815752874</c:v>
                </c:pt>
                <c:pt idx="197">
                  <c:v>321739.9716600487</c:v>
                </c:pt>
                <c:pt idx="198">
                  <c:v>325432.72983987397</c:v>
                </c:pt>
                <c:pt idx="199">
                  <c:v>329145.49045983993</c:v>
                </c:pt>
                <c:pt idx="200">
                  <c:v>332878.36186649738</c:v>
                </c:pt>
                <c:pt idx="201">
                  <c:v>336631.45299327426</c:v>
                </c:pt>
                <c:pt idx="202">
                  <c:v>340404.87336365448</c:v>
                </c:pt>
                <c:pt idx="203">
                  <c:v>344198.7330943743</c:v>
                </c:pt>
                <c:pt idx="204">
                  <c:v>348013.14289863547</c:v>
                </c:pt>
                <c:pt idx="205">
                  <c:v>347598.2140893364</c:v>
                </c:pt>
                <c:pt idx="206">
                  <c:v>347181.03774898697</c:v>
                </c:pt>
                <c:pt idx="207">
                  <c:v>346761.60170346068</c:v>
                </c:pt>
                <c:pt idx="208">
                  <c:v>346339.89371268777</c:v>
                </c:pt>
                <c:pt idx="209">
                  <c:v>345915.90147029818</c:v>
                </c:pt>
                <c:pt idx="210">
                  <c:v>345489.6126032623</c:v>
                </c:pt>
                <c:pt idx="211">
                  <c:v>345061.01467152999</c:v>
                </c:pt>
                <c:pt idx="212">
                  <c:v>344630.09516766743</c:v>
                </c:pt>
                <c:pt idx="213">
                  <c:v>344196.84151649231</c:v>
                </c:pt>
                <c:pt idx="214">
                  <c:v>343761.24107470666</c:v>
                </c:pt>
                <c:pt idx="215">
                  <c:v>343323.28113052796</c:v>
                </c:pt>
                <c:pt idx="216">
                  <c:v>342882.94890331832</c:v>
                </c:pt>
                <c:pt idx="217">
                  <c:v>342440.23154321127</c:v>
                </c:pt>
                <c:pt idx="218">
                  <c:v>341995.11613073701</c:v>
                </c:pt>
                <c:pt idx="219">
                  <c:v>341547.58967644518</c:v>
                </c:pt>
                <c:pt idx="220">
                  <c:v>341097.63912052591</c:v>
                </c:pt>
                <c:pt idx="221">
                  <c:v>340645.25133242877</c:v>
                </c:pt>
                <c:pt idx="222">
                  <c:v>340190.41311047942</c:v>
                </c:pt>
                <c:pt idx="223">
                  <c:v>339733.11118149455</c:v>
                </c:pt>
                <c:pt idx="224">
                  <c:v>339273.3322003943</c:v>
                </c:pt>
                <c:pt idx="225">
                  <c:v>338811.06274981308</c:v>
                </c:pt>
                <c:pt idx="226">
                  <c:v>338346.28933970787</c:v>
                </c:pt>
                <c:pt idx="227">
                  <c:v>337878.99840696465</c:v>
                </c:pt>
                <c:pt idx="228">
                  <c:v>337409.17631500238</c:v>
                </c:pt>
                <c:pt idx="229">
                  <c:v>336936.80935337528</c:v>
                </c:pt>
                <c:pt idx="230">
                  <c:v>336461.88373737276</c:v>
                </c:pt>
                <c:pt idx="231">
                  <c:v>335984.38560761686</c:v>
                </c:pt>
                <c:pt idx="232">
                  <c:v>335504.30102965812</c:v>
                </c:pt>
                <c:pt idx="233">
                  <c:v>335021.61599356879</c:v>
                </c:pt>
                <c:pt idx="234">
                  <c:v>334536.31641353393</c:v>
                </c:pt>
                <c:pt idx="235">
                  <c:v>334048.38812744059</c:v>
                </c:pt>
                <c:pt idx="236">
                  <c:v>333557.81689646421</c:v>
                </c:pt>
                <c:pt idx="237">
                  <c:v>333064.58840465342</c:v>
                </c:pt>
                <c:pt idx="238">
                  <c:v>332568.68825851195</c:v>
                </c:pt>
                <c:pt idx="239">
                  <c:v>332070.1019865789</c:v>
                </c:pt>
                <c:pt idx="240">
                  <c:v>331568.81503900618</c:v>
                </c:pt>
                <c:pt idx="241">
                  <c:v>331064.81278713414</c:v>
                </c:pt>
                <c:pt idx="242">
                  <c:v>330558.08052306448</c:v>
                </c:pt>
                <c:pt idx="243">
                  <c:v>330048.60345923109</c:v>
                </c:pt>
                <c:pt idx="244">
                  <c:v>329536.36672796862</c:v>
                </c:pt>
                <c:pt idx="245">
                  <c:v>329021.35538107844</c:v>
                </c:pt>
                <c:pt idx="246">
                  <c:v>328503.55438939261</c:v>
                </c:pt>
                <c:pt idx="247">
                  <c:v>327982.94864233513</c:v>
                </c:pt>
                <c:pt idx="248">
                  <c:v>327459.52294748113</c:v>
                </c:pt>
                <c:pt idx="249">
                  <c:v>326933.26203011331</c:v>
                </c:pt>
                <c:pt idx="250">
                  <c:v>326404.15053277643</c:v>
                </c:pt>
                <c:pt idx="251">
                  <c:v>325872.17301482899</c:v>
                </c:pt>
                <c:pt idx="252">
                  <c:v>325337.31395199266</c:v>
                </c:pt>
                <c:pt idx="253">
                  <c:v>324799.55773589929</c:v>
                </c:pt>
                <c:pt idx="254">
                  <c:v>324258.88867363543</c:v>
                </c:pt>
                <c:pt idx="255">
                  <c:v>323715.29098728427</c:v>
                </c:pt>
                <c:pt idx="256">
                  <c:v>323168.74881346541</c:v>
                </c:pt>
                <c:pt idx="257">
                  <c:v>322619.24620287167</c:v>
                </c:pt>
                <c:pt idx="258">
                  <c:v>322066.76711980387</c:v>
                </c:pt>
                <c:pt idx="259">
                  <c:v>321511.29544170282</c:v>
                </c:pt>
                <c:pt idx="260">
                  <c:v>320952.81495867873</c:v>
                </c:pt>
                <c:pt idx="261">
                  <c:v>320391.30937303824</c:v>
                </c:pt>
                <c:pt idx="262">
                  <c:v>319826.76229880884</c:v>
                </c:pt>
                <c:pt idx="263">
                  <c:v>319259.15726126073</c:v>
                </c:pt>
                <c:pt idx="264">
                  <c:v>318688.47769642586</c:v>
                </c:pt>
                <c:pt idx="265">
                  <c:v>318114.70695061481</c:v>
                </c:pt>
                <c:pt idx="266">
                  <c:v>317537.82827993063</c:v>
                </c:pt>
                <c:pt idx="267">
                  <c:v>316957.82484978024</c:v>
                </c:pt>
                <c:pt idx="268">
                  <c:v>316374.67973438324</c:v>
                </c:pt>
                <c:pt idx="269">
                  <c:v>315788.37591627782</c:v>
                </c:pt>
                <c:pt idx="270">
                  <c:v>315198.8962858243</c:v>
                </c:pt>
                <c:pt idx="271">
                  <c:v>314606.22364070587</c:v>
                </c:pt>
                <c:pt idx="272">
                  <c:v>314010.34068542637</c:v>
                </c:pt>
                <c:pt idx="273">
                  <c:v>313411.23003080575</c:v>
                </c:pt>
                <c:pt idx="274">
                  <c:v>312808.87419347261</c:v>
                </c:pt>
                <c:pt idx="275">
                  <c:v>312203.2555953539</c:v>
                </c:pt>
                <c:pt idx="276">
                  <c:v>311594.35656316206</c:v>
                </c:pt>
                <c:pt idx="277">
                  <c:v>310982.1593278792</c:v>
                </c:pt>
                <c:pt idx="278">
                  <c:v>310366.64602423855</c:v>
                </c:pt>
                <c:pt idx="279">
                  <c:v>309747.79869020317</c:v>
                </c:pt>
                <c:pt idx="280">
                  <c:v>309125.59926644177</c:v>
                </c:pt>
                <c:pt idx="281">
                  <c:v>308500.02959580166</c:v>
                </c:pt>
                <c:pt idx="282">
                  <c:v>307871.07142277894</c:v>
                </c:pt>
                <c:pt idx="283">
                  <c:v>307238.70639298565</c:v>
                </c:pt>
                <c:pt idx="284">
                  <c:v>306602.91605261434</c:v>
                </c:pt>
                <c:pt idx="285">
                  <c:v>305963.68184789934</c:v>
                </c:pt>
                <c:pt idx="286">
                  <c:v>305320.98512457544</c:v>
                </c:pt>
                <c:pt idx="287">
                  <c:v>304674.80712733354</c:v>
                </c:pt>
                <c:pt idx="288">
                  <c:v>304025.12899927323</c:v>
                </c:pt>
                <c:pt idx="289">
                  <c:v>303371.93178135261</c:v>
                </c:pt>
                <c:pt idx="290">
                  <c:v>302715.19641183491</c:v>
                </c:pt>
                <c:pt idx="291">
                  <c:v>302054.90372573235</c:v>
                </c:pt>
                <c:pt idx="292">
                  <c:v>301391.03445424675</c:v>
                </c:pt>
                <c:pt idx="293">
                  <c:v>300723.56922420725</c:v>
                </c:pt>
                <c:pt idx="294">
                  <c:v>300052.48855750507</c:v>
                </c:pt>
                <c:pt idx="295">
                  <c:v>299377.7728705249</c:v>
                </c:pt>
                <c:pt idx="296">
                  <c:v>298699.40247357357</c:v>
                </c:pt>
                <c:pt idx="297">
                  <c:v>298017.35757030541</c:v>
                </c:pt>
                <c:pt idx="298">
                  <c:v>297331.61825714458</c:v>
                </c:pt>
                <c:pt idx="299">
                  <c:v>296642.16452270414</c:v>
                </c:pt>
                <c:pt idx="300">
                  <c:v>295948.97624720214</c:v>
                </c:pt>
              </c:numCache>
            </c:numRef>
          </c:val>
        </c:ser>
        <c:ser>
          <c:idx val="11"/>
          <c:order val="8"/>
          <c:tx>
            <c:strRef>
              <c:f>Data!$O$13</c:f>
              <c:strCache>
                <c:ptCount val="1"/>
                <c:pt idx="0">
                  <c:v>USAA IRA - Chris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Data!$O$14:$O$315</c:f>
              <c:numCache>
                <c:formatCode>#,##0.00_);[Red]\(#,##0.00\)</c:formatCode>
                <c:ptCount val="302"/>
                <c:pt idx="0">
                  <c:v>2018.13</c:v>
                </c:pt>
                <c:pt idx="1">
                  <c:v>2015.6233333333334</c:v>
                </c:pt>
                <c:pt idx="2">
                  <c:v>2013.1166666666666</c:v>
                </c:pt>
                <c:pt idx="3">
                  <c:v>2010.61</c:v>
                </c:pt>
                <c:pt idx="4">
                  <c:v>2041.6699999999998</c:v>
                </c:pt>
                <c:pt idx="5">
                  <c:v>2072.73</c:v>
                </c:pt>
                <c:pt idx="6">
                  <c:v>2103.79</c:v>
                </c:pt>
                <c:pt idx="7">
                  <c:v>2124.5</c:v>
                </c:pt>
                <c:pt idx="8">
                  <c:v>2145.21</c:v>
                </c:pt>
                <c:pt idx="9">
                  <c:v>2165.92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2"/>
          <c:order val="9"/>
          <c:tx>
            <c:strRef>
              <c:f>Data!$P$13</c:f>
              <c:strCache>
                <c:ptCount val="1"/>
                <c:pt idx="0">
                  <c:v>USAA Roth IRA - Chris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Data!$P$14:$P$315</c:f>
              <c:numCache>
                <c:formatCode>#,##0.00_);[Red]\(#,##0.00\)</c:formatCode>
                <c:ptCount val="302"/>
                <c:pt idx="0">
                  <c:v>1895.32</c:v>
                </c:pt>
                <c:pt idx="1">
                  <c:v>1966.04</c:v>
                </c:pt>
                <c:pt idx="2">
                  <c:v>2036.76</c:v>
                </c:pt>
                <c:pt idx="3">
                  <c:v>2018.62</c:v>
                </c:pt>
                <c:pt idx="4">
                  <c:v>2079.105</c:v>
                </c:pt>
                <c:pt idx="5">
                  <c:v>2139.59</c:v>
                </c:pt>
                <c:pt idx="6">
                  <c:v>2121.92</c:v>
                </c:pt>
                <c:pt idx="7">
                  <c:v>2179.21</c:v>
                </c:pt>
                <c:pt idx="8">
                  <c:v>2236.5</c:v>
                </c:pt>
                <c:pt idx="9">
                  <c:v>2201.48</c:v>
                </c:pt>
                <c:pt idx="10">
                  <c:v>2215.4499999999998</c:v>
                </c:pt>
                <c:pt idx="11">
                  <c:v>2229.42</c:v>
                </c:pt>
                <c:pt idx="12">
                  <c:v>2258.31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4"/>
          <c:order val="10"/>
          <c:tx>
            <c:strRef>
              <c:f>Data!$X$13</c:f>
              <c:strCache>
                <c:ptCount val="1"/>
                <c:pt idx="0">
                  <c:v>Edward Jones IRA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Data!$X$14:$X$315</c:f>
              <c:numCache>
                <c:formatCode>#,##0.00_);[Red]\(#,##0.00\)</c:formatCode>
                <c:ptCount val="302"/>
                <c:pt idx="0">
                  <c:v>5506.8</c:v>
                </c:pt>
                <c:pt idx="1">
                  <c:v>5407.1</c:v>
                </c:pt>
                <c:pt idx="2">
                  <c:v>5446.52</c:v>
                </c:pt>
                <c:pt idx="3">
                  <c:v>5478.2</c:v>
                </c:pt>
                <c:pt idx="4">
                  <c:v>5651.06</c:v>
                </c:pt>
                <c:pt idx="5">
                  <c:v>5738.8</c:v>
                </c:pt>
                <c:pt idx="6">
                  <c:v>5790.94</c:v>
                </c:pt>
                <c:pt idx="7">
                  <c:v>5846.83</c:v>
                </c:pt>
                <c:pt idx="8">
                  <c:v>5955.21</c:v>
                </c:pt>
                <c:pt idx="9">
                  <c:v>5969.73</c:v>
                </c:pt>
                <c:pt idx="10">
                  <c:v>6097.6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3"/>
          <c:order val="11"/>
          <c:tx>
            <c:strRef>
              <c:f>Data!$Q$13</c:f>
              <c:strCache>
                <c:ptCount val="1"/>
                <c:pt idx="0">
                  <c:v>Vanguard IRA - Chris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Data!$Q$14:$Q$315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2170.19</c:v>
                </c:pt>
                <c:pt idx="11">
                  <c:v>8280.17</c:v>
                </c:pt>
                <c:pt idx="12">
                  <c:v>8357.69</c:v>
                </c:pt>
                <c:pt idx="13">
                  <c:v>8504.2900000000009</c:v>
                </c:pt>
                <c:pt idx="14">
                  <c:v>8659.92</c:v>
                </c:pt>
                <c:pt idx="15">
                  <c:v>8739.07</c:v>
                </c:pt>
                <c:pt idx="16">
                  <c:v>9050.3700000000008</c:v>
                </c:pt>
                <c:pt idx="17">
                  <c:v>8827.0499999999993</c:v>
                </c:pt>
                <c:pt idx="18">
                  <c:v>8874.8631874999992</c:v>
                </c:pt>
                <c:pt idx="19">
                  <c:v>8922.9353630989572</c:v>
                </c:pt>
                <c:pt idx="20">
                  <c:v>8971.2679296490769</c:v>
                </c:pt>
                <c:pt idx="21">
                  <c:v>9019.862297601343</c:v>
                </c:pt>
                <c:pt idx="22">
                  <c:v>9068.719885046683</c:v>
                </c:pt>
                <c:pt idx="23">
                  <c:v>9117.8421177573528</c:v>
                </c:pt>
                <c:pt idx="24">
                  <c:v>9167.2304292285389</c:v>
                </c:pt>
                <c:pt idx="25">
                  <c:v>9216.8862607201936</c:v>
                </c:pt>
                <c:pt idx="26">
                  <c:v>9266.8110612990949</c:v>
                </c:pt>
                <c:pt idx="27">
                  <c:v>9317.0062878811314</c:v>
                </c:pt>
                <c:pt idx="28">
                  <c:v>9367.4734052738204</c:v>
                </c:pt>
                <c:pt idx="29">
                  <c:v>9418.2138862190532</c:v>
                </c:pt>
                <c:pt idx="30">
                  <c:v>9469.2292114360735</c:v>
                </c:pt>
                <c:pt idx="31">
                  <c:v>9520.520869664686</c:v>
                </c:pt>
                <c:pt idx="32">
                  <c:v>9572.0903577087029</c:v>
                </c:pt>
                <c:pt idx="33">
                  <c:v>9623.9391804796251</c:v>
                </c:pt>
                <c:pt idx="34">
                  <c:v>9676.0688510405562</c:v>
                </c:pt>
                <c:pt idx="35">
                  <c:v>9728.4808906503586</c:v>
                </c:pt>
                <c:pt idx="36">
                  <c:v>9781.1768288080475</c:v>
                </c:pt>
                <c:pt idx="37">
                  <c:v>9834.1582032974238</c:v>
                </c:pt>
                <c:pt idx="38">
                  <c:v>9887.426560231952</c:v>
                </c:pt>
                <c:pt idx="39">
                  <c:v>9940.9834540998745</c:v>
                </c:pt>
                <c:pt idx="40">
                  <c:v>9994.8304478095815</c:v>
                </c:pt>
                <c:pt idx="41">
                  <c:v>10048.969112735216</c:v>
                </c:pt>
                <c:pt idx="42">
                  <c:v>10103.401028762531</c:v>
                </c:pt>
                <c:pt idx="43">
                  <c:v>10158.127784334994</c:v>
                </c:pt>
                <c:pt idx="44">
                  <c:v>10213.150976500143</c:v>
                </c:pt>
                <c:pt idx="45">
                  <c:v>11185.142210956184</c:v>
                </c:pt>
                <c:pt idx="46">
                  <c:v>12162.398397932197</c:v>
                </c:pt>
                <c:pt idx="47">
                  <c:v>13144.948055920995</c:v>
                </c:pt>
                <c:pt idx="48">
                  <c:v>14132.819857890567</c:v>
                </c:pt>
                <c:pt idx="49">
                  <c:v>15126.042632120807</c:v>
                </c:pt>
                <c:pt idx="50">
                  <c:v>16124.645363044794</c:v>
                </c:pt>
                <c:pt idx="51">
                  <c:v>17128.657192094619</c:v>
                </c:pt>
                <c:pt idx="52">
                  <c:v>18138.107418551797</c:v>
                </c:pt>
                <c:pt idx="53">
                  <c:v>19153.025500402284</c:v>
                </c:pt>
                <c:pt idx="54">
                  <c:v>20173.441055196126</c:v>
                </c:pt>
                <c:pt idx="55">
                  <c:v>21199.38386091177</c:v>
                </c:pt>
                <c:pt idx="56">
                  <c:v>22230.883856825039</c:v>
                </c:pt>
                <c:pt idx="57">
                  <c:v>23267.971144382838</c:v>
                </c:pt>
                <c:pt idx="58">
                  <c:v>24310.675988081577</c:v>
                </c:pt>
                <c:pt idx="59">
                  <c:v>25359.02881635035</c:v>
                </c:pt>
                <c:pt idx="60">
                  <c:v>26413.060222438911</c:v>
                </c:pt>
                <c:pt idx="61">
                  <c:v>27472.800965310453</c:v>
                </c:pt>
                <c:pt idx="62">
                  <c:v>28538.281970539218</c:v>
                </c:pt>
                <c:pt idx="63">
                  <c:v>29609.53433121297</c:v>
                </c:pt>
                <c:pt idx="64">
                  <c:v>30686.589308840372</c:v>
                </c:pt>
                <c:pt idx="65">
                  <c:v>31769.478334263255</c:v>
                </c:pt>
                <c:pt idx="66">
                  <c:v>32858.23300857385</c:v>
                </c:pt>
                <c:pt idx="67">
                  <c:v>33952.885104036955</c:v>
                </c:pt>
                <c:pt idx="68">
                  <c:v>35053.466565017152</c:v>
                </c:pt>
                <c:pt idx="69">
                  <c:v>36160.009508910996</c:v>
                </c:pt>
                <c:pt idx="70">
                  <c:v>37272.546227084262</c:v>
                </c:pt>
                <c:pt idx="71">
                  <c:v>38391.109185814297</c:v>
                </c:pt>
                <c:pt idx="72">
                  <c:v>39515.73102723746</c:v>
                </c:pt>
                <c:pt idx="73">
                  <c:v>40646.444570301661</c:v>
                </c:pt>
                <c:pt idx="74">
                  <c:v>41783.28281172413</c:v>
                </c:pt>
                <c:pt idx="75">
                  <c:v>42926.278926954299</c:v>
                </c:pt>
                <c:pt idx="76">
                  <c:v>44075.466271141966</c:v>
                </c:pt>
                <c:pt idx="77">
                  <c:v>45230.878380110647</c:v>
                </c:pt>
                <c:pt idx="78">
                  <c:v>46392.548971336248</c:v>
                </c:pt>
                <c:pt idx="79">
                  <c:v>47560.511944930986</c:v>
                </c:pt>
                <c:pt idx="80">
                  <c:v>48734.801384632694</c:v>
                </c:pt>
                <c:pt idx="81">
                  <c:v>49915.451558799454</c:v>
                </c:pt>
                <c:pt idx="82">
                  <c:v>51102.496921409613</c:v>
                </c:pt>
                <c:pt idx="83">
                  <c:v>52295.972113067248</c:v>
                </c:pt>
                <c:pt idx="84">
                  <c:v>53495.91196201303</c:v>
                </c:pt>
                <c:pt idx="85">
                  <c:v>54702.3514851406</c:v>
                </c:pt>
                <c:pt idx="86">
                  <c:v>55915.325889018444</c:v>
                </c:pt>
                <c:pt idx="87">
                  <c:v>57134.870570917294</c:v>
                </c:pt>
                <c:pt idx="88">
                  <c:v>58361.021119843092</c:v>
                </c:pt>
                <c:pt idx="89">
                  <c:v>59593.813317575572</c:v>
                </c:pt>
                <c:pt idx="90">
                  <c:v>60833.283139712439</c:v>
                </c:pt>
                <c:pt idx="91">
                  <c:v>62079.466756719215</c:v>
                </c:pt>
                <c:pt idx="92">
                  <c:v>63332.400534984779</c:v>
                </c:pt>
                <c:pt idx="93">
                  <c:v>64592.121037882614</c:v>
                </c:pt>
                <c:pt idx="94">
                  <c:v>65858.665026837814</c:v>
                </c:pt>
                <c:pt idx="95">
                  <c:v>67132.069462399857</c:v>
                </c:pt>
                <c:pt idx="96">
                  <c:v>68412.371505321193</c:v>
                </c:pt>
                <c:pt idx="97">
                  <c:v>69699.608517641682</c:v>
                </c:pt>
                <c:pt idx="98">
                  <c:v>70993.818063778905</c:v>
                </c:pt>
                <c:pt idx="99">
                  <c:v>72295.037911624371</c:v>
                </c:pt>
                <c:pt idx="100">
                  <c:v>73603.306033645669</c:v>
                </c:pt>
                <c:pt idx="101">
                  <c:v>74918.660607994578</c:v>
                </c:pt>
                <c:pt idx="102">
                  <c:v>76241.14001962122</c:v>
                </c:pt>
                <c:pt idx="103">
                  <c:v>77570.782861394167</c:v>
                </c:pt>
                <c:pt idx="104">
                  <c:v>78907.627935226716</c:v>
                </c:pt>
                <c:pt idx="105">
                  <c:v>80251.714253209197</c:v>
                </c:pt>
                <c:pt idx="106">
                  <c:v>81603.081038747405</c:v>
                </c:pt>
                <c:pt idx="107">
                  <c:v>82961.76772770728</c:v>
                </c:pt>
                <c:pt idx="108">
                  <c:v>84327.813969565686</c:v>
                </c:pt>
                <c:pt idx="109">
                  <c:v>85701.259628567495</c:v>
                </c:pt>
                <c:pt idx="110">
                  <c:v>87082.144784888907</c:v>
                </c:pt>
                <c:pt idx="111">
                  <c:v>88470.509735807049</c:v>
                </c:pt>
                <c:pt idx="112">
                  <c:v>89866.394996875999</c:v>
                </c:pt>
                <c:pt idx="113">
                  <c:v>91269.841303109075</c:v>
                </c:pt>
                <c:pt idx="114">
                  <c:v>92680.889610167578</c:v>
                </c:pt>
                <c:pt idx="115">
                  <c:v>94099.581095555986</c:v>
                </c:pt>
                <c:pt idx="116">
                  <c:v>95525.957159823578</c:v>
                </c:pt>
                <c:pt idx="117">
                  <c:v>96960.05942777262</c:v>
                </c:pt>
                <c:pt idx="118">
                  <c:v>98401.929749673058</c:v>
                </c:pt>
                <c:pt idx="119">
                  <c:v>99851.610202483789</c:v>
                </c:pt>
                <c:pt idx="120">
                  <c:v>101309.14309108058</c:v>
                </c:pt>
                <c:pt idx="121">
                  <c:v>102774.5709494906</c:v>
                </c:pt>
                <c:pt idx="122">
                  <c:v>104247.93654213367</c:v>
                </c:pt>
                <c:pt idx="123">
                  <c:v>105729.28286507023</c:v>
                </c:pt>
                <c:pt idx="124">
                  <c:v>107218.65314725603</c:v>
                </c:pt>
                <c:pt idx="125">
                  <c:v>108716.09085180366</c:v>
                </c:pt>
                <c:pt idx="126">
                  <c:v>110221.63967725093</c:v>
                </c:pt>
                <c:pt idx="127">
                  <c:v>111735.34355883604</c:v>
                </c:pt>
                <c:pt idx="128">
                  <c:v>113257.24666977974</c:v>
                </c:pt>
                <c:pt idx="129">
                  <c:v>114787.39342257437</c:v>
                </c:pt>
                <c:pt idx="130">
                  <c:v>116325.82847027999</c:v>
                </c:pt>
                <c:pt idx="131">
                  <c:v>117872.59670782734</c:v>
                </c:pt>
                <c:pt idx="132">
                  <c:v>119427.74327332807</c:v>
                </c:pt>
                <c:pt idx="133">
                  <c:v>120991.31354939193</c:v>
                </c:pt>
                <c:pt idx="134">
                  <c:v>122563.35316445112</c:v>
                </c:pt>
                <c:pt idx="135">
                  <c:v>124143.9079940919</c:v>
                </c:pt>
                <c:pt idx="136">
                  <c:v>125733.02416239324</c:v>
                </c:pt>
                <c:pt idx="137">
                  <c:v>127330.74804327286</c:v>
                </c:pt>
                <c:pt idx="138">
                  <c:v>128937.12626184059</c:v>
                </c:pt>
                <c:pt idx="139">
                  <c:v>130552.20569575889</c:v>
                </c:pt>
                <c:pt idx="140">
                  <c:v>132176.03347661093</c:v>
                </c:pt>
                <c:pt idx="141">
                  <c:v>133808.65699127593</c:v>
                </c:pt>
                <c:pt idx="142">
                  <c:v>135450.12388331202</c:v>
                </c:pt>
                <c:pt idx="143">
                  <c:v>137100.48205434665</c:v>
                </c:pt>
                <c:pt idx="144">
                  <c:v>138759.77966547437</c:v>
                </c:pt>
                <c:pt idx="145">
                  <c:v>140428.06513866238</c:v>
                </c:pt>
                <c:pt idx="146">
                  <c:v>142105.38715816347</c:v>
                </c:pt>
                <c:pt idx="147">
                  <c:v>143791.79467193686</c:v>
                </c:pt>
                <c:pt idx="148">
                  <c:v>145487.33689307654</c:v>
                </c:pt>
                <c:pt idx="149">
                  <c:v>147192.0633012474</c:v>
                </c:pt>
                <c:pt idx="150">
                  <c:v>148906.02364412916</c:v>
                </c:pt>
                <c:pt idx="151">
                  <c:v>150629.2679388682</c:v>
                </c:pt>
                <c:pt idx="152">
                  <c:v>152361.84647353709</c:v>
                </c:pt>
                <c:pt idx="153">
                  <c:v>154103.80980860209</c:v>
                </c:pt>
                <c:pt idx="154">
                  <c:v>155855.20877839869</c:v>
                </c:pt>
                <c:pt idx="155">
                  <c:v>157616.09449261503</c:v>
                </c:pt>
                <c:pt idx="156">
                  <c:v>159386.51833778337</c:v>
                </c:pt>
                <c:pt idx="157">
                  <c:v>161166.53197877971</c:v>
                </c:pt>
                <c:pt idx="158">
                  <c:v>162956.18736033145</c:v>
                </c:pt>
                <c:pt idx="159">
                  <c:v>164755.53670853324</c:v>
                </c:pt>
                <c:pt idx="160">
                  <c:v>166564.63253237115</c:v>
                </c:pt>
                <c:pt idx="161">
                  <c:v>168383.52762525485</c:v>
                </c:pt>
                <c:pt idx="162">
                  <c:v>170212.27506655833</c:v>
                </c:pt>
                <c:pt idx="163">
                  <c:v>172050.92822316886</c:v>
                </c:pt>
                <c:pt idx="164">
                  <c:v>173899.54075104438</c:v>
                </c:pt>
                <c:pt idx="165">
                  <c:v>175758.16659677922</c:v>
                </c:pt>
                <c:pt idx="166">
                  <c:v>177626.85999917844</c:v>
                </c:pt>
                <c:pt idx="167">
                  <c:v>179505.67549084066</c:v>
                </c:pt>
                <c:pt idx="168">
                  <c:v>181394.66789974939</c:v>
                </c:pt>
                <c:pt idx="169">
                  <c:v>183293.89235087304</c:v>
                </c:pt>
                <c:pt idx="170">
                  <c:v>185203.40426777361</c:v>
                </c:pt>
                <c:pt idx="171">
                  <c:v>187123.25937422406</c:v>
                </c:pt>
                <c:pt idx="172">
                  <c:v>189053.51369583444</c:v>
                </c:pt>
                <c:pt idx="173">
                  <c:v>190994.2235616869</c:v>
                </c:pt>
                <c:pt idx="174">
                  <c:v>192945.44560597939</c:v>
                </c:pt>
                <c:pt idx="175">
                  <c:v>194907.23676967845</c:v>
                </c:pt>
                <c:pt idx="176">
                  <c:v>196879.65430218089</c:v>
                </c:pt>
                <c:pt idx="177">
                  <c:v>198862.75576298439</c:v>
                </c:pt>
                <c:pt idx="178">
                  <c:v>200856.59902336725</c:v>
                </c:pt>
                <c:pt idx="179">
                  <c:v>202861.24226807716</c:v>
                </c:pt>
                <c:pt idx="180">
                  <c:v>204876.74399702926</c:v>
                </c:pt>
                <c:pt idx="181">
                  <c:v>206903.16302701319</c:v>
                </c:pt>
                <c:pt idx="182">
                  <c:v>208940.55849340951</c:v>
                </c:pt>
                <c:pt idx="183">
                  <c:v>210988.98985191548</c:v>
                </c:pt>
                <c:pt idx="184">
                  <c:v>213048.51688028005</c:v>
                </c:pt>
                <c:pt idx="185">
                  <c:v>215119.19968004824</c:v>
                </c:pt>
                <c:pt idx="186">
                  <c:v>217201.09867831517</c:v>
                </c:pt>
                <c:pt idx="187">
                  <c:v>219294.2746294894</c:v>
                </c:pt>
                <c:pt idx="188">
                  <c:v>221398.78861706582</c:v>
                </c:pt>
                <c:pt idx="189">
                  <c:v>223514.70205540827</c:v>
                </c:pt>
                <c:pt idx="190">
                  <c:v>225642.07669154173</c:v>
                </c:pt>
                <c:pt idx="191">
                  <c:v>227780.97460695426</c:v>
                </c:pt>
                <c:pt idx="192">
                  <c:v>229931.45821940861</c:v>
                </c:pt>
                <c:pt idx="193">
                  <c:v>232093.59028476375</c:v>
                </c:pt>
                <c:pt idx="194">
                  <c:v>234267.43389880622</c:v>
                </c:pt>
                <c:pt idx="195">
                  <c:v>236453.05249909143</c:v>
                </c:pt>
                <c:pt idx="196">
                  <c:v>238650.50986679486</c:v>
                </c:pt>
                <c:pt idx="197">
                  <c:v>240859.87012857336</c:v>
                </c:pt>
                <c:pt idx="198">
                  <c:v>243081.19775843646</c:v>
                </c:pt>
                <c:pt idx="199">
                  <c:v>245314.55757962802</c:v>
                </c:pt>
                <c:pt idx="200">
                  <c:v>247560.01476651768</c:v>
                </c:pt>
                <c:pt idx="201">
                  <c:v>249817.634846503</c:v>
                </c:pt>
                <c:pt idx="202">
                  <c:v>252087.48370192156</c:v>
                </c:pt>
                <c:pt idx="203">
                  <c:v>254369.62757197366</c:v>
                </c:pt>
                <c:pt idx="204">
                  <c:v>256664.13305465519</c:v>
                </c:pt>
                <c:pt idx="205">
                  <c:v>258512.39710870123</c:v>
                </c:pt>
                <c:pt idx="206">
                  <c:v>260370.67259304004</c:v>
                </c:pt>
                <c:pt idx="207">
                  <c:v>262239.01373625232</c:v>
                </c:pt>
                <c:pt idx="208">
                  <c:v>264117.47506065702</c:v>
                </c:pt>
                <c:pt idx="209">
                  <c:v>266006.11138390226</c:v>
                </c:pt>
                <c:pt idx="210">
                  <c:v>267904.97782056505</c:v>
                </c:pt>
                <c:pt idx="211">
                  <c:v>269814.12978375977</c:v>
                </c:pt>
                <c:pt idx="212">
                  <c:v>271733.62298675516</c:v>
                </c:pt>
                <c:pt idx="213">
                  <c:v>273663.5134446001</c:v>
                </c:pt>
                <c:pt idx="214">
                  <c:v>275603.85747575836</c:v>
                </c:pt>
                <c:pt idx="215">
                  <c:v>277554.71170375205</c:v>
                </c:pt>
                <c:pt idx="216">
                  <c:v>279516.13305881404</c:v>
                </c:pt>
                <c:pt idx="217">
                  <c:v>281488.17877954926</c:v>
                </c:pt>
                <c:pt idx="218">
                  <c:v>283470.90641460515</c:v>
                </c:pt>
                <c:pt idx="219">
                  <c:v>285464.37382435094</c:v>
                </c:pt>
                <c:pt idx="220">
                  <c:v>287468.6391825662</c:v>
                </c:pt>
                <c:pt idx="221">
                  <c:v>289483.76097813842</c:v>
                </c:pt>
                <c:pt idx="222">
                  <c:v>291509.79801676999</c:v>
                </c:pt>
                <c:pt idx="223">
                  <c:v>293546.80942269415</c:v>
                </c:pt>
                <c:pt idx="224">
                  <c:v>295594.85464040039</c:v>
                </c:pt>
                <c:pt idx="225">
                  <c:v>297653.99343636923</c:v>
                </c:pt>
                <c:pt idx="226">
                  <c:v>299724.2859008162</c:v>
                </c:pt>
                <c:pt idx="227">
                  <c:v>301805.79244944564</c:v>
                </c:pt>
                <c:pt idx="228">
                  <c:v>303898.57382521348</c:v>
                </c:pt>
                <c:pt idx="229">
                  <c:v>306002.69110010006</c:v>
                </c:pt>
                <c:pt idx="230">
                  <c:v>308118.20567689225</c:v>
                </c:pt>
                <c:pt idx="231">
                  <c:v>310245.17929097544</c:v>
                </c:pt>
                <c:pt idx="232">
                  <c:v>312383.6740121349</c:v>
                </c:pt>
                <c:pt idx="233">
                  <c:v>314533.75224636728</c:v>
                </c:pt>
                <c:pt idx="234">
                  <c:v>316695.47673770174</c:v>
                </c:pt>
                <c:pt idx="235">
                  <c:v>318868.91057003097</c:v>
                </c:pt>
                <c:pt idx="236">
                  <c:v>321054.11716895195</c:v>
                </c:pt>
                <c:pt idx="237">
                  <c:v>323251.16030361713</c:v>
                </c:pt>
                <c:pt idx="238">
                  <c:v>325460.10408859508</c:v>
                </c:pt>
                <c:pt idx="239">
                  <c:v>327681.01298574166</c:v>
                </c:pt>
                <c:pt idx="240">
                  <c:v>329913.95180608111</c:v>
                </c:pt>
                <c:pt idx="241">
                  <c:v>332158.98571169737</c:v>
                </c:pt>
                <c:pt idx="242">
                  <c:v>334416.18021763576</c:v>
                </c:pt>
                <c:pt idx="243">
                  <c:v>336685.6011938146</c:v>
                </c:pt>
                <c:pt idx="244">
                  <c:v>338967.31486694777</c:v>
                </c:pt>
                <c:pt idx="245">
                  <c:v>341261.38782247709</c:v>
                </c:pt>
                <c:pt idx="246">
                  <c:v>343567.88700651552</c:v>
                </c:pt>
                <c:pt idx="247">
                  <c:v>345886.87972780078</c:v>
                </c:pt>
                <c:pt idx="248">
                  <c:v>348218.4336596597</c:v>
                </c:pt>
                <c:pt idx="249">
                  <c:v>350562.61684198288</c:v>
                </c:pt>
                <c:pt idx="250">
                  <c:v>352919.4976832103</c:v>
                </c:pt>
                <c:pt idx="251">
                  <c:v>355289.14496232767</c:v>
                </c:pt>
                <c:pt idx="252">
                  <c:v>357671.62783087359</c:v>
                </c:pt>
                <c:pt idx="253">
                  <c:v>360067.0158149575</c:v>
                </c:pt>
                <c:pt idx="254">
                  <c:v>362475.3788172885</c:v>
                </c:pt>
                <c:pt idx="255">
                  <c:v>364896.78711921547</c:v>
                </c:pt>
                <c:pt idx="256">
                  <c:v>367331.31138277787</c:v>
                </c:pt>
                <c:pt idx="257">
                  <c:v>369779.02265276795</c:v>
                </c:pt>
                <c:pt idx="258">
                  <c:v>372239.99235880375</c:v>
                </c:pt>
                <c:pt idx="259">
                  <c:v>374714.29231741396</c:v>
                </c:pt>
                <c:pt idx="260">
                  <c:v>377201.9947341333</c:v>
                </c:pt>
                <c:pt idx="261">
                  <c:v>379703.17220560985</c:v>
                </c:pt>
                <c:pt idx="262">
                  <c:v>382217.8977217236</c:v>
                </c:pt>
                <c:pt idx="263">
                  <c:v>384746.24466771627</c:v>
                </c:pt>
                <c:pt idx="264">
                  <c:v>387288.28682633309</c:v>
                </c:pt>
                <c:pt idx="265">
                  <c:v>389844.09837997571</c:v>
                </c:pt>
                <c:pt idx="266">
                  <c:v>392413.75391286722</c:v>
                </c:pt>
                <c:pt idx="267">
                  <c:v>394997.32841322856</c:v>
                </c:pt>
                <c:pt idx="268">
                  <c:v>397594.89727546688</c:v>
                </c:pt>
                <c:pt idx="269">
                  <c:v>400206.53630237567</c:v>
                </c:pt>
                <c:pt idx="270">
                  <c:v>402832.32170734688</c:v>
                </c:pt>
                <c:pt idx="271">
                  <c:v>405472.33011659503</c:v>
                </c:pt>
                <c:pt idx="272">
                  <c:v>408126.63857139327</c:v>
                </c:pt>
                <c:pt idx="273">
                  <c:v>410795.32453032164</c:v>
                </c:pt>
                <c:pt idx="274">
                  <c:v>413478.46587152756</c:v>
                </c:pt>
                <c:pt idx="275">
                  <c:v>416176.14089499833</c:v>
                </c:pt>
                <c:pt idx="276">
                  <c:v>418888.42832484626</c:v>
                </c:pt>
                <c:pt idx="277">
                  <c:v>421615.40731160587</c:v>
                </c:pt>
                <c:pt idx="278">
                  <c:v>424357.15743454371</c:v>
                </c:pt>
                <c:pt idx="279">
                  <c:v>427113.75870398083</c:v>
                </c:pt>
                <c:pt idx="280">
                  <c:v>429885.29156362737</c:v>
                </c:pt>
                <c:pt idx="281">
                  <c:v>432671.83689293033</c:v>
                </c:pt>
                <c:pt idx="282">
                  <c:v>435473.47600943368</c:v>
                </c:pt>
                <c:pt idx="283">
                  <c:v>438290.29067115142</c:v>
                </c:pt>
                <c:pt idx="284">
                  <c:v>441122.36307895347</c:v>
                </c:pt>
                <c:pt idx="285">
                  <c:v>443969.77587896446</c:v>
                </c:pt>
                <c:pt idx="286">
                  <c:v>446832.61216497549</c:v>
                </c:pt>
                <c:pt idx="287">
                  <c:v>449710.9554808691</c:v>
                </c:pt>
                <c:pt idx="288">
                  <c:v>452604.88982305716</c:v>
                </c:pt>
                <c:pt idx="289">
                  <c:v>455514.49964293203</c:v>
                </c:pt>
                <c:pt idx="290">
                  <c:v>458439.86984933127</c:v>
                </c:pt>
                <c:pt idx="291">
                  <c:v>461381.08581101516</c:v>
                </c:pt>
                <c:pt idx="292">
                  <c:v>464338.23335915816</c:v>
                </c:pt>
                <c:pt idx="293">
                  <c:v>467311.39878985361</c:v>
                </c:pt>
                <c:pt idx="294">
                  <c:v>470300.66886663198</c:v>
                </c:pt>
                <c:pt idx="295">
                  <c:v>473306.13082299288</c:v>
                </c:pt>
                <c:pt idx="296">
                  <c:v>476327.87236495077</c:v>
                </c:pt>
                <c:pt idx="297">
                  <c:v>479365.98167359427</c:v>
                </c:pt>
                <c:pt idx="298">
                  <c:v>482420.54740765959</c:v>
                </c:pt>
                <c:pt idx="299">
                  <c:v>485491.65870611777</c:v>
                </c:pt>
                <c:pt idx="300">
                  <c:v>488579.40519077593</c:v>
                </c:pt>
              </c:numCache>
            </c:numRef>
          </c:val>
        </c:ser>
        <c:ser>
          <c:idx val="4"/>
          <c:order val="12"/>
          <c:tx>
            <c:strRef>
              <c:f>Data!$R$13</c:f>
              <c:strCache>
                <c:ptCount val="1"/>
                <c:pt idx="0">
                  <c:v>Vanguard Roth IRA - Chris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Data!$R$14:$R$315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2232.13</c:v>
                </c:pt>
                <c:pt idx="15">
                  <c:v>2210.83</c:v>
                </c:pt>
                <c:pt idx="16">
                  <c:v>2377.15</c:v>
                </c:pt>
                <c:pt idx="17">
                  <c:v>5272.95</c:v>
                </c:pt>
                <c:pt idx="18">
                  <c:v>5301.5118124999999</c:v>
                </c:pt>
                <c:pt idx="19">
                  <c:v>5330.2283348177079</c:v>
                </c:pt>
                <c:pt idx="20">
                  <c:v>5359.1004049646372</c:v>
                </c:pt>
                <c:pt idx="21">
                  <c:v>5388.1288654915288</c:v>
                </c:pt>
                <c:pt idx="22">
                  <c:v>5417.3145635129413</c:v>
                </c:pt>
                <c:pt idx="23">
                  <c:v>5446.6583507319701</c:v>
                </c:pt>
                <c:pt idx="24">
                  <c:v>5476.1610834651019</c:v>
                </c:pt>
                <c:pt idx="25">
                  <c:v>5505.8236226672043</c:v>
                </c:pt>
                <c:pt idx="26">
                  <c:v>5535.6468339566518</c:v>
                </c:pt>
                <c:pt idx="27">
                  <c:v>5565.6315876405833</c:v>
                </c:pt>
                <c:pt idx="28">
                  <c:v>5595.7787587403036</c:v>
                </c:pt>
                <c:pt idx="29">
                  <c:v>5626.0892270168133</c:v>
                </c:pt>
                <c:pt idx="30">
                  <c:v>5656.563876996488</c:v>
                </c:pt>
                <c:pt idx="31">
                  <c:v>5687.2035979968859</c:v>
                </c:pt>
                <c:pt idx="32">
                  <c:v>5718.0092841527021</c:v>
                </c:pt>
                <c:pt idx="33">
                  <c:v>5748.9818344418627</c:v>
                </c:pt>
                <c:pt idx="34">
                  <c:v>5780.1221527117559</c:v>
                </c:pt>
                <c:pt idx="35">
                  <c:v>5811.4311477056117</c:v>
                </c:pt>
                <c:pt idx="36">
                  <c:v>5842.9097330890172</c:v>
                </c:pt>
                <c:pt idx="37">
                  <c:v>5874.5588274765823</c:v>
                </c:pt>
                <c:pt idx="38">
                  <c:v>5906.379354458747</c:v>
                </c:pt>
                <c:pt idx="39">
                  <c:v>4938.3722426287322</c:v>
                </c:pt>
                <c:pt idx="40">
                  <c:v>4965.1217589429716</c:v>
                </c:pt>
                <c:pt idx="41">
                  <c:v>4992.016168470579</c:v>
                </c:pt>
                <c:pt idx="42">
                  <c:v>5019.0562560497947</c:v>
                </c:pt>
                <c:pt idx="43">
                  <c:v>5046.2428107700644</c:v>
                </c:pt>
                <c:pt idx="44">
                  <c:v>5073.5766259950688</c:v>
                </c:pt>
                <c:pt idx="45">
                  <c:v>5101.0584993858756</c:v>
                </c:pt>
                <c:pt idx="46">
                  <c:v>5128.6892329242155</c:v>
                </c:pt>
                <c:pt idx="47">
                  <c:v>5156.4696329358885</c:v>
                </c:pt>
                <c:pt idx="48">
                  <c:v>5184.4005101142911</c:v>
                </c:pt>
                <c:pt idx="49">
                  <c:v>5212.4826795440767</c:v>
                </c:pt>
                <c:pt idx="50">
                  <c:v>5240.7169607249407</c:v>
                </c:pt>
                <c:pt idx="51">
                  <c:v>5269.1041775955346</c:v>
                </c:pt>
                <c:pt idx="52">
                  <c:v>5297.6451585575105</c:v>
                </c:pt>
                <c:pt idx="53">
                  <c:v>5326.3407364996974</c:v>
                </c:pt>
                <c:pt idx="54">
                  <c:v>5355.1917488224044</c:v>
                </c:pt>
                <c:pt idx="55">
                  <c:v>5384.199037461859</c:v>
                </c:pt>
                <c:pt idx="56">
                  <c:v>5413.3634489147771</c:v>
                </c:pt>
                <c:pt idx="57">
                  <c:v>5442.6858342630658</c:v>
                </c:pt>
                <c:pt idx="58">
                  <c:v>5472.167049198657</c:v>
                </c:pt>
                <c:pt idx="59">
                  <c:v>5501.8079540484832</c:v>
                </c:pt>
                <c:pt idx="60">
                  <c:v>5531.6094137995788</c:v>
                </c:pt>
                <c:pt idx="61">
                  <c:v>5561.5722981243262</c:v>
                </c:pt>
                <c:pt idx="62">
                  <c:v>5591.6974814058331</c:v>
                </c:pt>
                <c:pt idx="63">
                  <c:v>5621.9858427634481</c:v>
                </c:pt>
                <c:pt idx="64">
                  <c:v>5652.4382660784167</c:v>
                </c:pt>
                <c:pt idx="65">
                  <c:v>5683.0556400196747</c:v>
                </c:pt>
                <c:pt idx="66">
                  <c:v>5713.8388580697811</c:v>
                </c:pt>
                <c:pt idx="67">
                  <c:v>5744.7888185509928</c:v>
                </c:pt>
                <c:pt idx="68">
                  <c:v>5775.9064246514772</c:v>
                </c:pt>
                <c:pt idx="69">
                  <c:v>5807.1925844516727</c:v>
                </c:pt>
                <c:pt idx="70">
                  <c:v>5838.6482109507861</c:v>
                </c:pt>
                <c:pt idx="71">
                  <c:v>5870.274222093436</c:v>
                </c:pt>
                <c:pt idx="72">
                  <c:v>5902.0715407964417</c:v>
                </c:pt>
                <c:pt idx="73">
                  <c:v>5934.0410949757561</c:v>
                </c:pt>
                <c:pt idx="74">
                  <c:v>5966.1838175735411</c:v>
                </c:pt>
                <c:pt idx="75">
                  <c:v>5998.5006465853976</c:v>
                </c:pt>
                <c:pt idx="76">
                  <c:v>6030.992525087735</c:v>
                </c:pt>
                <c:pt idx="77">
                  <c:v>6063.6604012652933</c:v>
                </c:pt>
                <c:pt idx="78">
                  <c:v>6096.5052284388139</c:v>
                </c:pt>
                <c:pt idx="79">
                  <c:v>6129.5279650928578</c:v>
                </c:pt>
                <c:pt idx="80">
                  <c:v>6162.7295749037776</c:v>
                </c:pt>
                <c:pt idx="81">
                  <c:v>6196.1110267678396</c:v>
                </c:pt>
                <c:pt idx="82">
                  <c:v>6229.6732948294984</c:v>
                </c:pt>
                <c:pt idx="83">
                  <c:v>6263.4173585098251</c:v>
                </c:pt>
                <c:pt idx="84">
                  <c:v>6297.3442025350869</c:v>
                </c:pt>
                <c:pt idx="85">
                  <c:v>6331.4548169654854</c:v>
                </c:pt>
                <c:pt idx="86">
                  <c:v>6365.7501972240489</c:v>
                </c:pt>
                <c:pt idx="87">
                  <c:v>6400.2313441256792</c:v>
                </c:pt>
                <c:pt idx="88">
                  <c:v>6434.8992639063599</c:v>
                </c:pt>
                <c:pt idx="89">
                  <c:v>6469.7549682525196</c:v>
                </c:pt>
                <c:pt idx="90">
                  <c:v>6504.7994743305544</c:v>
                </c:pt>
                <c:pt idx="91">
                  <c:v>6540.0338048165113</c:v>
                </c:pt>
                <c:pt idx="92">
                  <c:v>6575.4589879259338</c:v>
                </c:pt>
                <c:pt idx="93">
                  <c:v>6611.0760574438664</c:v>
                </c:pt>
                <c:pt idx="94">
                  <c:v>6646.8860527550205</c:v>
                </c:pt>
                <c:pt idx="95">
                  <c:v>6682.89001887411</c:v>
                </c:pt>
                <c:pt idx="96">
                  <c:v>6719.0890064763444</c:v>
                </c:pt>
                <c:pt idx="97">
                  <c:v>6755.484071928091</c:v>
                </c:pt>
                <c:pt idx="98">
                  <c:v>6792.0762773177012</c:v>
                </c:pt>
                <c:pt idx="99">
                  <c:v>6828.8666904865058</c:v>
                </c:pt>
                <c:pt idx="100">
                  <c:v>6865.8563850599749</c:v>
                </c:pt>
                <c:pt idx="101">
                  <c:v>6903.04644047905</c:v>
                </c:pt>
                <c:pt idx="102">
                  <c:v>6940.4379420316445</c:v>
                </c:pt>
                <c:pt idx="103">
                  <c:v>6978.031980884316</c:v>
                </c:pt>
                <c:pt idx="104">
                  <c:v>7015.8296541141062</c:v>
                </c:pt>
                <c:pt idx="105">
                  <c:v>7053.8320647405581</c:v>
                </c:pt>
                <c:pt idx="106">
                  <c:v>7092.0403217579023</c:v>
                </c:pt>
                <c:pt idx="107">
                  <c:v>7130.4555401674243</c:v>
                </c:pt>
                <c:pt idx="108">
                  <c:v>7169.0788410099976</c:v>
                </c:pt>
                <c:pt idx="109">
                  <c:v>7207.9113513988013</c:v>
                </c:pt>
                <c:pt idx="110">
                  <c:v>7246.9542045522112</c:v>
                </c:pt>
                <c:pt idx="111">
                  <c:v>7286.2085398268691</c:v>
                </c:pt>
                <c:pt idx="112">
                  <c:v>7325.6755027509316</c:v>
                </c:pt>
                <c:pt idx="113">
                  <c:v>7365.3562450574991</c:v>
                </c:pt>
                <c:pt idx="114">
                  <c:v>7405.2519247182272</c:v>
                </c:pt>
                <c:pt idx="115">
                  <c:v>7445.3637059771172</c:v>
                </c:pt>
                <c:pt idx="116">
                  <c:v>7485.692759384493</c:v>
                </c:pt>
                <c:pt idx="117">
                  <c:v>7526.2402618311589</c:v>
                </c:pt>
                <c:pt idx="118">
                  <c:v>7567.0073965827441</c:v>
                </c:pt>
                <c:pt idx="119">
                  <c:v>7607.9953533142343</c:v>
                </c:pt>
                <c:pt idx="120">
                  <c:v>7649.2053281446861</c:v>
                </c:pt>
                <c:pt idx="121">
                  <c:v>7690.6385236721362</c:v>
                </c:pt>
                <c:pt idx="122">
                  <c:v>7732.2961490086936</c:v>
                </c:pt>
                <c:pt idx="123">
                  <c:v>7774.1794198158241</c:v>
                </c:pt>
                <c:pt idx="124">
                  <c:v>7816.2895583398267</c:v>
                </c:pt>
                <c:pt idx="125">
                  <c:v>7858.6277934475011</c:v>
                </c:pt>
                <c:pt idx="126">
                  <c:v>7901.1953606620082</c:v>
                </c:pt>
                <c:pt idx="127">
                  <c:v>7943.9935021989277</c:v>
                </c:pt>
                <c:pt idx="128">
                  <c:v>7987.0234670025056</c:v>
                </c:pt>
                <c:pt idx="129">
                  <c:v>8030.2865107821026</c:v>
                </c:pt>
                <c:pt idx="130">
                  <c:v>8073.7838960488389</c:v>
                </c:pt>
                <c:pt idx="131">
                  <c:v>8117.5168921524364</c:v>
                </c:pt>
                <c:pt idx="132">
                  <c:v>8161.4867753182625</c:v>
                </c:pt>
                <c:pt idx="133">
                  <c:v>8205.6948286845691</c:v>
                </c:pt>
                <c:pt idx="134">
                  <c:v>8250.1423423399447</c:v>
                </c:pt>
                <c:pt idx="135">
                  <c:v>8294.8306133609531</c:v>
                </c:pt>
                <c:pt idx="136">
                  <c:v>8339.7609458499919</c:v>
                </c:pt>
                <c:pt idx="137">
                  <c:v>8384.9346509733459</c:v>
                </c:pt>
                <c:pt idx="138">
                  <c:v>8430.3530469994512</c:v>
                </c:pt>
                <c:pt idx="139">
                  <c:v>8476.0174593373649</c:v>
                </c:pt>
                <c:pt idx="140">
                  <c:v>8521.9292205754427</c:v>
                </c:pt>
                <c:pt idx="141">
                  <c:v>8568.0896705202267</c:v>
                </c:pt>
                <c:pt idx="142">
                  <c:v>8614.5001562355446</c:v>
                </c:pt>
                <c:pt idx="143">
                  <c:v>8661.1620320818201</c:v>
                </c:pt>
                <c:pt idx="144">
                  <c:v>8708.0766597555976</c:v>
                </c:pt>
                <c:pt idx="145">
                  <c:v>8755.2454083292741</c:v>
                </c:pt>
                <c:pt idx="146">
                  <c:v>8802.6696542910577</c:v>
                </c:pt>
                <c:pt idx="147">
                  <c:v>8850.3507815851335</c:v>
                </c:pt>
                <c:pt idx="148">
                  <c:v>8898.2901816520534</c:v>
                </c:pt>
                <c:pt idx="149">
                  <c:v>8946.4892534693354</c:v>
                </c:pt>
                <c:pt idx="150">
                  <c:v>8994.9494035922944</c:v>
                </c:pt>
                <c:pt idx="151">
                  <c:v>9043.6720461950863</c:v>
                </c:pt>
                <c:pt idx="152">
                  <c:v>9092.6586031119768</c:v>
                </c:pt>
                <c:pt idx="153">
                  <c:v>9141.910503878833</c:v>
                </c:pt>
                <c:pt idx="154">
                  <c:v>9191.4291857748431</c:v>
                </c:pt>
                <c:pt idx="155">
                  <c:v>9241.2160938644574</c:v>
                </c:pt>
                <c:pt idx="156">
                  <c:v>9291.2726810395561</c:v>
                </c:pt>
                <c:pt idx="157">
                  <c:v>9341.6004080618532</c:v>
                </c:pt>
                <c:pt idx="158">
                  <c:v>9392.200743605521</c:v>
                </c:pt>
                <c:pt idx="159">
                  <c:v>9443.0751643000513</c:v>
                </c:pt>
                <c:pt idx="160">
                  <c:v>9494.2251547733431</c:v>
                </c:pt>
                <c:pt idx="161">
                  <c:v>9545.6522076950314</c:v>
                </c:pt>
                <c:pt idx="162">
                  <c:v>9597.3578238200462</c:v>
                </c:pt>
                <c:pt idx="163">
                  <c:v>9649.3435120324048</c:v>
                </c:pt>
                <c:pt idx="164">
                  <c:v>9701.6107893892477</c:v>
                </c:pt>
                <c:pt idx="165">
                  <c:v>9754.1611811651055</c:v>
                </c:pt>
                <c:pt idx="166">
                  <c:v>9806.9962208964171</c:v>
                </c:pt>
                <c:pt idx="167">
                  <c:v>9860.1174504262726</c:v>
                </c:pt>
                <c:pt idx="168">
                  <c:v>9913.526419949414</c:v>
                </c:pt>
                <c:pt idx="169">
                  <c:v>9967.224688057473</c:v>
                </c:pt>
                <c:pt idx="170">
                  <c:v>10021.213821784451</c:v>
                </c:pt>
                <c:pt idx="171">
                  <c:v>10075.49539665245</c:v>
                </c:pt>
                <c:pt idx="172">
                  <c:v>10130.07099671765</c:v>
                </c:pt>
                <c:pt idx="173">
                  <c:v>10184.942214616538</c:v>
                </c:pt>
                <c:pt idx="174">
                  <c:v>10240.110651612378</c:v>
                </c:pt>
                <c:pt idx="175">
                  <c:v>10295.577917641946</c:v>
                </c:pt>
                <c:pt idx="176">
                  <c:v>10351.345631362507</c:v>
                </c:pt>
                <c:pt idx="177">
                  <c:v>10407.415420199053</c:v>
                </c:pt>
                <c:pt idx="178">
                  <c:v>10463.788920391798</c:v>
                </c:pt>
                <c:pt idx="179">
                  <c:v>10520.467777043921</c:v>
                </c:pt>
                <c:pt idx="180">
                  <c:v>10577.453644169576</c:v>
                </c:pt>
                <c:pt idx="181">
                  <c:v>10634.748184742162</c:v>
                </c:pt>
                <c:pt idx="182">
                  <c:v>10692.353070742849</c:v>
                </c:pt>
                <c:pt idx="183">
                  <c:v>10750.269983209373</c:v>
                </c:pt>
                <c:pt idx="184">
                  <c:v>10808.50061228509</c:v>
                </c:pt>
                <c:pt idx="185">
                  <c:v>10867.046657268302</c:v>
                </c:pt>
                <c:pt idx="186">
                  <c:v>10925.909826661838</c:v>
                </c:pt>
                <c:pt idx="187">
                  <c:v>10985.091838222923</c:v>
                </c:pt>
                <c:pt idx="188">
                  <c:v>11044.594419013298</c:v>
                </c:pt>
                <c:pt idx="189">
                  <c:v>11104.419305449619</c:v>
                </c:pt>
                <c:pt idx="190">
                  <c:v>11164.568243354137</c:v>
                </c:pt>
                <c:pt idx="191">
                  <c:v>11225.042988005638</c:v>
                </c:pt>
                <c:pt idx="192">
                  <c:v>11285.845304190669</c:v>
                </c:pt>
                <c:pt idx="193">
                  <c:v>11346.976966255035</c:v>
                </c:pt>
                <c:pt idx="194">
                  <c:v>11408.439758155584</c:v>
                </c:pt>
                <c:pt idx="195">
                  <c:v>11470.235473512261</c:v>
                </c:pt>
                <c:pt idx="196">
                  <c:v>11532.365915660452</c:v>
                </c:pt>
                <c:pt idx="197">
                  <c:v>11594.832897703613</c:v>
                </c:pt>
                <c:pt idx="198">
                  <c:v>11657.638242566174</c:v>
                </c:pt>
                <c:pt idx="199">
                  <c:v>11720.783783046742</c:v>
                </c:pt>
                <c:pt idx="200">
                  <c:v>11784.271361871579</c:v>
                </c:pt>
                <c:pt idx="201">
                  <c:v>11848.102831748383</c:v>
                </c:pt>
                <c:pt idx="202">
                  <c:v>11912.280055420353</c:v>
                </c:pt>
                <c:pt idx="203">
                  <c:v>11976.804905720546</c:v>
                </c:pt>
                <c:pt idx="204">
                  <c:v>12041.679265626533</c:v>
                </c:pt>
                <c:pt idx="205">
                  <c:v>12106.905028315345</c:v>
                </c:pt>
                <c:pt idx="206">
                  <c:v>12172.484097218719</c:v>
                </c:pt>
                <c:pt idx="207">
                  <c:v>12238.418386078654</c:v>
                </c:pt>
                <c:pt idx="208">
                  <c:v>12304.709819003247</c:v>
                </c:pt>
                <c:pt idx="209">
                  <c:v>12371.360330522848</c:v>
                </c:pt>
                <c:pt idx="210">
                  <c:v>12438.371865646513</c:v>
                </c:pt>
                <c:pt idx="211">
                  <c:v>12505.746379918766</c:v>
                </c:pt>
                <c:pt idx="212">
                  <c:v>12573.48583947666</c:v>
                </c:pt>
                <c:pt idx="213">
                  <c:v>12641.592221107157</c:v>
                </c:pt>
                <c:pt idx="214">
                  <c:v>12710.06751230482</c:v>
                </c:pt>
                <c:pt idx="215">
                  <c:v>12778.913711329806</c:v>
                </c:pt>
                <c:pt idx="216">
                  <c:v>12848.132827266176</c:v>
                </c:pt>
                <c:pt idx="217">
                  <c:v>12917.726880080534</c:v>
                </c:pt>
                <c:pt idx="218">
                  <c:v>12987.697900680971</c:v>
                </c:pt>
                <c:pt idx="219">
                  <c:v>13058.047930976325</c:v>
                </c:pt>
                <c:pt idx="220">
                  <c:v>13128.77902393578</c:v>
                </c:pt>
                <c:pt idx="221">
                  <c:v>13199.893243648765</c:v>
                </c:pt>
                <c:pt idx="222">
                  <c:v>13271.392665385196</c:v>
                </c:pt>
                <c:pt idx="223">
                  <c:v>13343.279375656033</c:v>
                </c:pt>
                <c:pt idx="224">
                  <c:v>13415.555472274171</c:v>
                </c:pt>
                <c:pt idx="225">
                  <c:v>13488.223064415655</c:v>
                </c:pt>
                <c:pt idx="226">
                  <c:v>13561.28427268124</c:v>
                </c:pt>
                <c:pt idx="227">
                  <c:v>13634.741229158262</c:v>
                </c:pt>
                <c:pt idx="228">
                  <c:v>13708.596077482869</c:v>
                </c:pt>
                <c:pt idx="229">
                  <c:v>13782.850972902568</c:v>
                </c:pt>
                <c:pt idx="230">
                  <c:v>13857.508082339124</c:v>
                </c:pt>
                <c:pt idx="231">
                  <c:v>13932.569584451794</c:v>
                </c:pt>
                <c:pt idx="232">
                  <c:v>14008.037669700909</c:v>
                </c:pt>
                <c:pt idx="233">
                  <c:v>14083.914540411788</c:v>
                </c:pt>
                <c:pt idx="234">
                  <c:v>14160.202410839018</c:v>
                </c:pt>
                <c:pt idx="235">
                  <c:v>14236.903507231062</c:v>
                </c:pt>
                <c:pt idx="236">
                  <c:v>14314.02006789523</c:v>
                </c:pt>
                <c:pt idx="237">
                  <c:v>14391.554343262995</c:v>
                </c:pt>
                <c:pt idx="238">
                  <c:v>14469.508595955669</c:v>
                </c:pt>
                <c:pt idx="239">
                  <c:v>14547.88510085043</c:v>
                </c:pt>
                <c:pt idx="240">
                  <c:v>14626.686145146703</c:v>
                </c:pt>
                <c:pt idx="241">
                  <c:v>14705.914028432915</c:v>
                </c:pt>
                <c:pt idx="242">
                  <c:v>14785.571062753594</c:v>
                </c:pt>
                <c:pt idx="243">
                  <c:v>14865.659572676843</c:v>
                </c:pt>
                <c:pt idx="244">
                  <c:v>14946.181895362175</c:v>
                </c:pt>
                <c:pt idx="245">
                  <c:v>15027.14038062872</c:v>
                </c:pt>
                <c:pt idx="246">
                  <c:v>15108.537391023792</c:v>
                </c:pt>
                <c:pt idx="247">
                  <c:v>15190.375301891838</c:v>
                </c:pt>
                <c:pt idx="248">
                  <c:v>15272.656501443751</c:v>
                </c:pt>
                <c:pt idx="249">
                  <c:v>15355.383390826571</c:v>
                </c:pt>
                <c:pt idx="250">
                  <c:v>15438.55838419355</c:v>
                </c:pt>
                <c:pt idx="251">
                  <c:v>15522.183908774598</c:v>
                </c:pt>
                <c:pt idx="252">
                  <c:v>15606.262404947127</c:v>
                </c:pt>
                <c:pt idx="253">
                  <c:v>15690.796326307258</c:v>
                </c:pt>
                <c:pt idx="254">
                  <c:v>15775.788139741422</c:v>
                </c:pt>
                <c:pt idx="255">
                  <c:v>15861.240325498355</c:v>
                </c:pt>
                <c:pt idx="256">
                  <c:v>15947.155377261472</c:v>
                </c:pt>
                <c:pt idx="257">
                  <c:v>16033.535802221639</c:v>
                </c:pt>
                <c:pt idx="258">
                  <c:v>16120.384121150339</c:v>
                </c:pt>
                <c:pt idx="259">
                  <c:v>16207.702868473236</c:v>
                </c:pt>
                <c:pt idx="260">
                  <c:v>16295.494592344132</c:v>
                </c:pt>
                <c:pt idx="261">
                  <c:v>16383.761854719329</c:v>
                </c:pt>
                <c:pt idx="262">
                  <c:v>16472.507231432392</c:v>
                </c:pt>
                <c:pt idx="263">
                  <c:v>16561.733312269316</c:v>
                </c:pt>
                <c:pt idx="264">
                  <c:v>16651.442701044107</c:v>
                </c:pt>
                <c:pt idx="265">
                  <c:v>16741.638015674762</c:v>
                </c:pt>
                <c:pt idx="266">
                  <c:v>16832.321888259667</c:v>
                </c:pt>
                <c:pt idx="267">
                  <c:v>16923.496965154405</c:v>
                </c:pt>
                <c:pt idx="268">
                  <c:v>17015.165907048991</c:v>
                </c:pt>
                <c:pt idx="269">
                  <c:v>17107.331389045507</c:v>
                </c:pt>
                <c:pt idx="270">
                  <c:v>17199.996100736171</c:v>
                </c:pt>
                <c:pt idx="271">
                  <c:v>17293.162746281825</c:v>
                </c:pt>
                <c:pt idx="272">
                  <c:v>17386.83404449085</c:v>
                </c:pt>
                <c:pt idx="273">
                  <c:v>17481.01272889851</c:v>
                </c:pt>
                <c:pt idx="274">
                  <c:v>17575.701547846711</c:v>
                </c:pt>
                <c:pt idx="275">
                  <c:v>17670.903264564215</c:v>
                </c:pt>
                <c:pt idx="276">
                  <c:v>17766.620657247269</c:v>
                </c:pt>
                <c:pt idx="277">
                  <c:v>17862.856519140692</c:v>
                </c:pt>
                <c:pt idx="278">
                  <c:v>17959.613658619372</c:v>
                </c:pt>
                <c:pt idx="279">
                  <c:v>18056.894899270228</c:v>
                </c:pt>
                <c:pt idx="280">
                  <c:v>18154.70307997461</c:v>
                </c:pt>
                <c:pt idx="281">
                  <c:v>18253.041054991139</c:v>
                </c:pt>
                <c:pt idx="282">
                  <c:v>18351.911694039009</c:v>
                </c:pt>
                <c:pt idx="283">
                  <c:v>18451.317882381722</c:v>
                </c:pt>
                <c:pt idx="284">
                  <c:v>18551.262520911288</c:v>
                </c:pt>
                <c:pt idx="285">
                  <c:v>18651.748526232892</c:v>
                </c:pt>
                <c:pt idx="286">
                  <c:v>18752.778830749987</c:v>
                </c:pt>
                <c:pt idx="287">
                  <c:v>18854.356382749884</c:v>
                </c:pt>
                <c:pt idx="288">
                  <c:v>18956.48414648978</c:v>
                </c:pt>
                <c:pt idx="289">
                  <c:v>19059.165102283267</c:v>
                </c:pt>
                <c:pt idx="290">
                  <c:v>19162.402246587302</c:v>
                </c:pt>
                <c:pt idx="291">
                  <c:v>19266.198592089651</c:v>
                </c:pt>
                <c:pt idx="292">
                  <c:v>19370.557167796804</c:v>
                </c:pt>
                <c:pt idx="293">
                  <c:v>19475.48101912237</c:v>
                </c:pt>
                <c:pt idx="294">
                  <c:v>19580.973207975949</c:v>
                </c:pt>
                <c:pt idx="295">
                  <c:v>19687.036812852486</c:v>
                </c:pt>
                <c:pt idx="296">
                  <c:v>19793.674928922104</c:v>
                </c:pt>
                <c:pt idx="297">
                  <c:v>19900.890668120432</c:v>
                </c:pt>
                <c:pt idx="298">
                  <c:v>20008.687159239416</c:v>
                </c:pt>
                <c:pt idx="299">
                  <c:v>20117.067548018629</c:v>
                </c:pt>
                <c:pt idx="300">
                  <c:v>20226.034997237064</c:v>
                </c:pt>
              </c:numCache>
            </c:numRef>
          </c:val>
        </c:ser>
        <c:ser>
          <c:idx val="5"/>
          <c:order val="13"/>
          <c:tx>
            <c:strRef>
              <c:f>Data!$S$13</c:f>
              <c:strCache>
                <c:ptCount val="1"/>
                <c:pt idx="0">
                  <c:v>Vanguard Roth IRA - Shannon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Data!$S$14:$S$315</c:f>
              <c:numCache>
                <c:formatCode>#,##0.00_);[Red]\(#,##0.00\)</c:formatCode>
                <c:ptCount val="302"/>
                <c:pt idx="0">
                  <c:v>2143.67</c:v>
                </c:pt>
                <c:pt idx="1">
                  <c:v>2152.6166666666668</c:v>
                </c:pt>
                <c:pt idx="2">
                  <c:v>2161.5633333333335</c:v>
                </c:pt>
                <c:pt idx="3">
                  <c:v>2170.5100000000002</c:v>
                </c:pt>
                <c:pt idx="4">
                  <c:v>2215.106666666667</c:v>
                </c:pt>
                <c:pt idx="5">
                  <c:v>2259.7033333333334</c:v>
                </c:pt>
                <c:pt idx="6">
                  <c:v>2304.3000000000002</c:v>
                </c:pt>
                <c:pt idx="7">
                  <c:v>2676.5933333333332</c:v>
                </c:pt>
                <c:pt idx="8">
                  <c:v>3048.8866666666668</c:v>
                </c:pt>
                <c:pt idx="9">
                  <c:v>3421.18</c:v>
                </c:pt>
                <c:pt idx="10">
                  <c:v>3474.2466666666664</c:v>
                </c:pt>
                <c:pt idx="11">
                  <c:v>3527.3133333333335</c:v>
                </c:pt>
                <c:pt idx="12">
                  <c:v>3580.38</c:v>
                </c:pt>
                <c:pt idx="13">
                  <c:v>3642.4133333333334</c:v>
                </c:pt>
                <c:pt idx="14">
                  <c:v>3704.4466666666667</c:v>
                </c:pt>
                <c:pt idx="15">
                  <c:v>3766.48</c:v>
                </c:pt>
                <c:pt idx="16">
                  <c:v>3786.8817666666669</c:v>
                </c:pt>
                <c:pt idx="17">
                  <c:v>3807.2835333333333</c:v>
                </c:pt>
                <c:pt idx="18">
                  <c:v>3827.6853000000001</c:v>
                </c:pt>
                <c:pt idx="19">
                  <c:v>3848.4185953750002</c:v>
                </c:pt>
                <c:pt idx="20">
                  <c:v>3869.2641960999481</c:v>
                </c:pt>
                <c:pt idx="21">
                  <c:v>3890.2227104954895</c:v>
                </c:pt>
                <c:pt idx="22">
                  <c:v>3911.2947501773401</c:v>
                </c:pt>
                <c:pt idx="23">
                  <c:v>3932.480930074134</c:v>
                </c:pt>
                <c:pt idx="24">
                  <c:v>3953.7818684453687</c:v>
                </c:pt>
                <c:pt idx="25">
                  <c:v>3975.1981868994476</c:v>
                </c:pt>
                <c:pt idx="26">
                  <c:v>3996.7305104118195</c:v>
                </c:pt>
                <c:pt idx="27">
                  <c:v>4018.3794673432167</c:v>
                </c:pt>
                <c:pt idx="28">
                  <c:v>4040.1456894579924</c:v>
                </c:pt>
                <c:pt idx="29">
                  <c:v>4062.0298119425565</c:v>
                </c:pt>
                <c:pt idx="30">
                  <c:v>4084.0324734239121</c:v>
                </c:pt>
                <c:pt idx="31">
                  <c:v>4106.1543159882913</c:v>
                </c:pt>
                <c:pt idx="32">
                  <c:v>4128.3959851998943</c:v>
                </c:pt>
                <c:pt idx="33">
                  <c:v>4150.758130119727</c:v>
                </c:pt>
                <c:pt idx="34">
                  <c:v>4173.2414033245423</c:v>
                </c:pt>
                <c:pt idx="35">
                  <c:v>4195.8464609258835</c:v>
                </c:pt>
                <c:pt idx="36">
                  <c:v>4218.573962589232</c:v>
                </c:pt>
                <c:pt idx="37">
                  <c:v>4241.424571553257</c:v>
                </c:pt>
                <c:pt idx="38">
                  <c:v>4264.3989546491703</c:v>
                </c:pt>
                <c:pt idx="39">
                  <c:v>4287.4977823201862</c:v>
                </c:pt>
                <c:pt idx="40">
                  <c:v>4310.7217286410869</c:v>
                </c:pt>
                <c:pt idx="41">
                  <c:v>4334.0714713378929</c:v>
                </c:pt>
                <c:pt idx="42">
                  <c:v>4357.5476918076401</c:v>
                </c:pt>
                <c:pt idx="43">
                  <c:v>4381.1510751382648</c:v>
                </c:pt>
                <c:pt idx="44">
                  <c:v>4404.8823101285971</c:v>
                </c:pt>
                <c:pt idx="45">
                  <c:v>4428.74208930846</c:v>
                </c:pt>
                <c:pt idx="46">
                  <c:v>4452.7311089588811</c:v>
                </c:pt>
                <c:pt idx="47">
                  <c:v>4476.850069132408</c:v>
                </c:pt>
                <c:pt idx="48">
                  <c:v>4501.0996736735415</c:v>
                </c:pt>
                <c:pt idx="49">
                  <c:v>4525.4806302392735</c:v>
                </c:pt>
                <c:pt idx="50">
                  <c:v>4549.9936503197359</c:v>
                </c:pt>
                <c:pt idx="51">
                  <c:v>4574.6394492589679</c:v>
                </c:pt>
                <c:pt idx="52">
                  <c:v>4599.4187462757873</c:v>
                </c:pt>
                <c:pt idx="53">
                  <c:v>4624.3322644847813</c:v>
                </c:pt>
                <c:pt idx="54">
                  <c:v>4649.3807309174072</c:v>
                </c:pt>
                <c:pt idx="55">
                  <c:v>4674.5648765432097</c:v>
                </c:pt>
                <c:pt idx="56">
                  <c:v>4699.8854362911525</c:v>
                </c:pt>
                <c:pt idx="57">
                  <c:v>4725.3431490710627</c:v>
                </c:pt>
                <c:pt idx="58">
                  <c:v>4750.9387577951975</c:v>
                </c:pt>
                <c:pt idx="59">
                  <c:v>4776.6730093999213</c:v>
                </c:pt>
                <c:pt idx="60">
                  <c:v>4802.546654867504</c:v>
                </c:pt>
                <c:pt idx="61">
                  <c:v>4828.5604492480361</c:v>
                </c:pt>
                <c:pt idx="62">
                  <c:v>4854.7151516814629</c:v>
                </c:pt>
                <c:pt idx="63">
                  <c:v>4881.0115254197372</c:v>
                </c:pt>
                <c:pt idx="64">
                  <c:v>4907.4503378490945</c:v>
                </c:pt>
                <c:pt idx="65">
                  <c:v>4934.032360512444</c:v>
                </c:pt>
                <c:pt idx="66">
                  <c:v>4960.7583691318869</c:v>
                </c:pt>
                <c:pt idx="67">
                  <c:v>4987.6291436313513</c:v>
                </c:pt>
                <c:pt idx="68">
                  <c:v>5014.6454681593541</c:v>
                </c:pt>
                <c:pt idx="69">
                  <c:v>5041.808131111884</c:v>
                </c:pt>
                <c:pt idx="70">
                  <c:v>5069.1179251554067</c:v>
                </c:pt>
                <c:pt idx="71">
                  <c:v>5096.5756472499988</c:v>
                </c:pt>
                <c:pt idx="72">
                  <c:v>5124.1820986726034</c:v>
                </c:pt>
                <c:pt idx="73">
                  <c:v>5151.9380850404132</c:v>
                </c:pt>
                <c:pt idx="74">
                  <c:v>5179.844416334382</c:v>
                </c:pt>
                <c:pt idx="75">
                  <c:v>5207.9019069228598</c:v>
                </c:pt>
                <c:pt idx="76">
                  <c:v>5236.1113755853585</c:v>
                </c:pt>
                <c:pt idx="77">
                  <c:v>5264.4736455364455</c:v>
                </c:pt>
                <c:pt idx="78">
                  <c:v>5292.9895444497679</c:v>
                </c:pt>
                <c:pt idx="79">
                  <c:v>5321.6599044822042</c:v>
                </c:pt>
                <c:pt idx="80">
                  <c:v>5350.4855622981495</c:v>
                </c:pt>
                <c:pt idx="81">
                  <c:v>5379.467359093931</c:v>
                </c:pt>
                <c:pt idx="82">
                  <c:v>5408.6061406223562</c:v>
                </c:pt>
                <c:pt idx="83">
                  <c:v>5437.9027572173936</c:v>
                </c:pt>
                <c:pt idx="84">
                  <c:v>5467.3580638189878</c:v>
                </c:pt>
                <c:pt idx="85">
                  <c:v>5496.9729199980075</c:v>
                </c:pt>
                <c:pt idx="86">
                  <c:v>5526.7481899813301</c:v>
                </c:pt>
                <c:pt idx="87">
                  <c:v>5556.6847426770628</c:v>
                </c:pt>
                <c:pt idx="88">
                  <c:v>5586.7834516998964</c:v>
                </c:pt>
                <c:pt idx="89">
                  <c:v>5617.045195396604</c:v>
                </c:pt>
                <c:pt idx="90">
                  <c:v>5647.4708568716687</c:v>
                </c:pt>
                <c:pt idx="91">
                  <c:v>5678.0613240130569</c:v>
                </c:pt>
                <c:pt idx="92">
                  <c:v>5708.8174895181273</c:v>
                </c:pt>
                <c:pt idx="93">
                  <c:v>5739.7402509196836</c:v>
                </c:pt>
                <c:pt idx="94">
                  <c:v>5770.8305106121652</c:v>
                </c:pt>
                <c:pt idx="95">
                  <c:v>5802.0891758779808</c:v>
                </c:pt>
                <c:pt idx="96">
                  <c:v>5833.5171589139863</c:v>
                </c:pt>
                <c:pt idx="97">
                  <c:v>5865.1153768581034</c:v>
                </c:pt>
                <c:pt idx="98">
                  <c:v>5896.8847518160846</c:v>
                </c:pt>
                <c:pt idx="99">
                  <c:v>5928.8262108884219</c:v>
                </c:pt>
                <c:pt idx="100">
                  <c:v>5960.9406861974012</c:v>
                </c:pt>
                <c:pt idx="101">
                  <c:v>5993.2291149143039</c:v>
                </c:pt>
                <c:pt idx="102">
                  <c:v>6025.6924392867568</c:v>
                </c:pt>
                <c:pt idx="103">
                  <c:v>6058.3316066662264</c:v>
                </c:pt>
                <c:pt idx="104">
                  <c:v>6091.1475695356685</c:v>
                </c:pt>
                <c:pt idx="105">
                  <c:v>6124.1412855373201</c:v>
                </c:pt>
                <c:pt idx="106">
                  <c:v>6157.3137175006468</c:v>
                </c:pt>
                <c:pt idx="107">
                  <c:v>6190.6658334704416</c:v>
                </c:pt>
                <c:pt idx="108">
                  <c:v>6224.1986067350736</c:v>
                </c:pt>
                <c:pt idx="109">
                  <c:v>6257.9130158548887</c:v>
                </c:pt>
                <c:pt idx="110">
                  <c:v>6291.8100446907692</c:v>
                </c:pt>
                <c:pt idx="111">
                  <c:v>6325.8906824328442</c:v>
                </c:pt>
                <c:pt idx="112">
                  <c:v>6360.1559236293551</c:v>
                </c:pt>
                <c:pt idx="113">
                  <c:v>6394.6067682156809</c:v>
                </c:pt>
                <c:pt idx="114">
                  <c:v>6429.2442215435158</c:v>
                </c:pt>
                <c:pt idx="115">
                  <c:v>6464.0692944102102</c:v>
                </c:pt>
                <c:pt idx="116">
                  <c:v>6499.0830030882653</c:v>
                </c:pt>
                <c:pt idx="117">
                  <c:v>6534.2863693549934</c:v>
                </c:pt>
                <c:pt idx="118">
                  <c:v>6569.6804205223334</c:v>
                </c:pt>
                <c:pt idx="119">
                  <c:v>6605.266189466829</c:v>
                </c:pt>
                <c:pt idx="120">
                  <c:v>6641.0447146597744</c:v>
                </c:pt>
                <c:pt idx="121">
                  <c:v>6677.0170401975147</c:v>
                </c:pt>
                <c:pt idx="122">
                  <c:v>6713.1842158319178</c:v>
                </c:pt>
                <c:pt idx="123">
                  <c:v>6749.5472970010069</c:v>
                </c:pt>
                <c:pt idx="124">
                  <c:v>6786.1073448597626</c:v>
                </c:pt>
                <c:pt idx="125">
                  <c:v>6822.8654263110866</c:v>
                </c:pt>
                <c:pt idx="126">
                  <c:v>6859.8226140369379</c:v>
                </c:pt>
                <c:pt idx="127">
                  <c:v>6896.9799865296382</c:v>
                </c:pt>
                <c:pt idx="128">
                  <c:v>6934.3386281233406</c:v>
                </c:pt>
                <c:pt idx="129">
                  <c:v>6971.8996290256755</c:v>
                </c:pt>
                <c:pt idx="130">
                  <c:v>7009.6640853495646</c:v>
                </c:pt>
                <c:pt idx="131">
                  <c:v>7047.6330991452078</c:v>
                </c:pt>
                <c:pt idx="132">
                  <c:v>7085.807778432244</c:v>
                </c:pt>
                <c:pt idx="133">
                  <c:v>7124.1892372320854</c:v>
                </c:pt>
                <c:pt idx="134">
                  <c:v>7162.7785956004254</c:v>
                </c:pt>
                <c:pt idx="135">
                  <c:v>7201.5769796599279</c:v>
                </c:pt>
                <c:pt idx="136">
                  <c:v>7240.5855216330856</c:v>
                </c:pt>
                <c:pt idx="137">
                  <c:v>7279.8053598752649</c:v>
                </c:pt>
                <c:pt idx="138">
                  <c:v>7319.2376389079227</c:v>
                </c:pt>
                <c:pt idx="139">
                  <c:v>7358.8835094520073</c:v>
                </c:pt>
                <c:pt idx="140">
                  <c:v>7398.7441284615388</c:v>
                </c:pt>
                <c:pt idx="141">
                  <c:v>7438.8206591573726</c:v>
                </c:pt>
                <c:pt idx="142">
                  <c:v>7479.1142710611421</c:v>
                </c:pt>
                <c:pt idx="143">
                  <c:v>7519.6261400293897</c:v>
                </c:pt>
                <c:pt idx="144">
                  <c:v>7560.3574482878821</c:v>
                </c:pt>
                <c:pt idx="145">
                  <c:v>7601.309384466108</c:v>
                </c:pt>
                <c:pt idx="146">
                  <c:v>7642.4831436319664</c:v>
                </c:pt>
                <c:pt idx="147">
                  <c:v>7683.8799273266395</c:v>
                </c:pt>
                <c:pt idx="148">
                  <c:v>7725.500943599659</c:v>
                </c:pt>
                <c:pt idx="149">
                  <c:v>7767.3474070441571</c:v>
                </c:pt>
                <c:pt idx="150">
                  <c:v>7809.4205388323126</c:v>
                </c:pt>
                <c:pt idx="151">
                  <c:v>7851.7215667509872</c:v>
                </c:pt>
                <c:pt idx="152">
                  <c:v>7894.2517252375546</c:v>
                </c:pt>
                <c:pt idx="153">
                  <c:v>7937.0122554159243</c:v>
                </c:pt>
                <c:pt idx="154">
                  <c:v>7980.0044051327604</c:v>
                </c:pt>
                <c:pt idx="155">
                  <c:v>8023.2294289938964</c:v>
                </c:pt>
                <c:pt idx="156">
                  <c:v>8066.6885884009471</c:v>
                </c:pt>
                <c:pt idx="157">
                  <c:v>8110.3831515881193</c:v>
                </c:pt>
                <c:pt idx="158">
                  <c:v>8154.3143936592214</c:v>
                </c:pt>
                <c:pt idx="159">
                  <c:v>8198.4835966248756</c:v>
                </c:pt>
                <c:pt idx="160">
                  <c:v>8242.8920494399263</c:v>
                </c:pt>
                <c:pt idx="161">
                  <c:v>8287.5410480410592</c:v>
                </c:pt>
                <c:pt idx="162">
                  <c:v>8332.4318953846141</c:v>
                </c:pt>
                <c:pt idx="163">
                  <c:v>8377.5659014846133</c:v>
                </c:pt>
                <c:pt idx="164">
                  <c:v>8422.9443834509875</c:v>
                </c:pt>
                <c:pt idx="165">
                  <c:v>8468.5686655280133</c:v>
                </c:pt>
                <c:pt idx="166">
                  <c:v>8514.4400791329572</c:v>
                </c:pt>
                <c:pt idx="167">
                  <c:v>8560.5599628949276</c:v>
                </c:pt>
                <c:pt idx="168">
                  <c:v>8606.9296626939413</c:v>
                </c:pt>
                <c:pt idx="169">
                  <c:v>8653.5505317002007</c:v>
                </c:pt>
                <c:pt idx="170">
                  <c:v>8700.4239304135772</c:v>
                </c:pt>
                <c:pt idx="171">
                  <c:v>8747.5512267033173</c:v>
                </c:pt>
                <c:pt idx="172">
                  <c:v>8794.9337958479609</c:v>
                </c:pt>
                <c:pt idx="173">
                  <c:v>8842.5730205754699</c:v>
                </c:pt>
                <c:pt idx="174">
                  <c:v>8890.4702911035874</c:v>
                </c:pt>
                <c:pt idx="175">
                  <c:v>8938.6270051803986</c:v>
                </c:pt>
                <c:pt idx="176">
                  <c:v>8987.0445681251258</c:v>
                </c:pt>
                <c:pt idx="177">
                  <c:v>9035.7243928691369</c:v>
                </c:pt>
                <c:pt idx="178">
                  <c:v>9084.6678999971773</c:v>
                </c:pt>
                <c:pt idx="179">
                  <c:v>9133.876517788829</c:v>
                </c:pt>
                <c:pt idx="180">
                  <c:v>9183.351682260185</c:v>
                </c:pt>
                <c:pt idx="181">
                  <c:v>9233.094837205761</c:v>
                </c:pt>
                <c:pt idx="182">
                  <c:v>9283.1074342406264</c:v>
                </c:pt>
                <c:pt idx="183">
                  <c:v>9333.3909328427635</c:v>
                </c:pt>
                <c:pt idx="184">
                  <c:v>9383.9468003956626</c:v>
                </c:pt>
                <c:pt idx="185">
                  <c:v>9434.7765122311393</c:v>
                </c:pt>
                <c:pt idx="186">
                  <c:v>9485.8815516723917</c:v>
                </c:pt>
                <c:pt idx="187">
                  <c:v>9537.263410077283</c:v>
                </c:pt>
                <c:pt idx="188">
                  <c:v>9588.9235868818687</c:v>
                </c:pt>
                <c:pt idx="189">
                  <c:v>9640.8635896441447</c:v>
                </c:pt>
                <c:pt idx="190">
                  <c:v>9693.0849340880504</c:v>
                </c:pt>
                <c:pt idx="191">
                  <c:v>9745.5891441476942</c:v>
                </c:pt>
                <c:pt idx="192">
                  <c:v>9798.3777520118274</c:v>
                </c:pt>
                <c:pt idx="193">
                  <c:v>9851.4522981685586</c:v>
                </c:pt>
                <c:pt idx="194">
                  <c:v>9904.814331450305</c:v>
                </c:pt>
                <c:pt idx="195">
                  <c:v>9958.4654090789936</c:v>
                </c:pt>
                <c:pt idx="196">
                  <c:v>10012.407096711504</c:v>
                </c:pt>
                <c:pt idx="197">
                  <c:v>10066.640968485359</c:v>
                </c:pt>
                <c:pt idx="198">
                  <c:v>10121.168607064654</c:v>
                </c:pt>
                <c:pt idx="199">
                  <c:v>10175.991603686254</c:v>
                </c:pt>
                <c:pt idx="200">
                  <c:v>10231.111558206221</c:v>
                </c:pt>
                <c:pt idx="201">
                  <c:v>10286.530079146505</c:v>
                </c:pt>
                <c:pt idx="202">
                  <c:v>10342.248783741881</c:v>
                </c:pt>
                <c:pt idx="203">
                  <c:v>10398.26929798715</c:v>
                </c:pt>
                <c:pt idx="204">
                  <c:v>10454.59325668458</c:v>
                </c:pt>
                <c:pt idx="205">
                  <c:v>10511.222303491622</c:v>
                </c:pt>
                <c:pt idx="206">
                  <c:v>10568.158090968869</c:v>
                </c:pt>
                <c:pt idx="207">
                  <c:v>10625.402280628285</c:v>
                </c:pt>
                <c:pt idx="208">
                  <c:v>10682.956542981688</c:v>
                </c:pt>
                <c:pt idx="209">
                  <c:v>10740.822557589507</c:v>
                </c:pt>
                <c:pt idx="210">
                  <c:v>10799.002013109783</c:v>
                </c:pt>
                <c:pt idx="211">
                  <c:v>10857.496607347461</c:v>
                </c:pt>
                <c:pt idx="212">
                  <c:v>10916.308047303926</c:v>
                </c:pt>
                <c:pt idx="213">
                  <c:v>10975.438049226823</c:v>
                </c:pt>
                <c:pt idx="214">
                  <c:v>11034.888338660136</c:v>
                </c:pt>
                <c:pt idx="215">
                  <c:v>11094.660650494545</c:v>
                </c:pt>
                <c:pt idx="216">
                  <c:v>11154.756729018058</c:v>
                </c:pt>
                <c:pt idx="217">
                  <c:v>11215.178327966905</c:v>
                </c:pt>
                <c:pt idx="218">
                  <c:v>11275.927210576727</c:v>
                </c:pt>
                <c:pt idx="219">
                  <c:v>11337.005149634017</c:v>
                </c:pt>
                <c:pt idx="220">
                  <c:v>11398.413927527867</c:v>
                </c:pt>
                <c:pt idx="221">
                  <c:v>11460.155336301976</c:v>
                </c:pt>
                <c:pt idx="222">
                  <c:v>11522.231177706944</c:v>
                </c:pt>
                <c:pt idx="223">
                  <c:v>11584.643263252858</c:v>
                </c:pt>
                <c:pt idx="224">
                  <c:v>11647.393414262144</c:v>
                </c:pt>
                <c:pt idx="225">
                  <c:v>11710.483461922731</c:v>
                </c:pt>
                <c:pt idx="226">
                  <c:v>11773.91524734148</c:v>
                </c:pt>
                <c:pt idx="227">
                  <c:v>11837.690621597912</c:v>
                </c:pt>
                <c:pt idx="228">
                  <c:v>11901.811445798234</c:v>
                </c:pt>
                <c:pt idx="229">
                  <c:v>11966.279591129642</c:v>
                </c:pt>
                <c:pt idx="230">
                  <c:v>12031.096938914927</c:v>
                </c:pt>
                <c:pt idx="231">
                  <c:v>12096.265380667382</c:v>
                </c:pt>
                <c:pt idx="232">
                  <c:v>12161.786818145998</c:v>
                </c:pt>
                <c:pt idx="233">
                  <c:v>12227.663163410956</c:v>
                </c:pt>
                <c:pt idx="234">
                  <c:v>12293.896338879433</c:v>
                </c:pt>
                <c:pt idx="235">
                  <c:v>12360.488277381697</c:v>
                </c:pt>
                <c:pt idx="236">
                  <c:v>12427.440922217515</c:v>
                </c:pt>
                <c:pt idx="237">
                  <c:v>12494.75622721286</c:v>
                </c:pt>
                <c:pt idx="238">
                  <c:v>12562.43615677693</c:v>
                </c:pt>
                <c:pt idx="239">
                  <c:v>12630.482685959472</c:v>
                </c:pt>
                <c:pt idx="240">
                  <c:v>12698.897800508419</c:v>
                </c:pt>
                <c:pt idx="241">
                  <c:v>12767.683496927839</c:v>
                </c:pt>
                <c:pt idx="242">
                  <c:v>12836.841782536198</c:v>
                </c:pt>
                <c:pt idx="243">
                  <c:v>12906.374675524936</c:v>
                </c:pt>
                <c:pt idx="244">
                  <c:v>12976.284205017362</c:v>
                </c:pt>
                <c:pt idx="245">
                  <c:v>13046.572411127872</c:v>
                </c:pt>
                <c:pt idx="246">
                  <c:v>13117.241345021481</c:v>
                </c:pt>
                <c:pt idx="247">
                  <c:v>13188.29306897368</c:v>
                </c:pt>
                <c:pt idx="248">
                  <c:v>13259.729656430622</c:v>
                </c:pt>
                <c:pt idx="249">
                  <c:v>13331.553192069621</c:v>
                </c:pt>
                <c:pt idx="250">
                  <c:v>13403.765771859998</c:v>
                </c:pt>
                <c:pt idx="251">
                  <c:v>13476.369503124241</c:v>
                </c:pt>
                <c:pt idx="252">
                  <c:v>13549.366504599497</c:v>
                </c:pt>
                <c:pt idx="253">
                  <c:v>13622.75890649941</c:v>
                </c:pt>
                <c:pt idx="254">
                  <c:v>13696.548850576282</c:v>
                </c:pt>
                <c:pt idx="255">
                  <c:v>13770.73849018357</c:v>
                </c:pt>
                <c:pt idx="256">
                  <c:v>13845.329990338731</c:v>
                </c:pt>
                <c:pt idx="257">
                  <c:v>13920.325527786399</c:v>
                </c:pt>
                <c:pt idx="258">
                  <c:v>13995.727291061909</c:v>
                </c:pt>
                <c:pt idx="259">
                  <c:v>14071.53748055516</c:v>
                </c:pt>
                <c:pt idx="260">
                  <c:v>14147.758308574834</c:v>
                </c:pt>
                <c:pt idx="261">
                  <c:v>14224.391999412948</c:v>
                </c:pt>
                <c:pt idx="262">
                  <c:v>14301.440789409768</c:v>
                </c:pt>
                <c:pt idx="263">
                  <c:v>14378.90692701907</c:v>
                </c:pt>
                <c:pt idx="264">
                  <c:v>14456.792672873757</c:v>
                </c:pt>
                <c:pt idx="265">
                  <c:v>14535.100299851823</c:v>
                </c:pt>
                <c:pt idx="266">
                  <c:v>14613.832093142688</c:v>
                </c:pt>
                <c:pt idx="267">
                  <c:v>14692.990350313878</c:v>
                </c:pt>
                <c:pt idx="268">
                  <c:v>14772.577381378078</c:v>
                </c:pt>
                <c:pt idx="269">
                  <c:v>14852.595508860542</c:v>
                </c:pt>
                <c:pt idx="270">
                  <c:v>14933.04706786687</c:v>
                </c:pt>
                <c:pt idx="271">
                  <c:v>15013.934406151149</c:v>
                </c:pt>
                <c:pt idx="272">
                  <c:v>15095.259884184468</c:v>
                </c:pt>
                <c:pt idx="273">
                  <c:v>15177.025875223801</c:v>
                </c:pt>
                <c:pt idx="274">
                  <c:v>15259.234765381263</c:v>
                </c:pt>
                <c:pt idx="275">
                  <c:v>15341.888953693744</c:v>
                </c:pt>
                <c:pt idx="276">
                  <c:v>15424.990852192919</c:v>
                </c:pt>
                <c:pt idx="277">
                  <c:v>15508.54288597563</c:v>
                </c:pt>
                <c:pt idx="278">
                  <c:v>15592.547493274666</c:v>
                </c:pt>
                <c:pt idx="279">
                  <c:v>15677.007125529903</c:v>
                </c:pt>
                <c:pt idx="280">
                  <c:v>15761.924247459856</c:v>
                </c:pt>
                <c:pt idx="281">
                  <c:v>15847.301337133596</c:v>
                </c:pt>
                <c:pt idx="282">
                  <c:v>15933.140886043069</c:v>
                </c:pt>
                <c:pt idx="283">
                  <c:v>16019.445399175802</c:v>
                </c:pt>
                <c:pt idx="284">
                  <c:v>16106.217395088004</c:v>
                </c:pt>
                <c:pt idx="285">
                  <c:v>16193.459405978065</c:v>
                </c:pt>
                <c:pt idx="286">
                  <c:v>16281.173977760445</c:v>
                </c:pt>
                <c:pt idx="287">
                  <c:v>16369.363670139981</c:v>
                </c:pt>
                <c:pt idx="288">
                  <c:v>16458.031056686574</c:v>
                </c:pt>
                <c:pt idx="289">
                  <c:v>16547.178724910293</c:v>
                </c:pt>
                <c:pt idx="290">
                  <c:v>16636.809276336891</c:v>
                </c:pt>
                <c:pt idx="291">
                  <c:v>16726.925326583718</c:v>
                </c:pt>
                <c:pt idx="292">
                  <c:v>16817.529505436047</c:v>
                </c:pt>
                <c:pt idx="293">
                  <c:v>16908.624456923826</c:v>
                </c:pt>
                <c:pt idx="294">
                  <c:v>17000.212839398831</c:v>
                </c:pt>
                <c:pt idx="295">
                  <c:v>17092.297325612242</c:v>
                </c:pt>
                <c:pt idx="296">
                  <c:v>17184.88060279264</c:v>
                </c:pt>
                <c:pt idx="297">
                  <c:v>17277.965372724433</c:v>
                </c:pt>
                <c:pt idx="298">
                  <c:v>17371.55435182669</c:v>
                </c:pt>
                <c:pt idx="299">
                  <c:v>17465.650271232418</c:v>
                </c:pt>
                <c:pt idx="300">
                  <c:v>17560.255876868261</c:v>
                </c:pt>
              </c:numCache>
            </c:numRef>
          </c:val>
        </c:ser>
        <c:ser>
          <c:idx val="6"/>
          <c:order val="14"/>
          <c:tx>
            <c:strRef>
              <c:f>Data!$T$13</c:f>
              <c:strCache>
                <c:ptCount val="1"/>
                <c:pt idx="0">
                  <c:v>JH 401(k)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Data!$T$14:$T$315</c:f>
              <c:numCache>
                <c:formatCode>#,##0.00_);[Red]\(#,##0.00\)</c:formatCode>
                <c:ptCount val="302"/>
                <c:pt idx="0">
                  <c:v>16997.46</c:v>
                </c:pt>
                <c:pt idx="1">
                  <c:v>17328.406666666666</c:v>
                </c:pt>
                <c:pt idx="2">
                  <c:v>17659.353333333333</c:v>
                </c:pt>
                <c:pt idx="3">
                  <c:v>17990.3</c:v>
                </c:pt>
                <c:pt idx="4">
                  <c:v>18832.746666666666</c:v>
                </c:pt>
                <c:pt idx="5">
                  <c:v>19675.193333333333</c:v>
                </c:pt>
                <c:pt idx="6">
                  <c:v>20517.64</c:v>
                </c:pt>
                <c:pt idx="7">
                  <c:v>21560.616666666665</c:v>
                </c:pt>
                <c:pt idx="8">
                  <c:v>22603.593333333334</c:v>
                </c:pt>
                <c:pt idx="9">
                  <c:v>23646.57</c:v>
                </c:pt>
                <c:pt idx="10">
                  <c:v>25162.603333333333</c:v>
                </c:pt>
                <c:pt idx="11">
                  <c:v>26678.636666666665</c:v>
                </c:pt>
                <c:pt idx="12">
                  <c:v>28194.67</c:v>
                </c:pt>
                <c:pt idx="13">
                  <c:v>29673.863333333331</c:v>
                </c:pt>
                <c:pt idx="14">
                  <c:v>31153.056666666667</c:v>
                </c:pt>
                <c:pt idx="15">
                  <c:v>32632.25</c:v>
                </c:pt>
                <c:pt idx="16">
                  <c:v>35620</c:v>
                </c:pt>
                <c:pt idx="17">
                  <c:v>35470</c:v>
                </c:pt>
                <c:pt idx="18">
                  <c:v>36762.129166666666</c:v>
                </c:pt>
                <c:pt idx="19">
                  <c:v>38061.257366319442</c:v>
                </c:pt>
                <c:pt idx="20">
                  <c:v>39367.422510387005</c:v>
                </c:pt>
                <c:pt idx="21">
                  <c:v>40680.662715651604</c:v>
                </c:pt>
                <c:pt idx="22">
                  <c:v>42001.016305361387</c:v>
                </c:pt>
                <c:pt idx="23">
                  <c:v>43328.521810348764</c:v>
                </c:pt>
                <c:pt idx="24">
                  <c:v>44663.217970154823</c:v>
                </c:pt>
                <c:pt idx="25">
                  <c:v>46005.143734159828</c:v>
                </c:pt>
                <c:pt idx="26">
                  <c:v>47354.338262719859</c:v>
                </c:pt>
                <c:pt idx="27">
                  <c:v>48710.84092830959</c:v>
                </c:pt>
                <c:pt idx="28">
                  <c:v>50074.691316671269</c:v>
                </c:pt>
                <c:pt idx="29">
                  <c:v>51445.929227969908</c:v>
                </c:pt>
                <c:pt idx="30">
                  <c:v>52824.594677954745</c:v>
                </c:pt>
                <c:pt idx="31">
                  <c:v>54210.727899127</c:v>
                </c:pt>
                <c:pt idx="32">
                  <c:v>55604.369341913938</c:v>
                </c:pt>
                <c:pt idx="33">
                  <c:v>57005.559675849305</c:v>
                </c:pt>
                <c:pt idx="34">
                  <c:v>58414.339790760154</c:v>
                </c:pt>
                <c:pt idx="35">
                  <c:v>59830.750797960107</c:v>
                </c:pt>
                <c:pt idx="36">
                  <c:v>61254.834031449056</c:v>
                </c:pt>
                <c:pt idx="37">
                  <c:v>62686.631049119402</c:v>
                </c:pt>
                <c:pt idx="38">
                  <c:v>64126.183633968802</c:v>
                </c:pt>
                <c:pt idx="39">
                  <c:v>65573.533795319468</c:v>
                </c:pt>
                <c:pt idx="40">
                  <c:v>67028.723770044118</c:v>
                </c:pt>
                <c:pt idx="41">
                  <c:v>68491.796023798524</c:v>
                </c:pt>
                <c:pt idx="42">
                  <c:v>69962.793252260773</c:v>
                </c:pt>
                <c:pt idx="43">
                  <c:v>71441.758382377186</c:v>
                </c:pt>
                <c:pt idx="44">
                  <c:v>72928.73457361506</c:v>
                </c:pt>
                <c:pt idx="45">
                  <c:v>76498.765219222143</c:v>
                </c:pt>
                <c:pt idx="46">
                  <c:v>80088.133530826264</c:v>
                </c:pt>
                <c:pt idx="47">
                  <c:v>83696.944254118236</c:v>
                </c:pt>
                <c:pt idx="48">
                  <c:v>87325.302702161382</c:v>
                </c:pt>
                <c:pt idx="49">
                  <c:v>90973.314758464752</c:v>
                </c:pt>
                <c:pt idx="50">
                  <c:v>94641.086880073097</c:v>
                </c:pt>
                <c:pt idx="51">
                  <c:v>98328.726100673492</c:v>
                </c:pt>
                <c:pt idx="52">
                  <c:v>102036.34003371881</c:v>
                </c:pt>
                <c:pt idx="53">
                  <c:v>105764.03687556811</c:v>
                </c:pt>
                <c:pt idx="54">
                  <c:v>109511.92540864411</c:v>
                </c:pt>
                <c:pt idx="55">
                  <c:v>113280.11500460759</c:v>
                </c:pt>
                <c:pt idx="56">
                  <c:v>117068.71562754922</c:v>
                </c:pt>
                <c:pt idx="57">
                  <c:v>120877.83783719844</c:v>
                </c:pt>
                <c:pt idx="58">
                  <c:v>124707.59279214994</c:v>
                </c:pt>
                <c:pt idx="59">
                  <c:v>128558.09225310742</c:v>
                </c:pt>
                <c:pt idx="60">
                  <c:v>132429.44858614507</c:v>
                </c:pt>
                <c:pt idx="61">
                  <c:v>136321.77476598669</c:v>
                </c:pt>
                <c:pt idx="62">
                  <c:v>140235.18437930246</c:v>
                </c:pt>
                <c:pt idx="63">
                  <c:v>144169.79162802367</c:v>
                </c:pt>
                <c:pt idx="64">
                  <c:v>148125.71133267548</c:v>
                </c:pt>
                <c:pt idx="65">
                  <c:v>152103.05893572746</c:v>
                </c:pt>
                <c:pt idx="66">
                  <c:v>156101.95050496265</c:v>
                </c:pt>
                <c:pt idx="67">
                  <c:v>160122.50273686452</c:v>
                </c:pt>
                <c:pt idx="68">
                  <c:v>164164.83296002253</c:v>
                </c:pt>
                <c:pt idx="69">
                  <c:v>168229.05913855598</c:v>
                </c:pt>
                <c:pt idx="70">
                  <c:v>172315.29987555649</c:v>
                </c:pt>
                <c:pt idx="71">
                  <c:v>176423.6744165491</c:v>
                </c:pt>
                <c:pt idx="72">
                  <c:v>180554.30265297208</c:v>
                </c:pt>
                <c:pt idx="73">
                  <c:v>184707.30512567569</c:v>
                </c:pt>
                <c:pt idx="74">
                  <c:v>188882.80302843975</c:v>
                </c:pt>
                <c:pt idx="75">
                  <c:v>193080.91821151046</c:v>
                </c:pt>
                <c:pt idx="76">
                  <c:v>197301.77318515614</c:v>
                </c:pt>
                <c:pt idx="77">
                  <c:v>201545.49112324239</c:v>
                </c:pt>
                <c:pt idx="78">
                  <c:v>205812.19586682663</c:v>
                </c:pt>
                <c:pt idx="79">
                  <c:v>210102.01192777194</c:v>
                </c:pt>
                <c:pt idx="80">
                  <c:v>214415.06449238071</c:v>
                </c:pt>
                <c:pt idx="81">
                  <c:v>218751.47942504779</c:v>
                </c:pt>
                <c:pt idx="82">
                  <c:v>223111.38327193348</c:v>
                </c:pt>
                <c:pt idx="83">
                  <c:v>227494.90326465646</c:v>
                </c:pt>
                <c:pt idx="84">
                  <c:v>231902.16732400667</c:v>
                </c:pt>
                <c:pt idx="85">
                  <c:v>236333.30406367837</c:v>
                </c:pt>
                <c:pt idx="86">
                  <c:v>240788.44279402329</c:v>
                </c:pt>
                <c:pt idx="87">
                  <c:v>245267.71352582425</c:v>
                </c:pt>
                <c:pt idx="88">
                  <c:v>249771.24697408912</c:v>
                </c:pt>
                <c:pt idx="89">
                  <c:v>254299.17456186545</c:v>
                </c:pt>
                <c:pt idx="90">
                  <c:v>258851.62842407555</c:v>
                </c:pt>
                <c:pt idx="91">
                  <c:v>263428.74141137261</c:v>
                </c:pt>
                <c:pt idx="92">
                  <c:v>268030.64709401753</c:v>
                </c:pt>
                <c:pt idx="93">
                  <c:v>272657.47976577678</c:v>
                </c:pt>
                <c:pt idx="94">
                  <c:v>277309.37444784143</c:v>
                </c:pt>
                <c:pt idx="95">
                  <c:v>281986.46689276723</c:v>
                </c:pt>
                <c:pt idx="96">
                  <c:v>286688.89358843636</c:v>
                </c:pt>
                <c:pt idx="97">
                  <c:v>291416.7917620404</c:v>
                </c:pt>
                <c:pt idx="98">
                  <c:v>296170.29938408476</c:v>
                </c:pt>
                <c:pt idx="99">
                  <c:v>300949.55517241522</c:v>
                </c:pt>
                <c:pt idx="100">
                  <c:v>305754.69859626581</c:v>
                </c:pt>
                <c:pt idx="101">
                  <c:v>310585.86988032889</c:v>
                </c:pt>
                <c:pt idx="102">
                  <c:v>315443.21000884735</c:v>
                </c:pt>
                <c:pt idx="103">
                  <c:v>320326.86072972859</c:v>
                </c:pt>
                <c:pt idx="104">
                  <c:v>325236.9645586813</c:v>
                </c:pt>
                <c:pt idx="105">
                  <c:v>330173.66478337417</c:v>
                </c:pt>
                <c:pt idx="106">
                  <c:v>335137.10546761745</c:v>
                </c:pt>
                <c:pt idx="107">
                  <c:v>340127.43145556707</c:v>
                </c:pt>
                <c:pt idx="108">
                  <c:v>345144.78837595141</c:v>
                </c:pt>
                <c:pt idx="109">
                  <c:v>350189.32264632115</c:v>
                </c:pt>
                <c:pt idx="110">
                  <c:v>355261.18147732207</c:v>
                </c:pt>
                <c:pt idx="111">
                  <c:v>360360.51287699089</c:v>
                </c:pt>
                <c:pt idx="112">
                  <c:v>365487.46565507457</c:v>
                </c:pt>
                <c:pt idx="113">
                  <c:v>370642.18942737288</c:v>
                </c:pt>
                <c:pt idx="114">
                  <c:v>375824.83462010446</c:v>
                </c:pt>
                <c:pt idx="115">
                  <c:v>381035.55247429671</c:v>
                </c:pt>
                <c:pt idx="116">
                  <c:v>386274.49505019916</c:v>
                </c:pt>
                <c:pt idx="117">
                  <c:v>391541.81523172109</c:v>
                </c:pt>
                <c:pt idx="118">
                  <c:v>396837.6667308929</c:v>
                </c:pt>
                <c:pt idx="119">
                  <c:v>402162.20409235189</c:v>
                </c:pt>
                <c:pt idx="120">
                  <c:v>407515.58269785211</c:v>
                </c:pt>
                <c:pt idx="121">
                  <c:v>412897.95877079881</c:v>
                </c:pt>
                <c:pt idx="122">
                  <c:v>418309.48938080732</c:v>
                </c:pt>
                <c:pt idx="123">
                  <c:v>423750.3324482867</c:v>
                </c:pt>
                <c:pt idx="124">
                  <c:v>429220.64674904826</c:v>
                </c:pt>
                <c:pt idx="125">
                  <c:v>434720.59191893897</c:v>
                </c:pt>
                <c:pt idx="126">
                  <c:v>440250.32845849986</c:v>
                </c:pt>
                <c:pt idx="127">
                  <c:v>445810.01773765008</c:v>
                </c:pt>
                <c:pt idx="128">
                  <c:v>451399.82200039568</c:v>
                </c:pt>
                <c:pt idx="129">
                  <c:v>457019.90436956449</c:v>
                </c:pt>
                <c:pt idx="130">
                  <c:v>462670.42885156628</c:v>
                </c:pt>
                <c:pt idx="131">
                  <c:v>468351.56034117891</c:v>
                </c:pt>
                <c:pt idx="132">
                  <c:v>474063.46462636028</c:v>
                </c:pt>
                <c:pt idx="133">
                  <c:v>479806.30839308642</c:v>
                </c:pt>
                <c:pt idx="134">
                  <c:v>485580.25923021563</c:v>
                </c:pt>
                <c:pt idx="135">
                  <c:v>491385.48563437932</c:v>
                </c:pt>
                <c:pt idx="136">
                  <c:v>497222.1570148989</c:v>
                </c:pt>
                <c:pt idx="137">
                  <c:v>503090.44369872962</c:v>
                </c:pt>
                <c:pt idx="138">
                  <c:v>508990.51693543105</c:v>
                </c:pt>
                <c:pt idx="139">
                  <c:v>514922.54890216462</c:v>
                </c:pt>
                <c:pt idx="140">
                  <c:v>520886.71270871803</c:v>
                </c:pt>
                <c:pt idx="141">
                  <c:v>526883.18240255699</c:v>
                </c:pt>
                <c:pt idx="142">
                  <c:v>532912.13297390414</c:v>
                </c:pt>
                <c:pt idx="143">
                  <c:v>538973.74036084616</c:v>
                </c:pt>
                <c:pt idx="144">
                  <c:v>545068.18145446735</c:v>
                </c:pt>
                <c:pt idx="145">
                  <c:v>551195.6341040124</c:v>
                </c:pt>
                <c:pt idx="146">
                  <c:v>557356.27712207579</c:v>
                </c:pt>
                <c:pt idx="147">
                  <c:v>563550.2902898204</c:v>
                </c:pt>
                <c:pt idx="148">
                  <c:v>569777.85436222365</c:v>
                </c:pt>
                <c:pt idx="149">
                  <c:v>576039.15107335232</c:v>
                </c:pt>
                <c:pt idx="150">
                  <c:v>582334.36314166628</c:v>
                </c:pt>
                <c:pt idx="151">
                  <c:v>588663.67427535029</c:v>
                </c:pt>
                <c:pt idx="152">
                  <c:v>595027.26917767513</c:v>
                </c:pt>
                <c:pt idx="153">
                  <c:v>601425.33355238754</c:v>
                </c:pt>
                <c:pt idx="154">
                  <c:v>607858.05410912959</c:v>
                </c:pt>
                <c:pt idx="155">
                  <c:v>614325.61856888735</c:v>
                </c:pt>
                <c:pt idx="156">
                  <c:v>620828.21566946886</c:v>
                </c:pt>
                <c:pt idx="157">
                  <c:v>627366.03517101181</c:v>
                </c:pt>
                <c:pt idx="158">
                  <c:v>633939.26786152145</c:v>
                </c:pt>
                <c:pt idx="159">
                  <c:v>640548.10556243802</c:v>
                </c:pt>
                <c:pt idx="160">
                  <c:v>647192.74113423459</c:v>
                </c:pt>
                <c:pt idx="161">
                  <c:v>653873.36848204501</c:v>
                </c:pt>
                <c:pt idx="162">
                  <c:v>660590.18256132281</c:v>
                </c:pt>
                <c:pt idx="163">
                  <c:v>667343.37938353</c:v>
                </c:pt>
                <c:pt idx="164">
                  <c:v>674133.1560218574</c:v>
                </c:pt>
                <c:pt idx="165">
                  <c:v>680959.71061697579</c:v>
                </c:pt>
                <c:pt idx="166">
                  <c:v>687823.24238281779</c:v>
                </c:pt>
                <c:pt idx="167">
                  <c:v>694723.95161239139</c:v>
                </c:pt>
                <c:pt idx="168">
                  <c:v>701662.03968362522</c:v>
                </c:pt>
                <c:pt idx="169">
                  <c:v>708637.70906524488</c:v>
                </c:pt>
                <c:pt idx="170">
                  <c:v>715651.16332268168</c:v>
                </c:pt>
                <c:pt idx="171">
                  <c:v>722702.60712401289</c:v>
                </c:pt>
                <c:pt idx="172">
                  <c:v>729792.24624593463</c:v>
                </c:pt>
                <c:pt idx="173">
                  <c:v>736920.28757976682</c:v>
                </c:pt>
                <c:pt idx="174">
                  <c:v>744086.93913749058</c:v>
                </c:pt>
                <c:pt idx="175">
                  <c:v>751292.41005781863</c:v>
                </c:pt>
                <c:pt idx="176">
                  <c:v>758536.91061229852</c:v>
                </c:pt>
                <c:pt idx="177">
                  <c:v>765820.65221144853</c:v>
                </c:pt>
                <c:pt idx="178">
                  <c:v>773143.84741092718</c:v>
                </c:pt>
                <c:pt idx="179">
                  <c:v>780506.70991773636</c:v>
                </c:pt>
                <c:pt idx="180">
                  <c:v>787909.45459645742</c:v>
                </c:pt>
                <c:pt idx="181">
                  <c:v>795352.29747552157</c:v>
                </c:pt>
                <c:pt idx="182">
                  <c:v>802835.45575351396</c:v>
                </c:pt>
                <c:pt idx="183">
                  <c:v>810359.14780551218</c:v>
                </c:pt>
                <c:pt idx="184">
                  <c:v>817923.59318945871</c:v>
                </c:pt>
                <c:pt idx="185">
                  <c:v>825529.01265256829</c:v>
                </c:pt>
                <c:pt idx="186">
                  <c:v>833175.62813776964</c:v>
                </c:pt>
                <c:pt idx="187">
                  <c:v>840863.66279018251</c:v>
                </c:pt>
                <c:pt idx="188">
                  <c:v>848593.34096362931</c:v>
                </c:pt>
                <c:pt idx="189">
                  <c:v>856364.88822718232</c:v>
                </c:pt>
                <c:pt idx="190">
                  <c:v>864178.53137174621</c:v>
                </c:pt>
                <c:pt idx="191">
                  <c:v>872034.49841667654</c:v>
                </c:pt>
                <c:pt idx="192">
                  <c:v>879933.01861643349</c:v>
                </c:pt>
                <c:pt idx="193">
                  <c:v>887874.32246727252</c:v>
                </c:pt>
                <c:pt idx="194">
                  <c:v>895858.64171397022</c:v>
                </c:pt>
                <c:pt idx="195">
                  <c:v>903886.20935658761</c:v>
                </c:pt>
                <c:pt idx="196">
                  <c:v>911957.25965726911</c:v>
                </c:pt>
                <c:pt idx="197">
                  <c:v>920072.02814707928</c:v>
                </c:pt>
                <c:pt idx="198">
                  <c:v>928230.751632876</c:v>
                </c:pt>
                <c:pt idx="199">
                  <c:v>936433.66820422071</c:v>
                </c:pt>
                <c:pt idx="200">
                  <c:v>944681.01724032685</c:v>
                </c:pt>
                <c:pt idx="201">
                  <c:v>952973.03941704531</c:v>
                </c:pt>
                <c:pt idx="202">
                  <c:v>961309.97671388765</c:v>
                </c:pt>
                <c:pt idx="203">
                  <c:v>969692.07242108788</c:v>
                </c:pt>
                <c:pt idx="204">
                  <c:v>978119.57114670216</c:v>
                </c:pt>
                <c:pt idx="205">
                  <c:v>984917.71882374678</c:v>
                </c:pt>
                <c:pt idx="206">
                  <c:v>991752.68980070879</c:v>
                </c:pt>
                <c:pt idx="207">
                  <c:v>998624.68353712931</c:v>
                </c:pt>
                <c:pt idx="208">
                  <c:v>1005533.9005729554</c:v>
                </c:pt>
                <c:pt idx="209">
                  <c:v>1012480.5425343922</c:v>
                </c:pt>
                <c:pt idx="210">
                  <c:v>1019464.8121397868</c:v>
                </c:pt>
                <c:pt idx="211">
                  <c:v>1026486.913205544</c:v>
                </c:pt>
                <c:pt idx="212">
                  <c:v>1033547.050652074</c:v>
                </c:pt>
                <c:pt idx="213">
                  <c:v>1040645.4305097727</c:v>
                </c:pt>
                <c:pt idx="214">
                  <c:v>1047782.259925034</c:v>
                </c:pt>
                <c:pt idx="215">
                  <c:v>1054957.7471662946</c:v>
                </c:pt>
                <c:pt idx="216">
                  <c:v>1062172.1016301119</c:v>
                </c:pt>
                <c:pt idx="217">
                  <c:v>1069425.533847275</c:v>
                </c:pt>
                <c:pt idx="218">
                  <c:v>1076718.2554889477</c:v>
                </c:pt>
                <c:pt idx="219">
                  <c:v>1084050.4793728462</c:v>
                </c:pt>
                <c:pt idx="220">
                  <c:v>1091422.4194694492</c:v>
                </c:pt>
                <c:pt idx="221">
                  <c:v>1098834.2909082421</c:v>
                </c:pt>
                <c:pt idx="222">
                  <c:v>1106286.309983995</c:v>
                </c:pt>
                <c:pt idx="223">
                  <c:v>1113778.6941630749</c:v>
                </c:pt>
                <c:pt idx="224">
                  <c:v>1121311.6620897916</c:v>
                </c:pt>
                <c:pt idx="225">
                  <c:v>1128885.4335927779</c:v>
                </c:pt>
                <c:pt idx="226">
                  <c:v>1136500.2296914055</c:v>
                </c:pt>
                <c:pt idx="227">
                  <c:v>1144156.272602234</c:v>
                </c:pt>
                <c:pt idx="228">
                  <c:v>1151853.7857454962</c:v>
                </c:pt>
                <c:pt idx="229">
                  <c:v>1159592.9937516176</c:v>
                </c:pt>
                <c:pt idx="230">
                  <c:v>1167374.1224677721</c:v>
                </c:pt>
                <c:pt idx="231">
                  <c:v>1175197.3989644726</c:v>
                </c:pt>
                <c:pt idx="232">
                  <c:v>1183063.0515421969</c:v>
                </c:pt>
                <c:pt idx="233">
                  <c:v>1190971.3097380504</c:v>
                </c:pt>
                <c:pt idx="234">
                  <c:v>1198922.4043324648</c:v>
                </c:pt>
                <c:pt idx="235">
                  <c:v>1206916.5673559322</c:v>
                </c:pt>
                <c:pt idx="236">
                  <c:v>1214954.0320957769</c:v>
                </c:pt>
                <c:pt idx="237">
                  <c:v>1223035.0331029624</c:v>
                </c:pt>
                <c:pt idx="238">
                  <c:v>1231159.8061989369</c:v>
                </c:pt>
                <c:pt idx="239">
                  <c:v>1239328.5884825145</c:v>
                </c:pt>
                <c:pt idx="240">
                  <c:v>1247541.6183367947</c:v>
                </c:pt>
                <c:pt idx="241">
                  <c:v>1255799.135436119</c:v>
                </c:pt>
                <c:pt idx="242">
                  <c:v>1264101.3807530648</c:v>
                </c:pt>
                <c:pt idx="243">
                  <c:v>1272448.5965654771</c:v>
                </c:pt>
                <c:pt idx="244">
                  <c:v>1280841.02646354</c:v>
                </c:pt>
                <c:pt idx="245">
                  <c:v>1289278.9153568842</c:v>
                </c:pt>
                <c:pt idx="246">
                  <c:v>1297762.5094817341</c:v>
                </c:pt>
                <c:pt idx="247">
                  <c:v>1306292.0564080935</c:v>
                </c:pt>
                <c:pt idx="248">
                  <c:v>1314867.8050469707</c:v>
                </c:pt>
                <c:pt idx="249">
                  <c:v>1323490.0056576419</c:v>
                </c:pt>
                <c:pt idx="250">
                  <c:v>1332158.9098549541</c:v>
                </c:pt>
                <c:pt idx="251">
                  <c:v>1340874.7706166685</c:v>
                </c:pt>
                <c:pt idx="252">
                  <c:v>1349637.8422908422</c:v>
                </c:pt>
                <c:pt idx="253">
                  <c:v>1358448.380603251</c:v>
                </c:pt>
                <c:pt idx="254">
                  <c:v>1367306.6426648521</c:v>
                </c:pt>
                <c:pt idx="255">
                  <c:v>1376212.8869792868</c:v>
                </c:pt>
                <c:pt idx="256">
                  <c:v>1385167.3734504245</c:v>
                </c:pt>
                <c:pt idx="257">
                  <c:v>1394170.3633899477</c:v>
                </c:pt>
                <c:pt idx="258">
                  <c:v>1403222.1195249765</c:v>
                </c:pt>
                <c:pt idx="259">
                  <c:v>1412322.9060057367</c:v>
                </c:pt>
                <c:pt idx="260">
                  <c:v>1421472.9884132678</c:v>
                </c:pt>
                <c:pt idx="261">
                  <c:v>1430672.6337671729</c:v>
                </c:pt>
                <c:pt idx="262">
                  <c:v>1439922.1105334118</c:v>
                </c:pt>
                <c:pt idx="263">
                  <c:v>1449221.6886321346</c:v>
                </c:pt>
                <c:pt idx="264">
                  <c:v>1458571.6394455587</c:v>
                </c:pt>
                <c:pt idx="265">
                  <c:v>1467972.2358258888</c:v>
                </c:pt>
                <c:pt idx="266">
                  <c:v>1477423.7521032791</c:v>
                </c:pt>
                <c:pt idx="267">
                  <c:v>1486926.4640938386</c:v>
                </c:pt>
                <c:pt idx="268">
                  <c:v>1496480.6491076802</c:v>
                </c:pt>
                <c:pt idx="269">
                  <c:v>1506086.5859570135</c:v>
                </c:pt>
                <c:pt idx="270">
                  <c:v>1515744.5549642807</c:v>
                </c:pt>
                <c:pt idx="271">
                  <c:v>1525454.8379703371</c:v>
                </c:pt>
                <c:pt idx="272">
                  <c:v>1535217.7183426765</c:v>
                </c:pt>
                <c:pt idx="273">
                  <c:v>1545033.4809836994</c:v>
                </c:pt>
                <c:pt idx="274">
                  <c:v>1554902.4123390277</c:v>
                </c:pt>
                <c:pt idx="275">
                  <c:v>1564824.8004058641</c:v>
                </c:pt>
                <c:pt idx="276">
                  <c:v>1574800.934741396</c:v>
                </c:pt>
                <c:pt idx="277">
                  <c:v>1584831.1064712452</c:v>
                </c:pt>
                <c:pt idx="278">
                  <c:v>1594915.6082979643</c:v>
                </c:pt>
                <c:pt idx="279">
                  <c:v>1605054.7345095782</c:v>
                </c:pt>
                <c:pt idx="280">
                  <c:v>1615248.7809881717</c:v>
                </c:pt>
                <c:pt idx="281">
                  <c:v>1625498.0452185243</c:v>
                </c:pt>
                <c:pt idx="282">
                  <c:v>1635802.8262967912</c:v>
                </c:pt>
                <c:pt idx="283">
                  <c:v>1646163.4249392322</c:v>
                </c:pt>
                <c:pt idx="284">
                  <c:v>1656580.1434909864</c:v>
                </c:pt>
                <c:pt idx="285">
                  <c:v>1667053.285934896</c:v>
                </c:pt>
                <c:pt idx="286">
                  <c:v>1677583.1579003767</c:v>
                </c:pt>
                <c:pt idx="287">
                  <c:v>1688170.066672337</c:v>
                </c:pt>
                <c:pt idx="288">
                  <c:v>1698814.3212001454</c:v>
                </c:pt>
                <c:pt idx="289">
                  <c:v>1709516.2321066463</c:v>
                </c:pt>
                <c:pt idx="290">
                  <c:v>1720276.111697224</c:v>
                </c:pt>
                <c:pt idx="291">
                  <c:v>1731094.2739689173</c:v>
                </c:pt>
                <c:pt idx="292">
                  <c:v>1741971.0346195824</c:v>
                </c:pt>
                <c:pt idx="293">
                  <c:v>1752906.7110571051</c:v>
                </c:pt>
                <c:pt idx="294">
                  <c:v>1763901.6224086643</c:v>
                </c:pt>
                <c:pt idx="295">
                  <c:v>1774956.0895300447</c:v>
                </c:pt>
                <c:pt idx="296">
                  <c:v>1786070.435014999</c:v>
                </c:pt>
                <c:pt idx="297">
                  <c:v>1797244.9832046635</c:v>
                </c:pt>
                <c:pt idx="298">
                  <c:v>1808480.060197022</c:v>
                </c:pt>
                <c:pt idx="299">
                  <c:v>1819775.9938564226</c:v>
                </c:pt>
                <c:pt idx="300">
                  <c:v>1831133.1138231449</c:v>
                </c:pt>
              </c:numCache>
            </c:numRef>
          </c:val>
        </c:ser>
        <c:ser>
          <c:idx val="17"/>
          <c:order val="15"/>
          <c:tx>
            <c:strRef>
              <c:f>Data!$U$13</c:f>
              <c:strCache>
                <c:ptCount val="1"/>
                <c:pt idx="0">
                  <c:v>Dynetics ESOP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val>
            <c:numRef>
              <c:f>Data!$U$14:$U$315</c:f>
              <c:numCache>
                <c:formatCode>0.00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.00_);[Red]\(#,##0.00\)">
                  <c:v>0</c:v>
                </c:pt>
                <c:pt idx="19" formatCode="#,##0.00_);[Red]\(#,##0.00\)">
                  <c:v>0</c:v>
                </c:pt>
                <c:pt idx="20" formatCode="#,##0.00_);[Red]\(#,##0.00\)">
                  <c:v>0</c:v>
                </c:pt>
                <c:pt idx="21" formatCode="#,##0.00_);[Red]\(#,##0.00\)">
                  <c:v>0</c:v>
                </c:pt>
                <c:pt idx="22" formatCode="#,##0.00_);[Red]\(#,##0.00\)">
                  <c:v>408.33333333333337</c:v>
                </c:pt>
                <c:pt idx="23" formatCode="#,##0.00_);[Red]\(#,##0.00\)">
                  <c:v>818.87847222222229</c:v>
                </c:pt>
                <c:pt idx="24" formatCode="#,##0.00_);[Red]\(#,##0.00\)">
                  <c:v>1231.6473972800927</c:v>
                </c:pt>
                <c:pt idx="25" formatCode="#,##0.00_);[Red]\(#,##0.00\)">
                  <c:v>1646.6521540153599</c:v>
                </c:pt>
                <c:pt idx="26" formatCode="#,##0.00_);[Red]\(#,##0.00\)">
                  <c:v>2063.904853182943</c:v>
                </c:pt>
                <c:pt idx="27" formatCode="#,##0.00_);[Red]\(#,##0.00\)">
                  <c:v>2483.417671137684</c:v>
                </c:pt>
                <c:pt idx="28" formatCode="#,##0.00_);[Red]\(#,##0.00\)">
                  <c:v>2905.2028501896798</c:v>
                </c:pt>
                <c:pt idx="29" formatCode="#,##0.00_);[Red]\(#,##0.00\)">
                  <c:v>3329.2726989615408</c:v>
                </c:pt>
                <c:pt idx="30" formatCode="#,##0.00_);[Red]\(#,##0.00\)">
                  <c:v>3755.6395927475828</c:v>
                </c:pt>
                <c:pt idx="31" formatCode="#,##0.00_);[Red]\(#,##0.00\)">
                  <c:v>4184.3159738749655</c:v>
                </c:pt>
                <c:pt idx="32" formatCode="#,##0.00_);[Red]\(#,##0.00\)">
                  <c:v>4615.3143520667882</c:v>
                </c:pt>
                <c:pt idx="33" formatCode="#,##0.00_);[Red]\(#,##0.00\)">
                  <c:v>5048.6473048071493</c:v>
                </c:pt>
                <c:pt idx="34" formatCode="#,##0.00_);[Red]\(#,##0.00\)">
                  <c:v>5484.3274777081879</c:v>
                </c:pt>
                <c:pt idx="35" formatCode="#,##0.00_);[Red]\(#,##0.00\)">
                  <c:v>5922.3675848791072</c:v>
                </c:pt>
                <c:pt idx="36" formatCode="#,##0.00_);[Red]\(#,##0.00\)">
                  <c:v>6362.7804092972019</c:v>
                </c:pt>
                <c:pt idx="37" formatCode="#,##0.00_);[Red]\(#,##0.00\)">
                  <c:v>6805.5788031808952</c:v>
                </c:pt>
                <c:pt idx="38" formatCode="#,##0.00_);[Red]\(#,##0.00\)">
                  <c:v>7250.7756883647917</c:v>
                </c:pt>
                <c:pt idx="39" formatCode="#,##0.00_);[Red]\(#,##0.00\)">
                  <c:v>7698.3840566767676</c:v>
                </c:pt>
                <c:pt idx="40" formatCode="#,##0.00_);[Red]\(#,##0.00\)">
                  <c:v>8148.4169703171001</c:v>
                </c:pt>
                <c:pt idx="41" formatCode="#,##0.00_);[Red]\(#,##0.00\)">
                  <c:v>8600.8875622396517</c:v>
                </c:pt>
                <c:pt idx="42" formatCode="#,##0.00_);[Red]\(#,##0.00\)">
                  <c:v>9055.8090365351163</c:v>
                </c:pt>
                <c:pt idx="43" formatCode="#,##0.00_);[Red]\(#,##0.00\)">
                  <c:v>9513.194668816348</c:v>
                </c:pt>
                <c:pt idx="44" formatCode="#,##0.00_);[Red]\(#,##0.00\)">
                  <c:v>9973.0578066057697</c:v>
                </c:pt>
                <c:pt idx="45" formatCode="#,##0.00_);[Red]\(#,##0.00\)">
                  <c:v>10435.411869724885</c:v>
                </c:pt>
                <c:pt idx="46" formatCode="#,##0.00_);[Red]\(#,##0.00\)">
                  <c:v>10900.270350685896</c:v>
                </c:pt>
                <c:pt idx="47" formatCode="#,##0.00_);[Red]\(#,##0.00\)">
                  <c:v>11367.646815085445</c:v>
                </c:pt>
                <c:pt idx="48" formatCode="#,##0.00_);[Red]\(#,##0.00\)">
                  <c:v>11837.554902000493</c:v>
                </c:pt>
                <c:pt idx="49" formatCode="#,##0.00_);[Red]\(#,##0.00\)">
                  <c:v>12310.00832438633</c:v>
                </c:pt>
                <c:pt idx="50" formatCode="#,##0.00_);[Red]\(#,##0.00\)">
                  <c:v>12785.020869476757</c:v>
                </c:pt>
                <c:pt idx="51" formatCode="#,##0.00_);[Red]\(#,##0.00\)">
                  <c:v>13262.606399186423</c:v>
                </c:pt>
                <c:pt idx="52" formatCode="#,##0.00_);[Red]\(#,##0.00\)">
                  <c:v>13742.778850515349</c:v>
                </c:pt>
                <c:pt idx="53" formatCode="#,##0.00_);[Red]\(#,##0.00\)">
                  <c:v>14225.552235955642</c:v>
                </c:pt>
                <c:pt idx="54" formatCode="#,##0.00_);[Red]\(#,##0.00\)">
                  <c:v>14710.940643900401</c:v>
                </c:pt>
                <c:pt idx="55" formatCode="#,##0.00_);[Red]\(#,##0.00\)">
                  <c:v>15198.958239054862</c:v>
                </c:pt>
                <c:pt idx="56" formatCode="#,##0.00_);[Red]\(#,##0.00\)">
                  <c:v>15689.619262849743</c:v>
                </c:pt>
                <c:pt idx="57" formatCode="#,##0.00_);[Red]\(#,##0.00\)">
                  <c:v>16182.938033856846</c:v>
                </c:pt>
                <c:pt idx="58" formatCode="#,##0.00_);[Red]\(#,##0.00\)">
                  <c:v>16678.928948206903</c:v>
                </c:pt>
                <c:pt idx="59" formatCode="#,##0.00_);[Red]\(#,##0.00\)">
                  <c:v>17177.60648000969</c:v>
                </c:pt>
                <c:pt idx="60" formatCode="#,##0.00_);[Red]\(#,##0.00\)">
                  <c:v>17678.985181776407</c:v>
                </c:pt>
                <c:pt idx="61" formatCode="#,##0.00_);[Red]\(#,##0.00\)">
                  <c:v>18183.079684844361</c:v>
                </c:pt>
                <c:pt idx="62" formatCode="#,##0.00_);[Red]\(#,##0.00\)">
                  <c:v>18689.904699803934</c:v>
                </c:pt>
                <c:pt idx="63" formatCode="#,##0.00_);[Red]\(#,##0.00\)">
                  <c:v>19199.47501692787</c:v>
                </c:pt>
                <c:pt idx="64" formatCode="#,##0.00_);[Red]\(#,##0.00\)">
                  <c:v>19711.805506602894</c:v>
                </c:pt>
                <c:pt idx="65" formatCode="#,##0.00_);[Red]\(#,##0.00\)">
                  <c:v>20226.911119763659</c:v>
                </c:pt>
                <c:pt idx="66" formatCode="#,##0.00_);[Red]\(#,##0.00\)">
                  <c:v>20744.806888329043</c:v>
                </c:pt>
                <c:pt idx="67" formatCode="#,##0.00_);[Red]\(#,##0.00\)">
                  <c:v>21265.507925640824</c:v>
                </c:pt>
                <c:pt idx="68" formatCode="#,##0.00_);[Red]\(#,##0.00\)">
                  <c:v>21789.029426904712</c:v>
                </c:pt>
                <c:pt idx="69" formatCode="#,##0.00_);[Red]\(#,##0.00\)">
                  <c:v>22315.386669633779</c:v>
                </c:pt>
                <c:pt idx="70" formatCode="#,##0.00_);[Red]\(#,##0.00\)">
                  <c:v>22844.595014094295</c:v>
                </c:pt>
                <c:pt idx="71" formatCode="#,##0.00_);[Red]\(#,##0.00\)">
                  <c:v>23376.669903753973</c:v>
                </c:pt>
                <c:pt idx="72" formatCode="#,##0.00_);[Red]\(#,##0.00\)">
                  <c:v>23911.62686573264</c:v>
                </c:pt>
                <c:pt idx="73" formatCode="#,##0.00_);[Red]\(#,##0.00\)">
                  <c:v>24449.481511255359</c:v>
                </c:pt>
                <c:pt idx="74" formatCode="#,##0.00_);[Red]\(#,##0.00\)">
                  <c:v>24990.249536107989</c:v>
                </c:pt>
                <c:pt idx="75" formatCode="#,##0.00_);[Red]\(#,##0.00\)">
                  <c:v>25533.946721095239</c:v>
                </c:pt>
                <c:pt idx="76" formatCode="#,##0.00_);[Red]\(#,##0.00\)">
                  <c:v>26080.58893250117</c:v>
                </c:pt>
                <c:pt idx="77" formatCode="#,##0.00_);[Red]\(#,##0.00\)">
                  <c:v>26630.192122552216</c:v>
                </c:pt>
                <c:pt idx="78" formatCode="#,##0.00_);[Red]\(#,##0.00\)">
                  <c:v>27182.772329882708</c:v>
                </c:pt>
                <c:pt idx="79" formatCode="#,##0.00_);[Red]\(#,##0.00\)">
                  <c:v>27738.345680002905</c:v>
                </c:pt>
                <c:pt idx="80" formatCode="#,##0.00_);[Red]\(#,##0.00\)">
                  <c:v>28296.928385769588</c:v>
                </c:pt>
                <c:pt idx="81" formatCode="#,##0.00_);[Red]\(#,##0.00\)">
                  <c:v>28858.536747859172</c:v>
                </c:pt>
                <c:pt idx="82" formatCode="#,##0.00_);[Red]\(#,##0.00\)">
                  <c:v>29423.18715524341</c:v>
                </c:pt>
                <c:pt idx="83" formatCode="#,##0.00_);[Red]\(#,##0.00\)">
                  <c:v>29990.896085667642</c:v>
                </c:pt>
                <c:pt idx="84" formatCode="#,##0.00_);[Red]\(#,##0.00\)">
                  <c:v>30561.680106131673</c:v>
                </c:pt>
                <c:pt idx="85" formatCode="#,##0.00_);[Red]\(#,##0.00\)">
                  <c:v>31135.555873373218</c:v>
                </c:pt>
                <c:pt idx="86" formatCode="#,##0.00_);[Red]\(#,##0.00\)">
                  <c:v>31712.540134353989</c:v>
                </c:pt>
                <c:pt idx="87" formatCode="#,##0.00_);[Red]\(#,##0.00\)">
                  <c:v>32292.649726748405</c:v>
                </c:pt>
                <c:pt idx="88" formatCode="#,##0.00_);[Red]\(#,##0.00\)">
                  <c:v>32875.901579434962</c:v>
                </c:pt>
                <c:pt idx="89" formatCode="#,##0.00_);[Red]\(#,##0.00\)">
                  <c:v>33462.312712990235</c:v>
                </c:pt>
                <c:pt idx="90" formatCode="#,##0.00_);[Red]\(#,##0.00\)">
                  <c:v>34051.900240185598</c:v>
                </c:pt>
                <c:pt idx="91" formatCode="#,##0.00_);[Red]\(#,##0.00\)">
                  <c:v>34644.681366486606</c:v>
                </c:pt>
                <c:pt idx="92" formatCode="#,##0.00_);[Red]\(#,##0.00\)">
                  <c:v>35240.673390555079</c:v>
                </c:pt>
                <c:pt idx="93" formatCode="#,##0.00_);[Red]\(#,##0.00\)">
                  <c:v>35839.893704753922</c:v>
                </c:pt>
                <c:pt idx="94" formatCode="#,##0.00_);[Red]\(#,##0.00\)">
                  <c:v>36442.359795654673</c:v>
                </c:pt>
                <c:pt idx="95" formatCode="#,##0.00_);[Red]\(#,##0.00\)">
                  <c:v>37048.089244547802</c:v>
                </c:pt>
                <c:pt idx="96" formatCode="#,##0.00_);[Red]\(#,##0.00\)">
                  <c:v>37657.099727955771</c:v>
                </c:pt>
                <c:pt idx="97" formatCode="#,##0.00_);[Red]\(#,##0.00\)">
                  <c:v>38269.409018148865</c:v>
                </c:pt>
                <c:pt idx="98" formatCode="#,##0.00_);[Red]\(#,##0.00\)">
                  <c:v>38885.034983663842</c:v>
                </c:pt>
                <c:pt idx="99" formatCode="#,##0.00_);[Red]\(#,##0.00\)">
                  <c:v>39503.995589825354</c:v>
                </c:pt>
                <c:pt idx="100" formatCode="#,##0.00_);[Red]\(#,##0.00\)">
                  <c:v>40126.308899270247</c:v>
                </c:pt>
                <c:pt idx="101" formatCode="#,##0.00_);[Red]\(#,##0.00\)">
                  <c:v>40751.99307247463</c:v>
                </c:pt>
                <c:pt idx="102" formatCode="#,##0.00_);[Red]\(#,##0.00\)">
                  <c:v>41381.066368283871</c:v>
                </c:pt>
                <c:pt idx="103" formatCode="#,##0.00_);[Red]\(#,##0.00\)">
                  <c:v>42013.547144445409</c:v>
                </c:pt>
                <c:pt idx="104" formatCode="#,##0.00_);[Red]\(#,##0.00\)">
                  <c:v>42649.453858144494</c:v>
                </c:pt>
                <c:pt idx="105" formatCode="#,##0.00_);[Red]\(#,##0.00\)">
                  <c:v>43288.80506654278</c:v>
                </c:pt>
                <c:pt idx="106" formatCode="#,##0.00_);[Red]\(#,##0.00\)">
                  <c:v>43931.619427319893</c:v>
                </c:pt>
                <c:pt idx="107" formatCode="#,##0.00_);[Red]\(#,##0.00\)">
                  <c:v>44577.915699217876</c:v>
                </c:pt>
                <c:pt idx="108" formatCode="#,##0.00_);[Red]\(#,##0.00\)">
                  <c:v>45227.712742588643</c:v>
                </c:pt>
                <c:pt idx="109" formatCode="#,##0.00_);[Red]\(#,##0.00\)">
                  <c:v>45881.029519944335</c:v>
                </c:pt>
                <c:pt idx="110" formatCode="#,##0.00_);[Red]\(#,##0.00\)">
                  <c:v>46537.885096510705</c:v>
                </c:pt>
                <c:pt idx="111" formatCode="#,##0.00_);[Red]\(#,##0.00\)">
                  <c:v>47198.298640783476</c:v>
                </c:pt>
                <c:pt idx="112" formatCode="#,##0.00_);[Red]\(#,##0.00\)">
                  <c:v>47862.289425087722</c:v>
                </c:pt>
                <c:pt idx="113" formatCode="#,##0.00_);[Red]\(#,##0.00\)">
                  <c:v>48529.87682614028</c:v>
                </c:pt>
                <c:pt idx="114" formatCode="#,##0.00_);[Red]\(#,##0.00\)">
                  <c:v>49201.080325615207</c:v>
                </c:pt>
                <c:pt idx="115" formatCode="#,##0.00_);[Red]\(#,##0.00\)">
                  <c:v>49875.919510712294</c:v>
                </c:pt>
                <c:pt idx="116" formatCode="#,##0.00_);[Red]\(#,##0.00\)">
                  <c:v>50554.414074728658</c:v>
                </c:pt>
                <c:pt idx="117" formatCode="#,##0.00_);[Red]\(#,##0.00\)">
                  <c:v>51236.583817633444</c:v>
                </c:pt>
                <c:pt idx="118" formatCode="#,##0.00_);[Red]\(#,##0.00\)">
                  <c:v>51922.448646645629</c:v>
                </c:pt>
                <c:pt idx="119" formatCode="#,##0.00_);[Red]\(#,##0.00\)">
                  <c:v>52612.028576814962</c:v>
                </c:pt>
                <c:pt idx="120" formatCode="#,##0.00_);[Red]\(#,##0.00\)">
                  <c:v>53305.343731606044</c:v>
                </c:pt>
                <c:pt idx="121" formatCode="#,##0.00_);[Red]\(#,##0.00\)">
                  <c:v>54002.41434348558</c:v>
                </c:pt>
                <c:pt idx="122" formatCode="#,##0.00_);[Red]\(#,##0.00\)">
                  <c:v>54703.260754512798</c:v>
                </c:pt>
                <c:pt idx="123" formatCode="#,##0.00_);[Red]\(#,##0.00\)">
                  <c:v>55407.903416933077</c:v>
                </c:pt>
                <c:pt idx="124" formatCode="#,##0.00_);[Red]\(#,##0.00\)">
                  <c:v>56116.3628937748</c:v>
                </c:pt>
                <c:pt idx="125" formatCode="#,##0.00_);[Red]\(#,##0.00\)">
                  <c:v>56828.659859449413</c:v>
                </c:pt>
                <c:pt idx="126" formatCode="#,##0.00_);[Red]\(#,##0.00\)">
                  <c:v>57544.815100354768</c:v>
                </c:pt>
                <c:pt idx="127" formatCode="#,##0.00_);[Red]\(#,##0.00\)">
                  <c:v>58264.849515481692</c:v>
                </c:pt>
                <c:pt idx="128" formatCode="#,##0.00_);[Red]\(#,##0.00\)">
                  <c:v>58988.78411702389</c:v>
                </c:pt>
                <c:pt idx="129" formatCode="#,##0.00_);[Red]\(#,##0.00\)">
                  <c:v>59716.640030991104</c:v>
                </c:pt>
                <c:pt idx="130" formatCode="#,##0.00_);[Red]\(#,##0.00\)">
                  <c:v>60448.438497825642</c:v>
                </c:pt>
                <c:pt idx="131" formatCode="#,##0.00_);[Red]\(#,##0.00\)">
                  <c:v>61184.200873022201</c:v>
                </c:pt>
                <c:pt idx="132" formatCode="#,##0.00_);[Red]\(#,##0.00\)">
                  <c:v>61923.948627751073</c:v>
                </c:pt>
                <c:pt idx="133" formatCode="#,##0.00_);[Red]\(#,##0.00\)">
                  <c:v>62667.703349484727</c:v>
                </c:pt>
                <c:pt idx="134" formatCode="#,##0.00_);[Red]\(#,##0.00\)">
                  <c:v>63415.486742627771</c:v>
                </c:pt>
                <c:pt idx="135" formatCode="#,##0.00_);[Red]\(#,##0.00\)">
                  <c:v>64167.320629150337</c:v>
                </c:pt>
                <c:pt idx="136" formatCode="#,##0.00_);[Red]\(#,##0.00\)">
                  <c:v>64923.226949224903</c:v>
                </c:pt>
                <c:pt idx="137" formatCode="#,##0.00_);[Red]\(#,##0.00\)">
                  <c:v>65683.227761866539</c:v>
                </c:pt>
                <c:pt idx="138" formatCode="#,##0.00_);[Red]\(#,##0.00\)">
                  <c:v>66447.345245576638</c:v>
                </c:pt>
                <c:pt idx="139" formatCode="#,##0.00_);[Red]\(#,##0.00\)">
                  <c:v>67215.601698990169</c:v>
                </c:pt>
                <c:pt idx="140" formatCode="#,##0.00_);[Red]\(#,##0.00\)">
                  <c:v>67988.019541526359</c:v>
                </c:pt>
                <c:pt idx="141" formatCode="#,##0.00_);[Red]\(#,##0.00\)">
                  <c:v>68764.621314042961</c:v>
                </c:pt>
                <c:pt idx="142" formatCode="#,##0.00_);[Red]\(#,##0.00\)">
                  <c:v>69545.429679494016</c:v>
                </c:pt>
                <c:pt idx="143" formatCode="#,##0.00_);[Red]\(#,##0.00\)">
                  <c:v>70330.467423591268</c:v>
                </c:pt>
                <c:pt idx="144" formatCode="#,##0.00_);[Red]\(#,##0.00\)">
                  <c:v>71119.757455469051</c:v>
                </c:pt>
                <c:pt idx="145" formatCode="#,##0.00_);[Red]\(#,##0.00\)">
                  <c:v>71913.322808352837</c:v>
                </c:pt>
                <c:pt idx="146" formatCode="#,##0.00_);[Red]\(#,##0.00\)">
                  <c:v>72711.186640231404</c:v>
                </c:pt>
                <c:pt idx="147" formatCode="#,##0.00_);[Red]\(#,##0.00\)">
                  <c:v>73513.372234532653</c:v>
                </c:pt>
                <c:pt idx="148" formatCode="#,##0.00_);[Red]\(#,##0.00\)">
                  <c:v>74319.903000803039</c:v>
                </c:pt>
                <c:pt idx="149" formatCode="#,##0.00_);[Red]\(#,##0.00\)">
                  <c:v>75130.802475390723</c:v>
                </c:pt>
                <c:pt idx="150" formatCode="#,##0.00_);[Red]\(#,##0.00\)">
                  <c:v>75946.094322132412</c:v>
                </c:pt>
                <c:pt idx="151" formatCode="#,##0.00_);[Red]\(#,##0.00\)">
                  <c:v>76765.802333043961</c:v>
                </c:pt>
                <c:pt idx="152" formatCode="#,##0.00_);[Red]\(#,##0.00\)">
                  <c:v>77589.950429014614</c:v>
                </c:pt>
                <c:pt idx="153" formatCode="#,##0.00_);[Red]\(#,##0.00\)">
                  <c:v>78418.562660505107</c:v>
                </c:pt>
                <c:pt idx="154" formatCode="#,##0.00_);[Red]\(#,##0.00\)">
                  <c:v>79251.663208249505</c:v>
                </c:pt>
                <c:pt idx="155" formatCode="#,##0.00_);[Red]\(#,##0.00\)">
                  <c:v>80089.276383960852</c:v>
                </c:pt>
                <c:pt idx="156" formatCode="#,##0.00_);[Red]\(#,##0.00\)">
                  <c:v>80931.426631040638</c:v>
                </c:pt>
                <c:pt idx="157" formatCode="#,##0.00_);[Red]\(#,##0.00\)">
                  <c:v>81778.138525292103</c:v>
                </c:pt>
                <c:pt idx="158" formatCode="#,##0.00_);[Red]\(#,##0.00\)">
                  <c:v>82629.436775637427</c:v>
                </c:pt>
                <c:pt idx="159" formatCode="#,##0.00_);[Red]\(#,##0.00\)">
                  <c:v>83485.346224838795</c:v>
                </c:pt>
                <c:pt idx="160" formatCode="#,##0.00_);[Red]\(#,##0.00\)">
                  <c:v>84345.891850223328</c:v>
                </c:pt>
                <c:pt idx="161" formatCode="#,##0.00_);[Red]\(#,##0.00\)">
                  <c:v>85211.098764412032</c:v>
                </c:pt>
                <c:pt idx="162" formatCode="#,##0.00_);[Red]\(#,##0.00\)">
                  <c:v>86080.992216052589</c:v>
                </c:pt>
                <c:pt idx="163" formatCode="#,##0.00_);[Red]\(#,##0.00\)">
                  <c:v>86955.597590556208</c:v>
                </c:pt>
                <c:pt idx="164" formatCode="#,##0.00_);[Red]\(#,##0.00\)">
                  <c:v>87834.94041083839</c:v>
                </c:pt>
                <c:pt idx="165" formatCode="#,##0.00_);[Red]\(#,##0.00\)">
                  <c:v>88719.046338063767</c:v>
                </c:pt>
                <c:pt idx="166" formatCode="#,##0.00_);[Red]\(#,##0.00\)">
                  <c:v>89607.941172394945</c:v>
                </c:pt>
                <c:pt idx="167" formatCode="#,##0.00_);[Red]\(#,##0.00\)">
                  <c:v>90501.650853745406</c:v>
                </c:pt>
                <c:pt idx="168" formatCode="#,##0.00_);[Red]\(#,##0.00\)">
                  <c:v>91400.201462536526</c:v>
                </c:pt>
                <c:pt idx="169" formatCode="#,##0.00_);[Red]\(#,##0.00\)">
                  <c:v>92303.619220458597</c:v>
                </c:pt>
                <c:pt idx="170" formatCode="#,##0.00_);[Red]\(#,##0.00\)">
                  <c:v>93211.930491236082</c:v>
                </c:pt>
                <c:pt idx="171" formatCode="#,##0.00_);[Red]\(#,##0.00\)">
                  <c:v>94125.161781396935</c:v>
                </c:pt>
                <c:pt idx="172" formatCode="#,##0.00_);[Red]\(#,##0.00\)">
                  <c:v>95043.339741046162</c:v>
                </c:pt>
                <c:pt idx="173" formatCode="#,##0.00_);[Red]\(#,##0.00\)">
                  <c:v>95966.491164643492</c:v>
                </c:pt>
                <c:pt idx="174" formatCode="#,##0.00_);[Red]\(#,##0.00\)">
                  <c:v>96894.642991785309</c:v>
                </c:pt>
                <c:pt idx="175" formatCode="#,##0.00_);[Red]\(#,##0.00\)">
                  <c:v>97827.822307990806</c:v>
                </c:pt>
                <c:pt idx="176" formatCode="#,##0.00_);[Red]\(#,##0.00\)">
                  <c:v>98766.056345492412</c:v>
                </c:pt>
                <c:pt idx="177" formatCode="#,##0.00_);[Red]\(#,##0.00\)">
                  <c:v>99709.372484030493</c:v>
                </c:pt>
                <c:pt idx="178" formatCode="#,##0.00_);[Red]\(#,##0.00\)">
                  <c:v>100657.79825165232</c:v>
                </c:pt>
                <c:pt idx="179" formatCode="#,##0.00_);[Red]\(#,##0.00\)">
                  <c:v>101611.36132551543</c:v>
                </c:pt>
                <c:pt idx="180" formatCode="#,##0.00_);[Red]\(#,##0.00\)">
                  <c:v>102570.0895326953</c:v>
                </c:pt>
                <c:pt idx="181" formatCode="#,##0.00_);[Red]\(#,##0.00\)">
                  <c:v>103534.01085099739</c:v>
                </c:pt>
                <c:pt idx="182" formatCode="#,##0.00_);[Red]\(#,##0.00\)">
                  <c:v>104503.15340977363</c:v>
                </c:pt>
                <c:pt idx="183" formatCode="#,##0.00_);[Red]\(#,##0.00\)">
                  <c:v>105477.54549074323</c:v>
                </c:pt>
                <c:pt idx="184" formatCode="#,##0.00_);[Red]\(#,##0.00\)">
                  <c:v>106457.21552881808</c:v>
                </c:pt>
                <c:pt idx="185" formatCode="#,##0.00_);[Red]\(#,##0.00\)">
                  <c:v>107442.19211293251</c:v>
                </c:pt>
                <c:pt idx="186" formatCode="#,##0.00_);[Red]\(#,##0.00\)">
                  <c:v>108432.50398687755</c:v>
                </c:pt>
                <c:pt idx="187" formatCode="#,##0.00_);[Red]\(#,##0.00\)">
                  <c:v>109428.1800501398</c:v>
                </c:pt>
                <c:pt idx="188" formatCode="#,##0.00_);[Red]\(#,##0.00\)">
                  <c:v>110429.24935874471</c:v>
                </c:pt>
                <c:pt idx="189" formatCode="#,##0.00_);[Red]\(#,##0.00\)">
                  <c:v>111435.74112610458</c:v>
                </c:pt>
                <c:pt idx="190" formatCode="#,##0.00_);[Red]\(#,##0.00\)">
                  <c:v>112447.68472387097</c:v>
                </c:pt>
                <c:pt idx="191" formatCode="#,##0.00_);[Red]\(#,##0.00\)">
                  <c:v>113465.10968279194</c:v>
                </c:pt>
                <c:pt idx="192" formatCode="#,##0.00_);[Red]\(#,##0.00\)">
                  <c:v>114488.04569357373</c:v>
                </c:pt>
                <c:pt idx="193" formatCode="#,##0.00_);[Red]\(#,##0.00\)">
                  <c:v>115516.52260774725</c:v>
                </c:pt>
                <c:pt idx="194" formatCode="#,##0.00_);[Red]\(#,##0.00\)">
                  <c:v>116550.5704385392</c:v>
                </c:pt>
                <c:pt idx="195" formatCode="#,##0.00_);[Red]\(#,##0.00\)">
                  <c:v>117590.21936174795</c:v>
                </c:pt>
                <c:pt idx="196" formatCode="#,##0.00_);[Red]\(#,##0.00\)">
                  <c:v>118635.49971662408</c:v>
                </c:pt>
                <c:pt idx="197" formatCode="#,##0.00_);[Red]\(#,##0.00\)">
                  <c:v>119686.44200675579</c:v>
                </c:pt>
                <c:pt idx="198" formatCode="#,##0.00_);[Red]\(#,##0.00\)">
                  <c:v>120743.07690095904</c:v>
                </c:pt>
                <c:pt idx="199" formatCode="#,##0.00_);[Red]\(#,##0.00\)">
                  <c:v>121805.43523417256</c:v>
                </c:pt>
                <c:pt idx="200" formatCode="#,##0.00_);[Red]\(#,##0.00\)">
                  <c:v>122873.54800835765</c:v>
                </c:pt>
                <c:pt idx="201" formatCode="#,##0.00_);[Red]\(#,##0.00\)">
                  <c:v>123947.44639340292</c:v>
                </c:pt>
                <c:pt idx="202" formatCode="#,##0.00_);[Red]\(#,##0.00\)">
                  <c:v>125027.16172803384</c:v>
                </c:pt>
                <c:pt idx="203" formatCode="#,##0.00_);[Red]\(#,##0.00\)">
                  <c:v>126112.72552072736</c:v>
                </c:pt>
                <c:pt idx="204" formatCode="#,##0.00_);[Red]\(#,##0.00\)">
                  <c:v>127204.16945063129</c:v>
                </c:pt>
                <c:pt idx="205" formatCode="#,##0.00_);[Red]\(#,##0.00\)">
                  <c:v>127893.19203515555</c:v>
                </c:pt>
                <c:pt idx="206" formatCode="#,##0.00_);[Red]\(#,##0.00\)">
                  <c:v>128585.94682534598</c:v>
                </c:pt>
                <c:pt idx="207" formatCode="#,##0.00_);[Red]\(#,##0.00\)">
                  <c:v>129282.45403731661</c:v>
                </c:pt>
                <c:pt idx="208" formatCode="#,##0.00_);[Red]\(#,##0.00\)">
                  <c:v>129982.73399668541</c:v>
                </c:pt>
                <c:pt idx="209" formatCode="#,##0.00_);[Red]\(#,##0.00\)">
                  <c:v>130686.80713916745</c:v>
                </c:pt>
                <c:pt idx="210" formatCode="#,##0.00_);[Red]\(#,##0.00\)">
                  <c:v>131394.69401117126</c:v>
                </c:pt>
                <c:pt idx="211" formatCode="#,##0.00_);[Red]\(#,##0.00\)">
                  <c:v>132106.41527039843</c:v>
                </c:pt>
                <c:pt idx="212" formatCode="#,##0.00_);[Red]\(#,##0.00\)">
                  <c:v>132821.99168644642</c:v>
                </c:pt>
                <c:pt idx="213" formatCode="#,##0.00_);[Red]\(#,##0.00\)">
                  <c:v>133541.44414141466</c:v>
                </c:pt>
                <c:pt idx="214" formatCode="#,##0.00_);[Red]\(#,##0.00\)">
                  <c:v>134264.79363051397</c:v>
                </c:pt>
                <c:pt idx="215" formatCode="#,##0.00_);[Red]\(#,##0.00\)">
                  <c:v>134992.06126267926</c:v>
                </c:pt>
                <c:pt idx="216" formatCode="#,##0.00_);[Red]\(#,##0.00\)">
                  <c:v>135723.26826118544</c:v>
                </c:pt>
                <c:pt idx="217" formatCode="#,##0.00_);[Red]\(#,##0.00\)">
                  <c:v>136458.43596426686</c:v>
                </c:pt>
                <c:pt idx="218" formatCode="#,##0.00_);[Red]\(#,##0.00\)">
                  <c:v>137197.58582573998</c:v>
                </c:pt>
                <c:pt idx="219" formatCode="#,##0.00_);[Red]\(#,##0.00\)">
                  <c:v>137940.73941562942</c:v>
                </c:pt>
                <c:pt idx="220" formatCode="#,##0.00_);[Red]\(#,##0.00\)">
                  <c:v>138687.91842079742</c:v>
                </c:pt>
                <c:pt idx="221" formatCode="#,##0.00_);[Red]\(#,##0.00\)">
                  <c:v>139439.14464557674</c:v>
                </c:pt>
                <c:pt idx="222" formatCode="#,##0.00_);[Red]\(#,##0.00\)">
                  <c:v>140194.44001240697</c:v>
                </c:pt>
                <c:pt idx="223" formatCode="#,##0.00_);[Red]\(#,##0.00\)">
                  <c:v>140953.82656247416</c:v>
                </c:pt>
                <c:pt idx="224" formatCode="#,##0.00_);[Red]\(#,##0.00\)">
                  <c:v>141717.32645635423</c:v>
                </c:pt>
                <c:pt idx="225" formatCode="#,##0.00_);[Red]\(#,##0.00\)">
                  <c:v>142484.9619746595</c:v>
                </c:pt>
                <c:pt idx="226" formatCode="#,##0.00_);[Red]\(#,##0.00\)">
                  <c:v>143256.75551868891</c:v>
                </c:pt>
                <c:pt idx="227" formatCode="#,##0.00_);[Red]\(#,##0.00\)">
                  <c:v>144032.7296110818</c:v>
                </c:pt>
                <c:pt idx="228" formatCode="#,##0.00_);[Red]\(#,##0.00\)">
                  <c:v>144812.90689647515</c:v>
                </c:pt>
                <c:pt idx="229" formatCode="#,##0.00_);[Red]\(#,##0.00\)">
                  <c:v>145597.31014216438</c:v>
                </c:pt>
                <c:pt idx="230" formatCode="#,##0.00_);[Red]\(#,##0.00\)">
                  <c:v>146385.96223876777</c:v>
                </c:pt>
                <c:pt idx="231" formatCode="#,##0.00_);[Red]\(#,##0.00\)">
                  <c:v>147178.88620089443</c:v>
                </c:pt>
                <c:pt idx="232" formatCode="#,##0.00_);[Red]\(#,##0.00\)">
                  <c:v>147976.10516781593</c:v>
                </c:pt>
                <c:pt idx="233" formatCode="#,##0.00_);[Red]\(#,##0.00\)">
                  <c:v>148777.6424041416</c:v>
                </c:pt>
                <c:pt idx="234" formatCode="#,##0.00_);[Red]\(#,##0.00\)">
                  <c:v>149583.52130049738</c:v>
                </c:pt>
                <c:pt idx="235" formatCode="#,##0.00_);[Red]\(#,##0.00\)">
                  <c:v>150393.76537420839</c:v>
                </c:pt>
                <c:pt idx="236" formatCode="#,##0.00_);[Red]\(#,##0.00\)">
                  <c:v>151208.39826998537</c:v>
                </c:pt>
                <c:pt idx="237" formatCode="#,##0.00_);[Red]\(#,##0.00\)">
                  <c:v>152027.44376061446</c:v>
                </c:pt>
                <c:pt idx="238" formatCode="#,##0.00_);[Red]\(#,##0.00\)">
                  <c:v>152850.92574765111</c:v>
                </c:pt>
                <c:pt idx="239" formatCode="#,##0.00_);[Red]\(#,##0.00\)">
                  <c:v>153678.86826211755</c:v>
                </c:pt>
                <c:pt idx="240" formatCode="#,##0.00_);[Red]\(#,##0.00\)">
                  <c:v>154511.29546520402</c:v>
                </c:pt>
                <c:pt idx="241" formatCode="#,##0.00_);[Red]\(#,##0.00\)">
                  <c:v>155348.23164897389</c:v>
                </c:pt>
                <c:pt idx="242" formatCode="#,##0.00_);[Red]\(#,##0.00\)">
                  <c:v>156189.7012370725</c:v>
                </c:pt>
                <c:pt idx="243" formatCode="#,##0.00_);[Red]\(#,##0.00\)">
                  <c:v>157035.72878543998</c:v>
                </c:pt>
                <c:pt idx="244" formatCode="#,##0.00_);[Red]\(#,##0.00\)">
                  <c:v>157886.33898302779</c:v>
                </c:pt>
                <c:pt idx="245" formatCode="#,##0.00_);[Red]\(#,##0.00\)">
                  <c:v>158741.55665251918</c:v>
                </c:pt>
                <c:pt idx="246" formatCode="#,##0.00_);[Red]\(#,##0.00\)">
                  <c:v>159601.40675105367</c:v>
                </c:pt>
                <c:pt idx="247" formatCode="#,##0.00_);[Red]\(#,##0.00\)">
                  <c:v>160465.9143709552</c:v>
                </c:pt>
                <c:pt idx="248" formatCode="#,##0.00_);[Red]\(#,##0.00\)">
                  <c:v>161335.10474046454</c:v>
                </c:pt>
                <c:pt idx="249" formatCode="#,##0.00_);[Red]\(#,##0.00\)">
                  <c:v>162209.0032244754</c:v>
                </c:pt>
                <c:pt idx="250" formatCode="#,##0.00_);[Red]\(#,##0.00\)">
                  <c:v>163087.63532527463</c:v>
                </c:pt>
                <c:pt idx="251" formatCode="#,##0.00_);[Red]\(#,##0.00\)">
                  <c:v>163971.02668328653</c:v>
                </c:pt>
                <c:pt idx="252" formatCode="#,##0.00_);[Red]\(#,##0.00\)">
                  <c:v>164859.203077821</c:v>
                </c:pt>
                <c:pt idx="253" formatCode="#,##0.00_);[Red]\(#,##0.00\)">
                  <c:v>165752.19042782587</c:v>
                </c:pt>
                <c:pt idx="254" formatCode="#,##0.00_);[Red]\(#,##0.00\)">
                  <c:v>166650.01479264325</c:v>
                </c:pt>
                <c:pt idx="255" formatCode="#,##0.00_);[Red]\(#,##0.00\)">
                  <c:v>167552.70237277006</c:v>
                </c:pt>
                <c:pt idx="256" formatCode="#,##0.00_);[Red]\(#,##0.00\)">
                  <c:v>168460.27951062255</c:v>
                </c:pt>
                <c:pt idx="257" formatCode="#,##0.00_);[Red]\(#,##0.00\)">
                  <c:v>169372.77269130509</c:v>
                </c:pt>
                <c:pt idx="258" formatCode="#,##0.00_);[Red]\(#,##0.00\)">
                  <c:v>170290.20854338299</c:v>
                </c:pt>
                <c:pt idx="259" formatCode="#,##0.00_);[Red]\(#,##0.00\)">
                  <c:v>171212.61383965964</c:v>
                </c:pt>
                <c:pt idx="260" formatCode="#,##0.00_);[Red]\(#,##0.00\)">
                  <c:v>172140.01549795779</c:v>
                </c:pt>
                <c:pt idx="261" formatCode="#,##0.00_);[Red]\(#,##0.00\)">
                  <c:v>173072.44058190507</c:v>
                </c:pt>
                <c:pt idx="262" formatCode="#,##0.00_);[Red]\(#,##0.00\)">
                  <c:v>174009.91630172372</c:v>
                </c:pt>
                <c:pt idx="263" formatCode="#,##0.00_);[Red]\(#,##0.00\)">
                  <c:v>174952.47001502471</c:v>
                </c:pt>
                <c:pt idx="264" formatCode="#,##0.00_);[Red]\(#,##0.00\)">
                  <c:v>175900.12922760608</c:v>
                </c:pt>
                <c:pt idx="265" formatCode="#,##0.00_);[Red]\(#,##0.00\)">
                  <c:v>176852.9215942556</c:v>
                </c:pt>
                <c:pt idx="266" formatCode="#,##0.00_);[Red]\(#,##0.00\)">
                  <c:v>177810.87491955783</c:v>
                </c:pt>
                <c:pt idx="267" formatCode="#,##0.00_);[Red]\(#,##0.00\)">
                  <c:v>178774.01715870542</c:v>
                </c:pt>
                <c:pt idx="268" formatCode="#,##0.00_);[Red]\(#,##0.00\)">
                  <c:v>179742.37641831508</c:v>
                </c:pt>
                <c:pt idx="269" formatCode="#,##0.00_);[Red]\(#,##0.00\)">
                  <c:v>180715.98095724761</c:v>
                </c:pt>
                <c:pt idx="270" formatCode="#,##0.00_);[Red]\(#,##0.00\)">
                  <c:v>181694.85918743271</c:v>
                </c:pt>
                <c:pt idx="271" formatCode="#,##0.00_);[Red]\(#,##0.00\)">
                  <c:v>182679.03967469797</c:v>
                </c:pt>
                <c:pt idx="272" formatCode="#,##0.00_);[Red]\(#,##0.00\)">
                  <c:v>183668.55113960258</c:v>
                </c:pt>
                <c:pt idx="273" formatCode="#,##0.00_);[Red]\(#,##0.00\)">
                  <c:v>184663.42245827543</c:v>
                </c:pt>
                <c:pt idx="274" formatCode="#,##0.00_);[Red]\(#,##0.00\)">
                  <c:v>185663.68266325776</c:v>
                </c:pt>
                <c:pt idx="275" formatCode="#,##0.00_);[Red]\(#,##0.00\)">
                  <c:v>186669.3609443504</c:v>
                </c:pt>
                <c:pt idx="276" formatCode="#,##0.00_);[Red]\(#,##0.00\)">
                  <c:v>187680.48664946563</c:v>
                </c:pt>
                <c:pt idx="277" formatCode="#,##0.00_);[Red]\(#,##0.00\)">
                  <c:v>188697.08928548358</c:v>
                </c:pt>
                <c:pt idx="278" formatCode="#,##0.00_);[Red]\(#,##0.00\)">
                  <c:v>189719.1985191133</c:v>
                </c:pt>
                <c:pt idx="279" formatCode="#,##0.00_);[Red]\(#,##0.00\)">
                  <c:v>190746.8441777585</c:v>
                </c:pt>
                <c:pt idx="280" formatCode="#,##0.00_);[Red]\(#,##0.00\)">
                  <c:v>191780.05625038804</c:v>
                </c:pt>
                <c:pt idx="281" formatCode="#,##0.00_);[Red]\(#,##0.00\)">
                  <c:v>192818.86488841096</c:v>
                </c:pt>
                <c:pt idx="282" formatCode="#,##0.00_);[Red]\(#,##0.00\)">
                  <c:v>193863.30040655652</c:v>
                </c:pt>
                <c:pt idx="283" formatCode="#,##0.00_);[Red]\(#,##0.00\)">
                  <c:v>194913.39328375869</c:v>
                </c:pt>
                <c:pt idx="284" formatCode="#,##0.00_);[Red]\(#,##0.00\)">
                  <c:v>195969.17416404572</c:v>
                </c:pt>
                <c:pt idx="285" formatCode="#,##0.00_);[Red]\(#,##0.00\)">
                  <c:v>197030.6738574343</c:v>
                </c:pt>
                <c:pt idx="286" formatCode="#,##0.00_);[Red]\(#,##0.00\)">
                  <c:v>198097.92334082874</c:v>
                </c:pt>
                <c:pt idx="287" formatCode="#,##0.00_);[Red]\(#,##0.00\)">
                  <c:v>199170.95375892491</c:v>
                </c:pt>
                <c:pt idx="288" formatCode="#,##0.00_);[Red]\(#,##0.00\)">
                  <c:v>200249.79642511907</c:v>
                </c:pt>
                <c:pt idx="289" formatCode="#,##0.00_);[Red]\(#,##0.00\)">
                  <c:v>201334.48282242179</c:v>
                </c:pt>
                <c:pt idx="290" formatCode="#,##0.00_);[Red]\(#,##0.00\)">
                  <c:v>202425.04460437657</c:v>
                </c:pt>
                <c:pt idx="291" formatCode="#,##0.00_);[Red]\(#,##0.00\)">
                  <c:v>203521.51359598362</c:v>
                </c:pt>
                <c:pt idx="292" formatCode="#,##0.00_);[Red]\(#,##0.00\)">
                  <c:v>204623.92179462852</c:v>
                </c:pt>
                <c:pt idx="293" formatCode="#,##0.00_);[Red]\(#,##0.00\)">
                  <c:v>205732.3013710161</c:v>
                </c:pt>
                <c:pt idx="294" formatCode="#,##0.00_);[Red]\(#,##0.00\)">
                  <c:v>206846.6846701091</c:v>
                </c:pt>
                <c:pt idx="295" formatCode="#,##0.00_);[Red]\(#,##0.00\)">
                  <c:v>207967.10421207218</c:v>
                </c:pt>
                <c:pt idx="296" formatCode="#,##0.00_);[Red]\(#,##0.00\)">
                  <c:v>209093.59269322091</c:v>
                </c:pt>
                <c:pt idx="297" formatCode="#,##0.00_);[Red]\(#,##0.00\)">
                  <c:v>210226.18298697585</c:v>
                </c:pt>
                <c:pt idx="298" formatCode="#,##0.00_);[Red]\(#,##0.00\)">
                  <c:v>211364.90814482197</c:v>
                </c:pt>
                <c:pt idx="299" formatCode="#,##0.00_);[Red]\(#,##0.00\)">
                  <c:v>212509.80139727308</c:v>
                </c:pt>
                <c:pt idx="300" formatCode="#,##0.00_);[Red]\(#,##0.00\)">
                  <c:v>213660.89615484164</c:v>
                </c:pt>
              </c:numCache>
            </c:numRef>
          </c:val>
        </c:ser>
        <c:ser>
          <c:idx val="8"/>
          <c:order val="16"/>
          <c:tx>
            <c:strRef>
              <c:f>Data!$W$13</c:f>
              <c:strCache>
                <c:ptCount val="1"/>
                <c:pt idx="0">
                  <c:v>HSA Invest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Data!$W$14:$W$315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200.37</c:v>
                </c:pt>
                <c:pt idx="8">
                  <c:v>919.83</c:v>
                </c:pt>
                <c:pt idx="9">
                  <c:v>1055.6600000000001</c:v>
                </c:pt>
                <c:pt idx="10">
                  <c:v>1075.1099999999999</c:v>
                </c:pt>
                <c:pt idx="11">
                  <c:v>1260.42</c:v>
                </c:pt>
                <c:pt idx="12">
                  <c:v>1454.47</c:v>
                </c:pt>
                <c:pt idx="13">
                  <c:v>1600.61</c:v>
                </c:pt>
                <c:pt idx="14">
                  <c:v>1766.88</c:v>
                </c:pt>
                <c:pt idx="15">
                  <c:v>1924.72</c:v>
                </c:pt>
                <c:pt idx="16">
                  <c:v>2240.11</c:v>
                </c:pt>
                <c:pt idx="17">
                  <c:v>2350.27</c:v>
                </c:pt>
                <c:pt idx="18">
                  <c:v>2493.0006291666668</c:v>
                </c:pt>
                <c:pt idx="19">
                  <c:v>2636.5043825746529</c:v>
                </c:pt>
                <c:pt idx="20">
                  <c:v>2780.7854479802654</c:v>
                </c:pt>
                <c:pt idx="21">
                  <c:v>2925.848035823492</c:v>
                </c:pt>
                <c:pt idx="22">
                  <c:v>3071.6963793508694</c:v>
                </c:pt>
                <c:pt idx="23">
                  <c:v>3218.33473473902</c:v>
                </c:pt>
                <c:pt idx="24">
                  <c:v>3365.7673812188564</c:v>
                </c:pt>
                <c:pt idx="25">
                  <c:v>3513.9986212004587</c:v>
                </c:pt>
                <c:pt idx="26">
                  <c:v>3663.0327803986279</c:v>
                </c:pt>
                <c:pt idx="27">
                  <c:v>3812.8742079591207</c:v>
                </c:pt>
                <c:pt idx="28">
                  <c:v>3963.5272765855657</c:v>
                </c:pt>
                <c:pt idx="29">
                  <c:v>4114.996382667071</c:v>
                </c:pt>
                <c:pt idx="30">
                  <c:v>4267.2859464065177</c:v>
                </c:pt>
                <c:pt idx="31">
                  <c:v>4420.400411949553</c:v>
                </c:pt>
                <c:pt idx="32">
                  <c:v>4574.3442475142801</c:v>
                </c:pt>
                <c:pt idx="33">
                  <c:v>4729.1219455216487</c:v>
                </c:pt>
                <c:pt idx="34">
                  <c:v>4884.7380227265576</c:v>
                </c:pt>
                <c:pt idx="35">
                  <c:v>5041.1970203496594</c:v>
                </c:pt>
                <c:pt idx="36">
                  <c:v>5198.5035042098871</c:v>
                </c:pt>
                <c:pt idx="37">
                  <c:v>5356.6620648576909</c:v>
                </c:pt>
                <c:pt idx="38">
                  <c:v>5515.6773177090035</c:v>
                </c:pt>
                <c:pt idx="39">
                  <c:v>5675.5539031799271</c:v>
                </c:pt>
                <c:pt idx="40">
                  <c:v>5836.2964868221516</c:v>
                </c:pt>
                <c:pt idx="41">
                  <c:v>5997.9097594591049</c:v>
                </c:pt>
                <c:pt idx="42">
                  <c:v>6160.3984373228413</c:v>
                </c:pt>
                <c:pt idx="43">
                  <c:v>6323.7672621916736</c:v>
                </c:pt>
                <c:pt idx="44">
                  <c:v>6488.0210015285447</c:v>
                </c:pt>
                <c:pt idx="45">
                  <c:v>6810.6644486201576</c:v>
                </c:pt>
                <c:pt idx="46">
                  <c:v>7135.05554771685</c:v>
                </c:pt>
                <c:pt idx="47">
                  <c:v>7461.2037652669833</c:v>
                </c:pt>
                <c:pt idx="48">
                  <c:v>7789.1186189955124</c:v>
                </c:pt>
                <c:pt idx="49">
                  <c:v>8118.8096781817385</c:v>
                </c:pt>
                <c:pt idx="50">
                  <c:v>8450.2865639385564</c:v>
                </c:pt>
                <c:pt idx="51">
                  <c:v>8783.5589494932228</c:v>
                </c:pt>
                <c:pt idx="52">
                  <c:v>9118.6365604696439</c:v>
                </c:pt>
                <c:pt idx="53">
                  <c:v>9455.529175172187</c:v>
                </c:pt>
                <c:pt idx="54">
                  <c:v>9794.2466248710371</c:v>
                </c:pt>
                <c:pt idx="55">
                  <c:v>10134.798794089089</c:v>
                </c:pt>
                <c:pt idx="56">
                  <c:v>10477.195620890405</c:v>
                </c:pt>
                <c:pt idx="57">
                  <c:v>10821.447097170229</c:v>
                </c:pt>
                <c:pt idx="58">
                  <c:v>11167.563268946567</c:v>
                </c:pt>
                <c:pt idx="59">
                  <c:v>11515.554236653361</c:v>
                </c:pt>
                <c:pt idx="60">
                  <c:v>11865.430155435233</c:v>
                </c:pt>
                <c:pt idx="61">
                  <c:v>12217.201235443841</c:v>
                </c:pt>
                <c:pt idx="62">
                  <c:v>12570.877742135828</c:v>
                </c:pt>
                <c:pt idx="63">
                  <c:v>12926.469996572398</c:v>
                </c:pt>
                <c:pt idx="64">
                  <c:v>13283.988375720499</c:v>
                </c:pt>
                <c:pt idx="65">
                  <c:v>13643.443312755651</c:v>
                </c:pt>
                <c:pt idx="66">
                  <c:v>14004.845297366412</c:v>
                </c:pt>
                <c:pt idx="67">
                  <c:v>14368.204876060479</c:v>
                </c:pt>
                <c:pt idx="68">
                  <c:v>14733.532652472473</c:v>
                </c:pt>
                <c:pt idx="69">
                  <c:v>15100.839287673365</c:v>
                </c:pt>
                <c:pt idx="70">
                  <c:v>15470.135500481596</c:v>
                </c:pt>
                <c:pt idx="71">
                  <c:v>15841.432067775871</c:v>
                </c:pt>
                <c:pt idx="72">
                  <c:v>16214.739824809658</c:v>
                </c:pt>
                <c:pt idx="73">
                  <c:v>16590.069665527379</c:v>
                </c:pt>
                <c:pt idx="74">
                  <c:v>16967.432542882318</c:v>
                </c:pt>
                <c:pt idx="75">
                  <c:v>17346.839469156264</c:v>
                </c:pt>
                <c:pt idx="76">
                  <c:v>17728.301516280862</c:v>
                </c:pt>
                <c:pt idx="77">
                  <c:v>18111.829816160716</c:v>
                </c:pt>
                <c:pt idx="78">
                  <c:v>18497.435560998252</c:v>
                </c:pt>
                <c:pt idx="79">
                  <c:v>18885.130003620325</c:v>
                </c:pt>
                <c:pt idx="80">
                  <c:v>19274.924457806603</c:v>
                </c:pt>
                <c:pt idx="81">
                  <c:v>19666.830298619723</c:v>
                </c:pt>
                <c:pt idx="82">
                  <c:v>20060.858962737246</c:v>
                </c:pt>
                <c:pt idx="83">
                  <c:v>20457.021948785405</c:v>
                </c:pt>
                <c:pt idx="84">
                  <c:v>20855.330817674658</c:v>
                </c:pt>
                <c:pt idx="85">
                  <c:v>21255.797192937061</c:v>
                </c:pt>
                <c:pt idx="86">
                  <c:v>21658.432761065469</c:v>
                </c:pt>
                <c:pt idx="87">
                  <c:v>22063.249271854573</c:v>
                </c:pt>
                <c:pt idx="88">
                  <c:v>22470.258538743787</c:v>
                </c:pt>
                <c:pt idx="89">
                  <c:v>22879.472439161982</c:v>
                </c:pt>
                <c:pt idx="90">
                  <c:v>23290.90291487411</c:v>
                </c:pt>
                <c:pt idx="91">
                  <c:v>23704.561972329677</c:v>
                </c:pt>
                <c:pt idx="92">
                  <c:v>24120.461683013131</c:v>
                </c:pt>
                <c:pt idx="93">
                  <c:v>24538.614183796119</c:v>
                </c:pt>
                <c:pt idx="94">
                  <c:v>24959.031677291681</c:v>
                </c:pt>
                <c:pt idx="95">
                  <c:v>25381.726432210344</c:v>
                </c:pt>
                <c:pt idx="96">
                  <c:v>25806.71078371815</c:v>
                </c:pt>
                <c:pt idx="97">
                  <c:v>26233.997133796624</c:v>
                </c:pt>
                <c:pt idx="98">
                  <c:v>26663.59795160469</c:v>
                </c:pt>
                <c:pt idx="99">
                  <c:v>27095.52577384255</c:v>
                </c:pt>
                <c:pt idx="100">
                  <c:v>27529.79320511753</c:v>
                </c:pt>
                <c:pt idx="101">
                  <c:v>27966.412918311918</c:v>
                </c:pt>
                <c:pt idx="102">
                  <c:v>28405.397654952776</c:v>
                </c:pt>
                <c:pt idx="103">
                  <c:v>28846.76022558377</c:v>
                </c:pt>
                <c:pt idx="104">
                  <c:v>29290.513510139015</c:v>
                </c:pt>
                <c:pt idx="105">
                  <c:v>29736.670458318935</c:v>
                </c:pt>
                <c:pt idx="106">
                  <c:v>30185.244089968164</c:v>
                </c:pt>
                <c:pt idx="107">
                  <c:v>30636.247495455493</c:v>
                </c:pt>
                <c:pt idx="108">
                  <c:v>31089.693836055878</c:v>
                </c:pt>
                <c:pt idx="109">
                  <c:v>31545.596344334514</c:v>
                </c:pt>
                <c:pt idx="110">
                  <c:v>32003.968324532991</c:v>
                </c:pt>
                <c:pt idx="111">
                  <c:v>32464.823152957546</c:v>
                </c:pt>
                <c:pt idx="112">
                  <c:v>32928.174278369399</c:v>
                </c:pt>
                <c:pt idx="113">
                  <c:v>33394.035222377235</c:v>
                </c:pt>
                <c:pt idx="114">
                  <c:v>33862.419579831781</c:v>
                </c:pt>
                <c:pt idx="115">
                  <c:v>34333.341019222535</c:v>
                </c:pt>
                <c:pt idx="116">
                  <c:v>34806.813283076655</c:v>
                </c:pt>
                <c:pt idx="117">
                  <c:v>35282.850188359989</c:v>
                </c:pt>
                <c:pt idx="118">
                  <c:v>35761.465626880272</c:v>
                </c:pt>
                <c:pt idx="119">
                  <c:v>36242.673565692538</c:v>
                </c:pt>
                <c:pt idx="120">
                  <c:v>36726.488047506704</c:v>
                </c:pt>
                <c:pt idx="121">
                  <c:v>37212.923191097369</c:v>
                </c:pt>
                <c:pt idx="122">
                  <c:v>37701.99319171581</c:v>
                </c:pt>
                <c:pt idx="123">
                  <c:v>38193.712321504274</c:v>
                </c:pt>
                <c:pt idx="124">
                  <c:v>38688.094929912419</c:v>
                </c:pt>
                <c:pt idx="125">
                  <c:v>39185.155444116113</c:v>
                </c:pt>
                <c:pt idx="126">
                  <c:v>39684.90836943841</c:v>
                </c:pt>
                <c:pt idx="127">
                  <c:v>40187.368289772865</c:v>
                </c:pt>
                <c:pt idx="128">
                  <c:v>40692.549868009133</c:v>
                </c:pt>
                <c:pt idx="129">
                  <c:v>41200.467846460851</c:v>
                </c:pt>
                <c:pt idx="130">
                  <c:v>41711.137047295844</c:v>
                </c:pt>
                <c:pt idx="131">
                  <c:v>42224.572372968694</c:v>
                </c:pt>
                <c:pt idx="132">
                  <c:v>42740.788806655612</c:v>
                </c:pt>
                <c:pt idx="133">
                  <c:v>43259.801412691661</c:v>
                </c:pt>
                <c:pt idx="134">
                  <c:v>43781.62533701041</c:v>
                </c:pt>
                <c:pt idx="135">
                  <c:v>44306.27580758588</c:v>
                </c:pt>
                <c:pt idx="136">
                  <c:v>44833.768134876969</c:v>
                </c:pt>
                <c:pt idx="137">
                  <c:v>45364.117712274223</c:v>
                </c:pt>
                <c:pt idx="138">
                  <c:v>45897.340016549038</c:v>
                </c:pt>
                <c:pt idx="139">
                  <c:v>46433.450608305349</c:v>
                </c:pt>
                <c:pt idx="140">
                  <c:v>46972.465132433666</c:v>
                </c:pt>
                <c:pt idx="141">
                  <c:v>47514.399318567681</c:v>
                </c:pt>
                <c:pt idx="142">
                  <c:v>48059.268981543253</c:v>
                </c:pt>
                <c:pt idx="143">
                  <c:v>48607.090021859949</c:v>
                </c:pt>
                <c:pt idx="144">
                  <c:v>49157.878426145027</c:v>
                </c:pt>
                <c:pt idx="145">
                  <c:v>49711.650267619982</c:v>
                </c:pt>
                <c:pt idx="146">
                  <c:v>50268.421706569592</c:v>
                </c:pt>
                <c:pt idx="147">
                  <c:v>50828.208990813509</c:v>
                </c:pt>
                <c:pt idx="148">
                  <c:v>51391.028456180415</c:v>
                </c:pt>
                <c:pt idx="149">
                  <c:v>51956.896526984725</c:v>
                </c:pt>
                <c:pt idx="150">
                  <c:v>52525.82971650589</c:v>
                </c:pt>
                <c:pt idx="151">
                  <c:v>53097.844627470295</c:v>
                </c:pt>
                <c:pt idx="152">
                  <c:v>53672.957952535762</c:v>
                </c:pt>
                <c:pt idx="153">
                  <c:v>54251.186474778668</c:v>
                </c:pt>
                <c:pt idx="154">
                  <c:v>54832.547068183718</c:v>
                </c:pt>
                <c:pt idx="155">
                  <c:v>55417.056698136381</c:v>
                </c:pt>
                <c:pt idx="156">
                  <c:v>56004.73242191795</c:v>
                </c:pt>
                <c:pt idx="157">
                  <c:v>56595.591389203342</c:v>
                </c:pt>
                <c:pt idx="158">
                  <c:v>57189.650842561525</c:v>
                </c:pt>
                <c:pt idx="159">
                  <c:v>57786.928117958734</c:v>
                </c:pt>
                <c:pt idx="160">
                  <c:v>58387.440645264345</c:v>
                </c:pt>
                <c:pt idx="161">
                  <c:v>58991.205948759525</c:v>
                </c:pt>
                <c:pt idx="162">
                  <c:v>59598.24164764864</c:v>
                </c:pt>
                <c:pt idx="163">
                  <c:v>60208.5654565734</c:v>
                </c:pt>
                <c:pt idx="164">
                  <c:v>60822.195186129837</c:v>
                </c:pt>
                <c:pt idx="165">
                  <c:v>61439.148743388039</c:v>
                </c:pt>
                <c:pt idx="166">
                  <c:v>62059.444132414726</c:v>
                </c:pt>
                <c:pt idx="167">
                  <c:v>62683.099454798641</c:v>
                </c:pt>
                <c:pt idx="168">
                  <c:v>63310.1329101788</c:v>
                </c:pt>
                <c:pt idx="169">
                  <c:v>63940.562796775601</c:v>
                </c:pt>
                <c:pt idx="170">
                  <c:v>64574.407511924801</c:v>
                </c:pt>
                <c:pt idx="171">
                  <c:v>65211.685552614392</c:v>
                </c:pt>
                <c:pt idx="172">
                  <c:v>65852.415516024383</c:v>
                </c:pt>
                <c:pt idx="173">
                  <c:v>66496.616100069514</c:v>
                </c:pt>
                <c:pt idx="174">
                  <c:v>67144.306103944895</c:v>
                </c:pt>
                <c:pt idx="175">
                  <c:v>67795.504428674598</c:v>
                </c:pt>
                <c:pt idx="176">
                  <c:v>68450.230077663247</c:v>
                </c:pt>
                <c:pt idx="177">
                  <c:v>69108.502157250594</c:v>
                </c:pt>
                <c:pt idx="178">
                  <c:v>69770.339877269042</c:v>
                </c:pt>
                <c:pt idx="179">
                  <c:v>70435.762551604246</c:v>
                </c:pt>
                <c:pt idx="180">
                  <c:v>71104.789598758769</c:v>
                </c:pt>
                <c:pt idx="181">
                  <c:v>71777.440542418713</c:v>
                </c:pt>
                <c:pt idx="182">
                  <c:v>72453.735012023477</c:v>
                </c:pt>
                <c:pt idx="183">
                  <c:v>73133.692743338601</c:v>
                </c:pt>
                <c:pt idx="184">
                  <c:v>73817.333579031678</c:v>
                </c:pt>
                <c:pt idx="185">
                  <c:v>74504.67746925143</c:v>
                </c:pt>
                <c:pt idx="186">
                  <c:v>75195.744472209873</c:v>
                </c:pt>
                <c:pt idx="187">
                  <c:v>75890.554754767683</c:v>
                </c:pt>
                <c:pt idx="188">
                  <c:v>76589.128593022673</c:v>
                </c:pt>
                <c:pt idx="189">
                  <c:v>77291.486372901549</c:v>
                </c:pt>
                <c:pt idx="190">
                  <c:v>77997.648590754761</c:v>
                </c:pt>
                <c:pt idx="191">
                  <c:v>78707.635853954678</c:v>
                </c:pt>
                <c:pt idx="192">
                  <c:v>79421.468881496927</c:v>
                </c:pt>
                <c:pt idx="193">
                  <c:v>80139.168504605041</c:v>
                </c:pt>
                <c:pt idx="194">
                  <c:v>80860.755667338322</c:v>
                </c:pt>
                <c:pt idx="195">
                  <c:v>81586.251427203068</c:v>
                </c:pt>
                <c:pt idx="196">
                  <c:v>82315.676955767078</c:v>
                </c:pt>
                <c:pt idx="197">
                  <c:v>83049.053539277476</c:v>
                </c:pt>
                <c:pt idx="198">
                  <c:v>83786.402579281901</c:v>
                </c:pt>
                <c:pt idx="199">
                  <c:v>84527.745593253014</c:v>
                </c:pt>
                <c:pt idx="200">
                  <c:v>85273.104215216474</c:v>
                </c:pt>
                <c:pt idx="201">
                  <c:v>86022.500196382229</c:v>
                </c:pt>
                <c:pt idx="202">
                  <c:v>86775.955405779299</c:v>
                </c:pt>
                <c:pt idx="203">
                  <c:v>87533.491830893938</c:v>
                </c:pt>
                <c:pt idx="204">
                  <c:v>88295.13157831128</c:v>
                </c:pt>
                <c:pt idx="205">
                  <c:v>88773.396874360464</c:v>
                </c:pt>
                <c:pt idx="206">
                  <c:v>89254.252774096589</c:v>
                </c:pt>
                <c:pt idx="207">
                  <c:v>89737.713309956278</c:v>
                </c:pt>
                <c:pt idx="208">
                  <c:v>90223.792590385201</c:v>
                </c:pt>
                <c:pt idx="209">
                  <c:v>90712.504800249793</c:v>
                </c:pt>
                <c:pt idx="210">
                  <c:v>91203.864201251141</c:v>
                </c:pt>
                <c:pt idx="211">
                  <c:v>91697.885132341253</c:v>
                </c:pt>
                <c:pt idx="212">
                  <c:v>92194.582010141428</c:v>
                </c:pt>
                <c:pt idx="213">
                  <c:v>92693.969329363026</c:v>
                </c:pt>
                <c:pt idx="214">
                  <c:v>93196.061663230415</c:v>
                </c:pt>
                <c:pt idx="215">
                  <c:v>93700.873663906241</c:v>
                </c:pt>
                <c:pt idx="216">
                  <c:v>94208.42006291906</c:v>
                </c:pt>
                <c:pt idx="217">
                  <c:v>94718.715671593207</c:v>
                </c:pt>
                <c:pt idx="218">
                  <c:v>95231.775381480998</c:v>
                </c:pt>
                <c:pt idx="219">
                  <c:v>95747.614164797356</c:v>
                </c:pt>
                <c:pt idx="220">
                  <c:v>96266.24707485667</c:v>
                </c:pt>
                <c:pt idx="221">
                  <c:v>96787.689246512149</c:v>
                </c:pt>
                <c:pt idx="222">
                  <c:v>97311.955896597428</c:v>
                </c:pt>
                <c:pt idx="223">
                  <c:v>97839.062324370665</c:v>
                </c:pt>
                <c:pt idx="224">
                  <c:v>98369.023911961005</c:v>
                </c:pt>
                <c:pt idx="225">
                  <c:v>98901.856124817466</c:v>
                </c:pt>
                <c:pt idx="226">
                  <c:v>99437.574512160223</c:v>
                </c:pt>
                <c:pt idx="227">
                  <c:v>99976.194707434421</c:v>
                </c:pt>
                <c:pt idx="228">
                  <c:v>100517.73242876635</c:v>
                </c:pt>
                <c:pt idx="229">
                  <c:v>101062.20347942217</c:v>
                </c:pt>
                <c:pt idx="230">
                  <c:v>101609.62374826903</c:v>
                </c:pt>
                <c:pt idx="231">
                  <c:v>102160.00921023883</c:v>
                </c:pt>
                <c:pt idx="232">
                  <c:v>102713.3759267943</c:v>
                </c:pt>
                <c:pt idx="233">
                  <c:v>103269.74004639777</c:v>
                </c:pt>
                <c:pt idx="234">
                  <c:v>103829.11780498242</c:v>
                </c:pt>
                <c:pt idx="235">
                  <c:v>104391.52552642608</c:v>
                </c:pt>
                <c:pt idx="236">
                  <c:v>104956.97962302755</c:v>
                </c:pt>
                <c:pt idx="237">
                  <c:v>105525.49659598562</c:v>
                </c:pt>
                <c:pt idx="238">
                  <c:v>106097.09303588055</c:v>
                </c:pt>
                <c:pt idx="239">
                  <c:v>106671.78562315824</c:v>
                </c:pt>
                <c:pt idx="240">
                  <c:v>107249.59112861702</c:v>
                </c:pt>
                <c:pt idx="241">
                  <c:v>107830.52641389702</c:v>
                </c:pt>
                <c:pt idx="242">
                  <c:v>108414.6084319723</c:v>
                </c:pt>
                <c:pt idx="243">
                  <c:v>109001.85422764548</c:v>
                </c:pt>
                <c:pt idx="244">
                  <c:v>109592.28093804522</c:v>
                </c:pt>
                <c:pt idx="245">
                  <c:v>110185.90579312631</c:v>
                </c:pt>
                <c:pt idx="246">
                  <c:v>110782.74611617241</c:v>
                </c:pt>
                <c:pt idx="247">
                  <c:v>111382.81932430167</c:v>
                </c:pt>
                <c:pt idx="248">
                  <c:v>111986.14292897498</c:v>
                </c:pt>
                <c:pt idx="249">
                  <c:v>112592.73453650693</c:v>
                </c:pt>
                <c:pt idx="250">
                  <c:v>113202.61184857968</c:v>
                </c:pt>
                <c:pt idx="251">
                  <c:v>113815.79266275949</c:v>
                </c:pt>
                <c:pt idx="252">
                  <c:v>114432.2948730161</c:v>
                </c:pt>
                <c:pt idx="253">
                  <c:v>115052.13647024494</c:v>
                </c:pt>
                <c:pt idx="254">
                  <c:v>115675.33554279209</c:v>
                </c:pt>
                <c:pt idx="255">
                  <c:v>116301.91027698222</c:v>
                </c:pt>
                <c:pt idx="256">
                  <c:v>116931.87895764921</c:v>
                </c:pt>
                <c:pt idx="257">
                  <c:v>117565.25996866981</c:v>
                </c:pt>
                <c:pt idx="258">
                  <c:v>118202.0717935001</c:v>
                </c:pt>
                <c:pt idx="259">
                  <c:v>118842.33301571489</c:v>
                </c:pt>
                <c:pt idx="260">
                  <c:v>119486.06231955001</c:v>
                </c:pt>
                <c:pt idx="261">
                  <c:v>120133.27849044757</c:v>
                </c:pt>
                <c:pt idx="262">
                  <c:v>120784.00041560415</c:v>
                </c:pt>
                <c:pt idx="263">
                  <c:v>121438.24708452201</c:v>
                </c:pt>
                <c:pt idx="264">
                  <c:v>122096.03758956317</c:v>
                </c:pt>
                <c:pt idx="265">
                  <c:v>122757.39112650664</c:v>
                </c:pt>
                <c:pt idx="266">
                  <c:v>123422.32699510855</c:v>
                </c:pt>
                <c:pt idx="267">
                  <c:v>124090.86459966539</c:v>
                </c:pt>
                <c:pt idx="268">
                  <c:v>124763.02344958024</c:v>
                </c:pt>
                <c:pt idx="269">
                  <c:v>125438.82315993213</c:v>
                </c:pt>
                <c:pt idx="270">
                  <c:v>126118.28345204843</c:v>
                </c:pt>
                <c:pt idx="271">
                  <c:v>126801.42415408036</c:v>
                </c:pt>
                <c:pt idx="272">
                  <c:v>127488.26520158163</c:v>
                </c:pt>
                <c:pt idx="273">
                  <c:v>128178.82663809019</c:v>
                </c:pt>
                <c:pt idx="274">
                  <c:v>128873.12861571318</c:v>
                </c:pt>
                <c:pt idx="275">
                  <c:v>129571.19139571497</c:v>
                </c:pt>
                <c:pt idx="276">
                  <c:v>130273.03534910842</c:v>
                </c:pt>
                <c:pt idx="277">
                  <c:v>130978.68095724942</c:v>
                </c:pt>
                <c:pt idx="278">
                  <c:v>131688.14881243452</c:v>
                </c:pt>
                <c:pt idx="279">
                  <c:v>132401.45961850186</c:v>
                </c:pt>
                <c:pt idx="280">
                  <c:v>133118.63419143541</c:v>
                </c:pt>
                <c:pt idx="281">
                  <c:v>133839.69345997236</c:v>
                </c:pt>
                <c:pt idx="282">
                  <c:v>134564.65846621388</c:v>
                </c:pt>
                <c:pt idx="283">
                  <c:v>135293.55036623921</c:v>
                </c:pt>
                <c:pt idx="284">
                  <c:v>136026.390430723</c:v>
                </c:pt>
                <c:pt idx="285">
                  <c:v>136763.20004555609</c:v>
                </c:pt>
                <c:pt idx="286">
                  <c:v>137504.00071246951</c:v>
                </c:pt>
                <c:pt idx="287">
                  <c:v>138248.81404966206</c:v>
                </c:pt>
                <c:pt idx="288">
                  <c:v>138997.66179243106</c:v>
                </c:pt>
                <c:pt idx="289">
                  <c:v>139750.56579380672</c:v>
                </c:pt>
                <c:pt idx="290">
                  <c:v>140507.54802518984</c:v>
                </c:pt>
                <c:pt idx="291">
                  <c:v>141268.63057699296</c:v>
                </c:pt>
                <c:pt idx="292">
                  <c:v>142033.83565928502</c:v>
                </c:pt>
                <c:pt idx="293">
                  <c:v>142803.18560243948</c:v>
                </c:pt>
                <c:pt idx="294">
                  <c:v>143576.70285778603</c:v>
                </c:pt>
                <c:pt idx="295">
                  <c:v>144354.40999826571</c:v>
                </c:pt>
                <c:pt idx="296">
                  <c:v>145136.32971908964</c:v>
                </c:pt>
                <c:pt idx="297">
                  <c:v>145922.48483840137</c:v>
                </c:pt>
                <c:pt idx="298">
                  <c:v>146712.89829794271</c:v>
                </c:pt>
                <c:pt idx="299">
                  <c:v>147507.59316372324</c:v>
                </c:pt>
                <c:pt idx="300">
                  <c:v>148306.5926266934</c:v>
                </c:pt>
              </c:numCache>
            </c:numRef>
          </c:val>
        </c:ser>
        <c:ser>
          <c:idx val="16"/>
          <c:order val="17"/>
          <c:tx>
            <c:strRef>
              <c:f>Data!$Z$13</c:f>
              <c:strCache>
                <c:ptCount val="1"/>
                <c:pt idx="0">
                  <c:v>Home Equity</c:v>
                </c:pt>
              </c:strCache>
            </c:strRef>
          </c:tx>
          <c:spPr>
            <a:solidFill>
              <a:srgbClr val="C878C8"/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Data!$Z$14:$Z$315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30000</c:v>
                </c:pt>
                <c:pt idx="40">
                  <c:v>30211.16</c:v>
                </c:pt>
                <c:pt idx="41">
                  <c:v>30423.05</c:v>
                </c:pt>
                <c:pt idx="42">
                  <c:v>30635.67</c:v>
                </c:pt>
                <c:pt idx="43">
                  <c:v>30849.02</c:v>
                </c:pt>
                <c:pt idx="44">
                  <c:v>31063.1</c:v>
                </c:pt>
                <c:pt idx="45">
                  <c:v>31277.919999999998</c:v>
                </c:pt>
                <c:pt idx="46">
                  <c:v>31493.48</c:v>
                </c:pt>
                <c:pt idx="47">
                  <c:v>31709.78</c:v>
                </c:pt>
                <c:pt idx="48">
                  <c:v>31926.82</c:v>
                </c:pt>
                <c:pt idx="49">
                  <c:v>32144.61</c:v>
                </c:pt>
                <c:pt idx="50">
                  <c:v>32363.15</c:v>
                </c:pt>
                <c:pt idx="51">
                  <c:v>32582.44</c:v>
                </c:pt>
                <c:pt idx="52">
                  <c:v>32802.49</c:v>
                </c:pt>
                <c:pt idx="53">
                  <c:v>33023.300000000003</c:v>
                </c:pt>
                <c:pt idx="54">
                  <c:v>33244.870000000003</c:v>
                </c:pt>
                <c:pt idx="55">
                  <c:v>33467.199999999997</c:v>
                </c:pt>
                <c:pt idx="56">
                  <c:v>33690.29</c:v>
                </c:pt>
                <c:pt idx="57">
                  <c:v>33914.15</c:v>
                </c:pt>
                <c:pt idx="58">
                  <c:v>34138.78</c:v>
                </c:pt>
                <c:pt idx="59">
                  <c:v>34364.18</c:v>
                </c:pt>
                <c:pt idx="60">
                  <c:v>34590.36</c:v>
                </c:pt>
                <c:pt idx="61">
                  <c:v>34817.32</c:v>
                </c:pt>
                <c:pt idx="62">
                  <c:v>35045.06</c:v>
                </c:pt>
                <c:pt idx="63">
                  <c:v>35273.58</c:v>
                </c:pt>
                <c:pt idx="64">
                  <c:v>35502.89</c:v>
                </c:pt>
                <c:pt idx="65">
                  <c:v>35732.99</c:v>
                </c:pt>
                <c:pt idx="66">
                  <c:v>35963.879999999997</c:v>
                </c:pt>
                <c:pt idx="67">
                  <c:v>36195.57</c:v>
                </c:pt>
                <c:pt idx="68">
                  <c:v>36428.050000000003</c:v>
                </c:pt>
                <c:pt idx="69">
                  <c:v>36661.33</c:v>
                </c:pt>
                <c:pt idx="70">
                  <c:v>36895.42</c:v>
                </c:pt>
                <c:pt idx="71">
                  <c:v>37130.31</c:v>
                </c:pt>
                <c:pt idx="72">
                  <c:v>37366.01</c:v>
                </c:pt>
                <c:pt idx="73">
                  <c:v>37602.519999999997</c:v>
                </c:pt>
                <c:pt idx="74">
                  <c:v>37839.85</c:v>
                </c:pt>
                <c:pt idx="75">
                  <c:v>38077.99</c:v>
                </c:pt>
                <c:pt idx="76">
                  <c:v>38316.949999999997</c:v>
                </c:pt>
                <c:pt idx="77">
                  <c:v>38556.729999999996</c:v>
                </c:pt>
                <c:pt idx="78">
                  <c:v>38797.339999999997</c:v>
                </c:pt>
                <c:pt idx="79">
                  <c:v>39038.78</c:v>
                </c:pt>
                <c:pt idx="80">
                  <c:v>39281.050000000003</c:v>
                </c:pt>
                <c:pt idx="81">
                  <c:v>39524.15</c:v>
                </c:pt>
                <c:pt idx="82">
                  <c:v>39768.090000000004</c:v>
                </c:pt>
                <c:pt idx="83">
                  <c:v>40012.870000000003</c:v>
                </c:pt>
                <c:pt idx="84">
                  <c:v>40258.490000000005</c:v>
                </c:pt>
                <c:pt idx="85">
                  <c:v>40504.960000000006</c:v>
                </c:pt>
                <c:pt idx="86">
                  <c:v>40752.270000000004</c:v>
                </c:pt>
                <c:pt idx="87">
                  <c:v>41000.44</c:v>
                </c:pt>
                <c:pt idx="88">
                  <c:v>41249.460000000006</c:v>
                </c:pt>
                <c:pt idx="89">
                  <c:v>41499.340000000004</c:v>
                </c:pt>
                <c:pt idx="90">
                  <c:v>41750.080000000002</c:v>
                </c:pt>
                <c:pt idx="91">
                  <c:v>42001.68</c:v>
                </c:pt>
                <c:pt idx="92">
                  <c:v>42254.15</c:v>
                </c:pt>
                <c:pt idx="93">
                  <c:v>42507.48</c:v>
                </c:pt>
                <c:pt idx="94">
                  <c:v>42761.69</c:v>
                </c:pt>
                <c:pt idx="95">
                  <c:v>43016.770000000004</c:v>
                </c:pt>
                <c:pt idx="96">
                  <c:v>43272.729999999996</c:v>
                </c:pt>
                <c:pt idx="97">
                  <c:v>43529.57</c:v>
                </c:pt>
                <c:pt idx="98">
                  <c:v>43787.29</c:v>
                </c:pt>
                <c:pt idx="99">
                  <c:v>44045.9</c:v>
                </c:pt>
                <c:pt idx="100">
                  <c:v>44305.4</c:v>
                </c:pt>
                <c:pt idx="101">
                  <c:v>44565.79</c:v>
                </c:pt>
                <c:pt idx="102">
                  <c:v>45554.49</c:v>
                </c:pt>
                <c:pt idx="103">
                  <c:v>46546.59</c:v>
                </c:pt>
                <c:pt idx="104">
                  <c:v>47542.11</c:v>
                </c:pt>
                <c:pt idx="105">
                  <c:v>48541.05</c:v>
                </c:pt>
                <c:pt idx="106">
                  <c:v>49543.43</c:v>
                </c:pt>
                <c:pt idx="107">
                  <c:v>50549.26</c:v>
                </c:pt>
                <c:pt idx="108">
                  <c:v>51558.55</c:v>
                </c:pt>
                <c:pt idx="109">
                  <c:v>52571.320000000007</c:v>
                </c:pt>
                <c:pt idx="110">
                  <c:v>53587.570000000007</c:v>
                </c:pt>
                <c:pt idx="111">
                  <c:v>54607.320000000007</c:v>
                </c:pt>
                <c:pt idx="112">
                  <c:v>55630.58</c:v>
                </c:pt>
                <c:pt idx="113">
                  <c:v>56657.36</c:v>
                </c:pt>
                <c:pt idx="114">
                  <c:v>57687.68</c:v>
                </c:pt>
                <c:pt idx="115">
                  <c:v>58721.54</c:v>
                </c:pt>
                <c:pt idx="116">
                  <c:v>59758.96</c:v>
                </c:pt>
                <c:pt idx="117">
                  <c:v>60799.95</c:v>
                </c:pt>
                <c:pt idx="118">
                  <c:v>61844.520000000004</c:v>
                </c:pt>
                <c:pt idx="119">
                  <c:v>62892.69</c:v>
                </c:pt>
                <c:pt idx="120">
                  <c:v>63944.47</c:v>
                </c:pt>
                <c:pt idx="121">
                  <c:v>64999.87</c:v>
                </c:pt>
                <c:pt idx="122">
                  <c:v>66058.899999999994</c:v>
                </c:pt>
                <c:pt idx="123">
                  <c:v>67121.570000000007</c:v>
                </c:pt>
                <c:pt idx="124">
                  <c:v>68187.899999999994</c:v>
                </c:pt>
                <c:pt idx="125">
                  <c:v>69257.899999999994</c:v>
                </c:pt>
                <c:pt idx="126">
                  <c:v>70331.58</c:v>
                </c:pt>
                <c:pt idx="127">
                  <c:v>71408.959999999992</c:v>
                </c:pt>
                <c:pt idx="128">
                  <c:v>72490.049999999988</c:v>
                </c:pt>
                <c:pt idx="129">
                  <c:v>73574.859999999986</c:v>
                </c:pt>
                <c:pt idx="130">
                  <c:v>74663.399999999994</c:v>
                </c:pt>
                <c:pt idx="131">
                  <c:v>75755.69</c:v>
                </c:pt>
                <c:pt idx="132">
                  <c:v>76851.739999999991</c:v>
                </c:pt>
                <c:pt idx="133">
                  <c:v>77951.56</c:v>
                </c:pt>
                <c:pt idx="134">
                  <c:v>79055.16</c:v>
                </c:pt>
                <c:pt idx="135">
                  <c:v>80162.559999999998</c:v>
                </c:pt>
                <c:pt idx="136">
                  <c:v>81273.76999999999</c:v>
                </c:pt>
                <c:pt idx="137">
                  <c:v>82388.81</c:v>
                </c:pt>
                <c:pt idx="138">
                  <c:v>83507.679999999993</c:v>
                </c:pt>
                <c:pt idx="139">
                  <c:v>84630.41</c:v>
                </c:pt>
                <c:pt idx="140">
                  <c:v>85757</c:v>
                </c:pt>
                <c:pt idx="141">
                  <c:v>86887.47</c:v>
                </c:pt>
                <c:pt idx="142">
                  <c:v>88021.83</c:v>
                </c:pt>
                <c:pt idx="143">
                  <c:v>89160.09</c:v>
                </c:pt>
                <c:pt idx="144">
                  <c:v>90302.27</c:v>
                </c:pt>
                <c:pt idx="145">
                  <c:v>91448.38</c:v>
                </c:pt>
                <c:pt idx="146">
                  <c:v>92598.430000000008</c:v>
                </c:pt>
                <c:pt idx="147">
                  <c:v>93752.44</c:v>
                </c:pt>
                <c:pt idx="148">
                  <c:v>94910.420000000013</c:v>
                </c:pt>
                <c:pt idx="149">
                  <c:v>96072.390000000014</c:v>
                </c:pt>
                <c:pt idx="150">
                  <c:v>97238.360000000015</c:v>
                </c:pt>
                <c:pt idx="151">
                  <c:v>98408.340000000011</c:v>
                </c:pt>
                <c:pt idx="152">
                  <c:v>99582.35</c:v>
                </c:pt>
                <c:pt idx="153">
                  <c:v>100760.40000000001</c:v>
                </c:pt>
                <c:pt idx="154">
                  <c:v>101942.50000000001</c:v>
                </c:pt>
                <c:pt idx="155">
                  <c:v>103128.67000000001</c:v>
                </c:pt>
                <c:pt idx="156">
                  <c:v>104318.92000000001</c:v>
                </c:pt>
                <c:pt idx="157">
                  <c:v>105513.27000000002</c:v>
                </c:pt>
                <c:pt idx="158">
                  <c:v>106711.73000000003</c:v>
                </c:pt>
                <c:pt idx="159">
                  <c:v>107914.32000000002</c:v>
                </c:pt>
                <c:pt idx="160">
                  <c:v>109121.05000000002</c:v>
                </c:pt>
                <c:pt idx="161">
                  <c:v>110331.93000000002</c:v>
                </c:pt>
                <c:pt idx="162">
                  <c:v>111546.98000000003</c:v>
                </c:pt>
                <c:pt idx="163">
                  <c:v>112766.21000000002</c:v>
                </c:pt>
                <c:pt idx="164">
                  <c:v>113989.63000000002</c:v>
                </c:pt>
                <c:pt idx="165">
                  <c:v>115217.26000000002</c:v>
                </c:pt>
                <c:pt idx="166">
                  <c:v>116449.12000000002</c:v>
                </c:pt>
                <c:pt idx="167">
                  <c:v>117685.22000000003</c:v>
                </c:pt>
                <c:pt idx="168">
                  <c:v>118925.57000000004</c:v>
                </c:pt>
                <c:pt idx="169">
                  <c:v>120170.19000000003</c:v>
                </c:pt>
                <c:pt idx="170">
                  <c:v>121419.10000000003</c:v>
                </c:pt>
                <c:pt idx="171">
                  <c:v>122672.30000000003</c:v>
                </c:pt>
                <c:pt idx="172">
                  <c:v>123929.82000000004</c:v>
                </c:pt>
                <c:pt idx="173">
                  <c:v>125191.67000000004</c:v>
                </c:pt>
                <c:pt idx="174">
                  <c:v>126457.86000000004</c:v>
                </c:pt>
                <c:pt idx="175">
                  <c:v>127728.41000000005</c:v>
                </c:pt>
                <c:pt idx="176">
                  <c:v>129003.33000000005</c:v>
                </c:pt>
                <c:pt idx="177">
                  <c:v>130282.64000000004</c:v>
                </c:pt>
                <c:pt idx="178">
                  <c:v>131566.35000000003</c:v>
                </c:pt>
                <c:pt idx="179">
                  <c:v>132854.48000000004</c:v>
                </c:pt>
                <c:pt idx="180">
                  <c:v>134147.04000000004</c:v>
                </c:pt>
                <c:pt idx="181">
                  <c:v>135444.05000000005</c:v>
                </c:pt>
                <c:pt idx="182">
                  <c:v>136745.52000000005</c:v>
                </c:pt>
                <c:pt idx="183">
                  <c:v>138051.47000000003</c:v>
                </c:pt>
                <c:pt idx="184">
                  <c:v>139361.92000000004</c:v>
                </c:pt>
                <c:pt idx="185">
                  <c:v>140676.88000000006</c:v>
                </c:pt>
                <c:pt idx="186">
                  <c:v>141996.36000000004</c:v>
                </c:pt>
                <c:pt idx="187">
                  <c:v>143320.38000000006</c:v>
                </c:pt>
                <c:pt idx="188">
                  <c:v>144648.96000000005</c:v>
                </c:pt>
                <c:pt idx="189">
                  <c:v>145982.11000000004</c:v>
                </c:pt>
                <c:pt idx="190">
                  <c:v>147319.85000000003</c:v>
                </c:pt>
                <c:pt idx="191">
                  <c:v>148662.20000000007</c:v>
                </c:pt>
                <c:pt idx="192">
                  <c:v>150009.17000000004</c:v>
                </c:pt>
                <c:pt idx="193">
                  <c:v>151360.77000000008</c:v>
                </c:pt>
                <c:pt idx="194">
                  <c:v>152717.02000000008</c:v>
                </c:pt>
                <c:pt idx="195">
                  <c:v>154077.94000000006</c:v>
                </c:pt>
                <c:pt idx="196">
                  <c:v>155443.54000000007</c:v>
                </c:pt>
                <c:pt idx="197">
                  <c:v>156813.84000000008</c:v>
                </c:pt>
                <c:pt idx="198">
                  <c:v>158188.86000000007</c:v>
                </c:pt>
                <c:pt idx="199">
                  <c:v>159568.61000000007</c:v>
                </c:pt>
                <c:pt idx="200">
                  <c:v>160953.11000000007</c:v>
                </c:pt>
                <c:pt idx="201">
                  <c:v>162342.38000000006</c:v>
                </c:pt>
                <c:pt idx="202">
                  <c:v>163736.43000000005</c:v>
                </c:pt>
                <c:pt idx="203">
                  <c:v>165135.28000000006</c:v>
                </c:pt>
                <c:pt idx="204">
                  <c:v>166538.94000000006</c:v>
                </c:pt>
                <c:pt idx="205">
                  <c:v>167947.43000000005</c:v>
                </c:pt>
                <c:pt idx="206">
                  <c:v>169360.77000000005</c:v>
                </c:pt>
                <c:pt idx="207">
                  <c:v>170778.97000000006</c:v>
                </c:pt>
                <c:pt idx="208">
                  <c:v>172202.05000000005</c:v>
                </c:pt>
                <c:pt idx="209">
                  <c:v>173630.03000000006</c:v>
                </c:pt>
                <c:pt idx="210">
                  <c:v>175062.93000000005</c:v>
                </c:pt>
                <c:pt idx="211">
                  <c:v>176500.76000000004</c:v>
                </c:pt>
                <c:pt idx="212">
                  <c:v>177943.13000000003</c:v>
                </c:pt>
                <c:pt idx="213">
                  <c:v>179390.46000000002</c:v>
                </c:pt>
                <c:pt idx="214">
                  <c:v>180115.77000000002</c:v>
                </c:pt>
                <c:pt idx="215">
                  <c:v>180000</c:v>
                </c:pt>
                <c:pt idx="216">
                  <c:v>180000</c:v>
                </c:pt>
                <c:pt idx="217">
                  <c:v>180000</c:v>
                </c:pt>
                <c:pt idx="218">
                  <c:v>180000</c:v>
                </c:pt>
                <c:pt idx="219">
                  <c:v>180000</c:v>
                </c:pt>
                <c:pt idx="220">
                  <c:v>180000</c:v>
                </c:pt>
                <c:pt idx="221">
                  <c:v>180000</c:v>
                </c:pt>
                <c:pt idx="222">
                  <c:v>180000</c:v>
                </c:pt>
                <c:pt idx="223">
                  <c:v>180000</c:v>
                </c:pt>
                <c:pt idx="224">
                  <c:v>180000</c:v>
                </c:pt>
                <c:pt idx="225">
                  <c:v>180000</c:v>
                </c:pt>
                <c:pt idx="226">
                  <c:v>180000</c:v>
                </c:pt>
                <c:pt idx="227">
                  <c:v>180000</c:v>
                </c:pt>
                <c:pt idx="228">
                  <c:v>180000</c:v>
                </c:pt>
                <c:pt idx="229">
                  <c:v>180000</c:v>
                </c:pt>
                <c:pt idx="230">
                  <c:v>180000</c:v>
                </c:pt>
                <c:pt idx="231">
                  <c:v>180000</c:v>
                </c:pt>
                <c:pt idx="232">
                  <c:v>180000</c:v>
                </c:pt>
                <c:pt idx="233">
                  <c:v>180000</c:v>
                </c:pt>
                <c:pt idx="234">
                  <c:v>180000</c:v>
                </c:pt>
                <c:pt idx="235">
                  <c:v>180000</c:v>
                </c:pt>
                <c:pt idx="236">
                  <c:v>180000</c:v>
                </c:pt>
                <c:pt idx="237">
                  <c:v>180000</c:v>
                </c:pt>
                <c:pt idx="238">
                  <c:v>180000</c:v>
                </c:pt>
                <c:pt idx="239">
                  <c:v>180000</c:v>
                </c:pt>
                <c:pt idx="240">
                  <c:v>180000</c:v>
                </c:pt>
                <c:pt idx="241">
                  <c:v>180000</c:v>
                </c:pt>
                <c:pt idx="242">
                  <c:v>180000</c:v>
                </c:pt>
                <c:pt idx="243">
                  <c:v>180000</c:v>
                </c:pt>
                <c:pt idx="244">
                  <c:v>180000</c:v>
                </c:pt>
                <c:pt idx="245">
                  <c:v>180000</c:v>
                </c:pt>
                <c:pt idx="246">
                  <c:v>180000</c:v>
                </c:pt>
                <c:pt idx="247">
                  <c:v>180000</c:v>
                </c:pt>
                <c:pt idx="248">
                  <c:v>180000</c:v>
                </c:pt>
                <c:pt idx="249">
                  <c:v>180000</c:v>
                </c:pt>
                <c:pt idx="250">
                  <c:v>180000</c:v>
                </c:pt>
                <c:pt idx="251">
                  <c:v>180000</c:v>
                </c:pt>
                <c:pt idx="252">
                  <c:v>180000</c:v>
                </c:pt>
                <c:pt idx="253">
                  <c:v>180000</c:v>
                </c:pt>
                <c:pt idx="254">
                  <c:v>180000</c:v>
                </c:pt>
                <c:pt idx="255">
                  <c:v>180000</c:v>
                </c:pt>
                <c:pt idx="256">
                  <c:v>180000</c:v>
                </c:pt>
                <c:pt idx="257">
                  <c:v>180000</c:v>
                </c:pt>
                <c:pt idx="258">
                  <c:v>180000</c:v>
                </c:pt>
                <c:pt idx="259">
                  <c:v>180000</c:v>
                </c:pt>
                <c:pt idx="260">
                  <c:v>180000</c:v>
                </c:pt>
                <c:pt idx="261">
                  <c:v>180000</c:v>
                </c:pt>
                <c:pt idx="262">
                  <c:v>180000</c:v>
                </c:pt>
                <c:pt idx="263">
                  <c:v>180000</c:v>
                </c:pt>
                <c:pt idx="264">
                  <c:v>180000</c:v>
                </c:pt>
                <c:pt idx="265">
                  <c:v>180000</c:v>
                </c:pt>
                <c:pt idx="266">
                  <c:v>180000</c:v>
                </c:pt>
                <c:pt idx="267">
                  <c:v>180000</c:v>
                </c:pt>
                <c:pt idx="268">
                  <c:v>180000</c:v>
                </c:pt>
                <c:pt idx="269">
                  <c:v>180000</c:v>
                </c:pt>
                <c:pt idx="270">
                  <c:v>180000</c:v>
                </c:pt>
                <c:pt idx="271">
                  <c:v>180000</c:v>
                </c:pt>
                <c:pt idx="272">
                  <c:v>180000</c:v>
                </c:pt>
                <c:pt idx="273">
                  <c:v>180000</c:v>
                </c:pt>
                <c:pt idx="274">
                  <c:v>180000</c:v>
                </c:pt>
                <c:pt idx="275">
                  <c:v>180000</c:v>
                </c:pt>
                <c:pt idx="276">
                  <c:v>180000</c:v>
                </c:pt>
                <c:pt idx="277">
                  <c:v>180000</c:v>
                </c:pt>
                <c:pt idx="278">
                  <c:v>180000</c:v>
                </c:pt>
                <c:pt idx="279">
                  <c:v>180000</c:v>
                </c:pt>
                <c:pt idx="280">
                  <c:v>180000</c:v>
                </c:pt>
                <c:pt idx="281">
                  <c:v>180000</c:v>
                </c:pt>
                <c:pt idx="282">
                  <c:v>180000</c:v>
                </c:pt>
                <c:pt idx="283">
                  <c:v>180000</c:v>
                </c:pt>
                <c:pt idx="284">
                  <c:v>180000</c:v>
                </c:pt>
                <c:pt idx="285">
                  <c:v>180000</c:v>
                </c:pt>
                <c:pt idx="286">
                  <c:v>180000</c:v>
                </c:pt>
                <c:pt idx="287">
                  <c:v>180000</c:v>
                </c:pt>
                <c:pt idx="288">
                  <c:v>180000</c:v>
                </c:pt>
                <c:pt idx="289">
                  <c:v>180000</c:v>
                </c:pt>
                <c:pt idx="290">
                  <c:v>180000</c:v>
                </c:pt>
                <c:pt idx="291">
                  <c:v>180000</c:v>
                </c:pt>
                <c:pt idx="292">
                  <c:v>180000</c:v>
                </c:pt>
                <c:pt idx="293">
                  <c:v>180000</c:v>
                </c:pt>
                <c:pt idx="294">
                  <c:v>180000</c:v>
                </c:pt>
                <c:pt idx="295">
                  <c:v>180000</c:v>
                </c:pt>
                <c:pt idx="296">
                  <c:v>180000</c:v>
                </c:pt>
                <c:pt idx="297">
                  <c:v>180000</c:v>
                </c:pt>
                <c:pt idx="298">
                  <c:v>180000</c:v>
                </c:pt>
                <c:pt idx="299">
                  <c:v>180000</c:v>
                </c:pt>
                <c:pt idx="300">
                  <c:v>180000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43456"/>
        <c:axId val="476242672"/>
      </c:areaChart>
      <c:dateAx>
        <c:axId val="47624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2672"/>
        <c:crosses val="autoZero"/>
        <c:auto val="1"/>
        <c:lblOffset val="100"/>
        <c:baseTimeUnit val="months"/>
      </c:dateAx>
      <c:valAx>
        <c:axId val="4762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345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Data!$AB$13</c:f>
              <c:strCache>
                <c:ptCount val="1"/>
                <c:pt idx="0">
                  <c:v>Discover CC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Data!$AB$14:$AB$315</c:f>
              <c:numCache>
                <c:formatCode>#,##0.00_);[Red]\(#,##0.00\)</c:formatCode>
                <c:ptCount val="302"/>
                <c:pt idx="0">
                  <c:v>2560.77</c:v>
                </c:pt>
                <c:pt idx="1">
                  <c:v>469.79</c:v>
                </c:pt>
                <c:pt idx="2">
                  <c:v>386.45</c:v>
                </c:pt>
                <c:pt idx="3">
                  <c:v>2420.5100000000002</c:v>
                </c:pt>
                <c:pt idx="4">
                  <c:v>2430.77</c:v>
                </c:pt>
                <c:pt idx="5">
                  <c:v>35.71</c:v>
                </c:pt>
                <c:pt idx="6">
                  <c:v>4.3600000000000003</c:v>
                </c:pt>
                <c:pt idx="7">
                  <c:v>0</c:v>
                </c:pt>
                <c:pt idx="8">
                  <c:v>149.36000000000001</c:v>
                </c:pt>
                <c:pt idx="9">
                  <c:v>0</c:v>
                </c:pt>
                <c:pt idx="10">
                  <c:v>117.47</c:v>
                </c:pt>
                <c:pt idx="11">
                  <c:v>108.68</c:v>
                </c:pt>
                <c:pt idx="12">
                  <c:v>56.17</c:v>
                </c:pt>
                <c:pt idx="13">
                  <c:v>0</c:v>
                </c:pt>
                <c:pt idx="14">
                  <c:v>19.329999999999998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1"/>
          <c:order val="1"/>
          <c:tx>
            <c:strRef>
              <c:f>Data!$AC$13</c:f>
              <c:strCache>
                <c:ptCount val="1"/>
                <c:pt idx="0">
                  <c:v>Chase SP 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Data!$AC$14:$AC$315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70.150000000000006</c:v>
                </c:pt>
                <c:pt idx="6">
                  <c:v>1927.73</c:v>
                </c:pt>
                <c:pt idx="7">
                  <c:v>770.74</c:v>
                </c:pt>
                <c:pt idx="8">
                  <c:v>1360.7</c:v>
                </c:pt>
                <c:pt idx="9">
                  <c:v>1407.15</c:v>
                </c:pt>
                <c:pt idx="10">
                  <c:v>1221.72</c:v>
                </c:pt>
                <c:pt idx="11">
                  <c:v>983.27</c:v>
                </c:pt>
                <c:pt idx="12">
                  <c:v>565.94000000000005</c:v>
                </c:pt>
                <c:pt idx="13">
                  <c:v>1723.47</c:v>
                </c:pt>
                <c:pt idx="14">
                  <c:v>1912.66</c:v>
                </c:pt>
                <c:pt idx="15">
                  <c:v>1611.28</c:v>
                </c:pt>
                <c:pt idx="16">
                  <c:v>1744.9</c:v>
                </c:pt>
                <c:pt idx="17">
                  <c:v>1716.38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2"/>
          <c:order val="2"/>
          <c:tx>
            <c:strRef>
              <c:f>Data!$AD$13</c:f>
              <c:strCache>
                <c:ptCount val="1"/>
                <c:pt idx="0">
                  <c:v>USAA 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Data!$AD$14:$AD$315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215.37</c:v>
                </c:pt>
                <c:pt idx="8">
                  <c:v>478.91</c:v>
                </c:pt>
                <c:pt idx="9">
                  <c:v>2410.66</c:v>
                </c:pt>
                <c:pt idx="10">
                  <c:v>3203.5</c:v>
                </c:pt>
                <c:pt idx="11">
                  <c:v>3775.31</c:v>
                </c:pt>
                <c:pt idx="12">
                  <c:v>4184.07</c:v>
                </c:pt>
                <c:pt idx="13">
                  <c:v>2956.19</c:v>
                </c:pt>
                <c:pt idx="14">
                  <c:v>1876.97</c:v>
                </c:pt>
                <c:pt idx="15">
                  <c:v>1131.1600000000001</c:v>
                </c:pt>
                <c:pt idx="16">
                  <c:v>1520.5</c:v>
                </c:pt>
                <c:pt idx="17">
                  <c:v>908.45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3"/>
          <c:order val="3"/>
          <c:tx>
            <c:strRef>
              <c:f>Data!$AE$13</c:f>
              <c:strCache>
                <c:ptCount val="1"/>
                <c:pt idx="0">
                  <c:v>AmEx BCP 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Data!$AE$14:$AE$315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977.55</c:v>
                </c:pt>
                <c:pt idx="14">
                  <c:v>635.15</c:v>
                </c:pt>
                <c:pt idx="15">
                  <c:v>672.48</c:v>
                </c:pt>
                <c:pt idx="16">
                  <c:v>866.37</c:v>
                </c:pt>
                <c:pt idx="17">
                  <c:v>802.56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4"/>
          <c:order val="4"/>
          <c:tx>
            <c:strRef>
              <c:f>Data!$AF$13</c:f>
              <c:strCache>
                <c:ptCount val="1"/>
                <c:pt idx="0">
                  <c:v>Chevron Visa CC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Data!$AF$14:$AF$315</c:f>
              <c:numCache>
                <c:formatCode>#,##0.00_);[Red]\(#,##0.00\)</c:formatCode>
                <c:ptCount val="302"/>
                <c:pt idx="0">
                  <c:v>158.06</c:v>
                </c:pt>
                <c:pt idx="1">
                  <c:v>167.43</c:v>
                </c:pt>
                <c:pt idx="2">
                  <c:v>189.22</c:v>
                </c:pt>
                <c:pt idx="3">
                  <c:v>276.79000000000002</c:v>
                </c:pt>
                <c:pt idx="4">
                  <c:v>274.62</c:v>
                </c:pt>
                <c:pt idx="5">
                  <c:v>203.23</c:v>
                </c:pt>
                <c:pt idx="6">
                  <c:v>211.64</c:v>
                </c:pt>
                <c:pt idx="7">
                  <c:v>237.85</c:v>
                </c:pt>
                <c:pt idx="8">
                  <c:v>280.64</c:v>
                </c:pt>
                <c:pt idx="9">
                  <c:v>184.21</c:v>
                </c:pt>
                <c:pt idx="10">
                  <c:v>113.94</c:v>
                </c:pt>
                <c:pt idx="11">
                  <c:v>337.9</c:v>
                </c:pt>
                <c:pt idx="12">
                  <c:v>321.88</c:v>
                </c:pt>
                <c:pt idx="13">
                  <c:v>223.66</c:v>
                </c:pt>
                <c:pt idx="14">
                  <c:v>240.23</c:v>
                </c:pt>
                <c:pt idx="15">
                  <c:v>377.36</c:v>
                </c:pt>
                <c:pt idx="16">
                  <c:v>234.87</c:v>
                </c:pt>
                <c:pt idx="17">
                  <c:v>247.28416666666666</c:v>
                </c:pt>
                <c:pt idx="18">
                  <c:v>250.95534722222223</c:v>
                </c:pt>
                <c:pt idx="19">
                  <c:v>254.23162615740742</c:v>
                </c:pt>
                <c:pt idx="20">
                  <c:v>255.59676167052473</c:v>
                </c:pt>
                <c:pt idx="21">
                  <c:v>253.50982514306841</c:v>
                </c:pt>
                <c:pt idx="22">
                  <c:v>259.28481057165749</c:v>
                </c:pt>
                <c:pt idx="23">
                  <c:v>271.39687811929554</c:v>
                </c:pt>
                <c:pt idx="24">
                  <c:v>265.85495129590356</c:v>
                </c:pt>
                <c:pt idx="25">
                  <c:v>261.18619723722884</c:v>
                </c:pt>
                <c:pt idx="26">
                  <c:v>264.31338034033126</c:v>
                </c:pt>
                <c:pt idx="27">
                  <c:v>266.32032870202551</c:v>
                </c:pt>
                <c:pt idx="28">
                  <c:v>257.06702276052766</c:v>
                </c:pt>
                <c:pt idx="29">
                  <c:v>258.91677465723831</c:v>
                </c:pt>
                <c:pt idx="30">
                  <c:v>259.88615865645261</c:v>
                </c:pt>
                <c:pt idx="31">
                  <c:v>260.63039294263848</c:v>
                </c:pt>
                <c:pt idx="32">
                  <c:v>261.16362350807441</c:v>
                </c:pt>
                <c:pt idx="33">
                  <c:v>261.62752866120354</c:v>
                </c:pt>
                <c:pt idx="34">
                  <c:v>262.30400395438147</c:v>
                </c:pt>
                <c:pt idx="35">
                  <c:v>262.55560340294181</c:v>
                </c:pt>
                <c:pt idx="36">
                  <c:v>261.81883050991229</c:v>
                </c:pt>
                <c:pt idx="37">
                  <c:v>261.48248711107971</c:v>
                </c:pt>
                <c:pt idx="38">
                  <c:v>261.50717793390061</c:v>
                </c:pt>
                <c:pt idx="39">
                  <c:v>261.27332773336468</c:v>
                </c:pt>
                <c:pt idx="40">
                  <c:v>260.85274431930958</c:v>
                </c:pt>
                <c:pt idx="41">
                  <c:v>261.16822111587476</c:v>
                </c:pt>
                <c:pt idx="42">
                  <c:v>261.35584165409449</c:v>
                </c:pt>
                <c:pt idx="43">
                  <c:v>261.4783152372313</c:v>
                </c:pt>
                <c:pt idx="44">
                  <c:v>261.54897542844736</c:v>
                </c:pt>
                <c:pt idx="45">
                  <c:v>261.58108808847845</c:v>
                </c:pt>
                <c:pt idx="46">
                  <c:v>261.57721804075135</c:v>
                </c:pt>
                <c:pt idx="47">
                  <c:v>261.51665254794881</c:v>
                </c:pt>
                <c:pt idx="48">
                  <c:v>261.43007331003275</c:v>
                </c:pt>
                <c:pt idx="49">
                  <c:v>261.39767687670945</c:v>
                </c:pt>
                <c:pt idx="50">
                  <c:v>261.39060935717862</c:v>
                </c:pt>
                <c:pt idx="51">
                  <c:v>261.38089530911844</c:v>
                </c:pt>
                <c:pt idx="52">
                  <c:v>261.38985927376461</c:v>
                </c:pt>
                <c:pt idx="53">
                  <c:v>261.43461885330254</c:v>
                </c:pt>
                <c:pt idx="54">
                  <c:v>261.45681866475485</c:v>
                </c:pt>
                <c:pt idx="55">
                  <c:v>261.46523341564324</c:v>
                </c:pt>
                <c:pt idx="56">
                  <c:v>261.46414326384422</c:v>
                </c:pt>
                <c:pt idx="57">
                  <c:v>261.45707391679395</c:v>
                </c:pt>
                <c:pt idx="58">
                  <c:v>261.44673940248686</c:v>
                </c:pt>
                <c:pt idx="59">
                  <c:v>261.43586618263151</c:v>
                </c:pt>
                <c:pt idx="60">
                  <c:v>261.42913398552167</c:v>
                </c:pt>
                <c:pt idx="61">
                  <c:v>261.42905570847915</c:v>
                </c:pt>
                <c:pt idx="62">
                  <c:v>261.43167061112661</c:v>
                </c:pt>
                <c:pt idx="63">
                  <c:v>261.43509238228893</c:v>
                </c:pt>
                <c:pt idx="64">
                  <c:v>261.43960880505318</c:v>
                </c:pt>
                <c:pt idx="65">
                  <c:v>261.44375459932718</c:v>
                </c:pt>
                <c:pt idx="66">
                  <c:v>261.44451591149601</c:v>
                </c:pt>
                <c:pt idx="67">
                  <c:v>261.44349068205776</c:v>
                </c:pt>
                <c:pt idx="68">
                  <c:v>261.44167878759231</c:v>
                </c:pt>
                <c:pt idx="69">
                  <c:v>261.43980674790464</c:v>
                </c:pt>
                <c:pt idx="70">
                  <c:v>261.43836781716385</c:v>
                </c:pt>
                <c:pt idx="71">
                  <c:v>261.43767018505361</c:v>
                </c:pt>
                <c:pt idx="72">
                  <c:v>261.43782051858881</c:v>
                </c:pt>
                <c:pt idx="73">
                  <c:v>261.43854439634435</c:v>
                </c:pt>
                <c:pt idx="74">
                  <c:v>261.43933512033311</c:v>
                </c:pt>
                <c:pt idx="75">
                  <c:v>261.43997382943365</c:v>
                </c:pt>
                <c:pt idx="76">
                  <c:v>261.44038061669568</c:v>
                </c:pt>
                <c:pt idx="77">
                  <c:v>261.44044493433256</c:v>
                </c:pt>
                <c:pt idx="78">
                  <c:v>261.44016912891635</c:v>
                </c:pt>
                <c:pt idx="79">
                  <c:v>261.43980689703466</c:v>
                </c:pt>
                <c:pt idx="80">
                  <c:v>261.43949991494941</c:v>
                </c:pt>
                <c:pt idx="81">
                  <c:v>261.43931834222917</c:v>
                </c:pt>
                <c:pt idx="82">
                  <c:v>261.43927764175623</c:v>
                </c:pt>
                <c:pt idx="83">
                  <c:v>261.43935346047232</c:v>
                </c:pt>
                <c:pt idx="84">
                  <c:v>261.43949373342389</c:v>
                </c:pt>
                <c:pt idx="85">
                  <c:v>261.43963316799341</c:v>
                </c:pt>
                <c:pt idx="86">
                  <c:v>261.43972389896425</c:v>
                </c:pt>
                <c:pt idx="87">
                  <c:v>261.43975629718346</c:v>
                </c:pt>
                <c:pt idx="88">
                  <c:v>261.43973816949597</c:v>
                </c:pt>
                <c:pt idx="89">
                  <c:v>261.43968463222933</c:v>
                </c:pt>
                <c:pt idx="90">
                  <c:v>261.43962127372072</c:v>
                </c:pt>
                <c:pt idx="91">
                  <c:v>261.43957561912106</c:v>
                </c:pt>
                <c:pt idx="92">
                  <c:v>261.43955634596165</c:v>
                </c:pt>
                <c:pt idx="93">
                  <c:v>261.43956104854595</c:v>
                </c:pt>
                <c:pt idx="94">
                  <c:v>261.43958127407234</c:v>
                </c:pt>
                <c:pt idx="95">
                  <c:v>261.43960657676536</c:v>
                </c:pt>
                <c:pt idx="96">
                  <c:v>261.43962766978979</c:v>
                </c:pt>
                <c:pt idx="97">
                  <c:v>261.43963883115362</c:v>
                </c:pt>
                <c:pt idx="98">
                  <c:v>261.4396393030836</c:v>
                </c:pt>
                <c:pt idx="99">
                  <c:v>261.43963225342696</c:v>
                </c:pt>
                <c:pt idx="100">
                  <c:v>261.43962191644721</c:v>
                </c:pt>
                <c:pt idx="101">
                  <c:v>261.43961222869314</c:v>
                </c:pt>
                <c:pt idx="102">
                  <c:v>261.43960619506515</c:v>
                </c:pt>
                <c:pt idx="103">
                  <c:v>261.43960493851051</c:v>
                </c:pt>
                <c:pt idx="104">
                  <c:v>261.43960738179294</c:v>
                </c:pt>
                <c:pt idx="105">
                  <c:v>261.43961163477883</c:v>
                </c:pt>
                <c:pt idx="106">
                  <c:v>261.43961585029825</c:v>
                </c:pt>
                <c:pt idx="107">
                  <c:v>261.43961873165046</c:v>
                </c:pt>
                <c:pt idx="108">
                  <c:v>261.43961974455755</c:v>
                </c:pt>
                <c:pt idx="109">
                  <c:v>261.43961908412149</c:v>
                </c:pt>
                <c:pt idx="110">
                  <c:v>261.43961743853555</c:v>
                </c:pt>
                <c:pt idx="111">
                  <c:v>261.4396156164899</c:v>
                </c:pt>
                <c:pt idx="112">
                  <c:v>261.43961423007846</c:v>
                </c:pt>
                <c:pt idx="113">
                  <c:v>261.43961358954772</c:v>
                </c:pt>
                <c:pt idx="114">
                  <c:v>261.43961370295222</c:v>
                </c:pt>
                <c:pt idx="115">
                  <c:v>261.43961432860948</c:v>
                </c:pt>
                <c:pt idx="116">
                  <c:v>261.43961511111769</c:v>
                </c:pt>
                <c:pt idx="117">
                  <c:v>261.43961575522809</c:v>
                </c:pt>
                <c:pt idx="118">
                  <c:v>261.43961609859889</c:v>
                </c:pt>
                <c:pt idx="119">
                  <c:v>261.43961611929063</c:v>
                </c:pt>
                <c:pt idx="120">
                  <c:v>261.43961590159398</c:v>
                </c:pt>
                <c:pt idx="121">
                  <c:v>261.43961558134703</c:v>
                </c:pt>
                <c:pt idx="122">
                  <c:v>261.43961528944914</c:v>
                </c:pt>
                <c:pt idx="123">
                  <c:v>261.4396151103586</c:v>
                </c:pt>
                <c:pt idx="124">
                  <c:v>261.43961506818101</c:v>
                </c:pt>
                <c:pt idx="125">
                  <c:v>261.43961513802287</c:v>
                </c:pt>
                <c:pt idx="126">
                  <c:v>261.43961526706249</c:v>
                </c:pt>
                <c:pt idx="127">
                  <c:v>261.43961539740496</c:v>
                </c:pt>
                <c:pt idx="128">
                  <c:v>261.43961548647127</c:v>
                </c:pt>
                <c:pt idx="129">
                  <c:v>261.43961551775072</c:v>
                </c:pt>
                <c:pt idx="130">
                  <c:v>261.43961549796092</c:v>
                </c:pt>
                <c:pt idx="131">
                  <c:v>261.43961544790778</c:v>
                </c:pt>
                <c:pt idx="132">
                  <c:v>261.43961539195919</c:v>
                </c:pt>
                <c:pt idx="133">
                  <c:v>261.43961534948966</c:v>
                </c:pt>
                <c:pt idx="134">
                  <c:v>261.43961533016818</c:v>
                </c:pt>
                <c:pt idx="135">
                  <c:v>261.43961533356145</c:v>
                </c:pt>
                <c:pt idx="136">
                  <c:v>261.4396153521617</c:v>
                </c:pt>
                <c:pt idx="137">
                  <c:v>261.43961537582675</c:v>
                </c:pt>
                <c:pt idx="138">
                  <c:v>261.43961539564373</c:v>
                </c:pt>
                <c:pt idx="139">
                  <c:v>261.43961540635883</c:v>
                </c:pt>
                <c:pt idx="140">
                  <c:v>261.43961540710501</c:v>
                </c:pt>
                <c:pt idx="141">
                  <c:v>261.43961540049116</c:v>
                </c:pt>
                <c:pt idx="142">
                  <c:v>261.43961539071955</c:v>
                </c:pt>
                <c:pt idx="143">
                  <c:v>261.43961538178274</c:v>
                </c:pt>
                <c:pt idx="144">
                  <c:v>261.43961537627234</c:v>
                </c:pt>
                <c:pt idx="145">
                  <c:v>261.43961537496511</c:v>
                </c:pt>
                <c:pt idx="146">
                  <c:v>261.4396153770881</c:v>
                </c:pt>
                <c:pt idx="147">
                  <c:v>261.43961538099808</c:v>
                </c:pt>
                <c:pt idx="148">
                  <c:v>261.43961538495114</c:v>
                </c:pt>
                <c:pt idx="149">
                  <c:v>261.43961538768355</c:v>
                </c:pt>
                <c:pt idx="150">
                  <c:v>261.4396153886716</c:v>
                </c:pt>
                <c:pt idx="151">
                  <c:v>261.4396153880906</c:v>
                </c:pt>
                <c:pt idx="152">
                  <c:v>261.43961538656828</c:v>
                </c:pt>
                <c:pt idx="153">
                  <c:v>261.43961538485684</c:v>
                </c:pt>
                <c:pt idx="154">
                  <c:v>261.43961538355398</c:v>
                </c:pt>
                <c:pt idx="155">
                  <c:v>261.4396153829569</c:v>
                </c:pt>
                <c:pt idx="156">
                  <c:v>261.43961538305473</c:v>
                </c:pt>
                <c:pt idx="157">
                  <c:v>261.43961538361992</c:v>
                </c:pt>
                <c:pt idx="158">
                  <c:v>261.43961538434121</c:v>
                </c:pt>
                <c:pt idx="159">
                  <c:v>261.43961538494563</c:v>
                </c:pt>
                <c:pt idx="160">
                  <c:v>261.43961538527458</c:v>
                </c:pt>
                <c:pt idx="161">
                  <c:v>261.43961538530147</c:v>
                </c:pt>
                <c:pt idx="162">
                  <c:v>261.43961538510297</c:v>
                </c:pt>
                <c:pt idx="163">
                  <c:v>261.43961538480556</c:v>
                </c:pt>
                <c:pt idx="164">
                  <c:v>261.43961538453181</c:v>
                </c:pt>
                <c:pt idx="165">
                  <c:v>261.43961538436213</c:v>
                </c:pt>
                <c:pt idx="166">
                  <c:v>261.43961538432092</c:v>
                </c:pt>
                <c:pt idx="167">
                  <c:v>261.43961538438481</c:v>
                </c:pt>
                <c:pt idx="168">
                  <c:v>261.43961538450384</c:v>
                </c:pt>
                <c:pt idx="169">
                  <c:v>261.43961538462457</c:v>
                </c:pt>
                <c:pt idx="170">
                  <c:v>261.4396153847083</c:v>
                </c:pt>
                <c:pt idx="171">
                  <c:v>261.43961538473889</c:v>
                </c:pt>
                <c:pt idx="172">
                  <c:v>261.43961538472166</c:v>
                </c:pt>
                <c:pt idx="173">
                  <c:v>261.43961538467556</c:v>
                </c:pt>
                <c:pt idx="174">
                  <c:v>261.43961538462338</c:v>
                </c:pt>
                <c:pt idx="175">
                  <c:v>261.43961538458342</c:v>
                </c:pt>
                <c:pt idx="176">
                  <c:v>261.43961538456489</c:v>
                </c:pt>
                <c:pt idx="177">
                  <c:v>261.43961538456767</c:v>
                </c:pt>
                <c:pt idx="178">
                  <c:v>261.43961538458484</c:v>
                </c:pt>
                <c:pt idx="179">
                  <c:v>261.43961538460684</c:v>
                </c:pt>
                <c:pt idx="180">
                  <c:v>261.43961538462537</c:v>
                </c:pt>
                <c:pt idx="181">
                  <c:v>261.43961538463549</c:v>
                </c:pt>
                <c:pt idx="182">
                  <c:v>261.4396153846364</c:v>
                </c:pt>
                <c:pt idx="183">
                  <c:v>261.43961538463043</c:v>
                </c:pt>
                <c:pt idx="184">
                  <c:v>261.43961538462133</c:v>
                </c:pt>
                <c:pt idx="185">
                  <c:v>261.43961538461298</c:v>
                </c:pt>
                <c:pt idx="186">
                  <c:v>261.43961538460775</c:v>
                </c:pt>
                <c:pt idx="187">
                  <c:v>261.43961538460644</c:v>
                </c:pt>
                <c:pt idx="188">
                  <c:v>261.43961538460837</c:v>
                </c:pt>
                <c:pt idx="189">
                  <c:v>261.43961538461195</c:v>
                </c:pt>
                <c:pt idx="190">
                  <c:v>261.43961538461571</c:v>
                </c:pt>
                <c:pt idx="191">
                  <c:v>261.43961538461821</c:v>
                </c:pt>
                <c:pt idx="192">
                  <c:v>261.43961538461917</c:v>
                </c:pt>
                <c:pt idx="193">
                  <c:v>261.43961538461866</c:v>
                </c:pt>
                <c:pt idx="194">
                  <c:v>261.4396153846173</c:v>
                </c:pt>
                <c:pt idx="195">
                  <c:v>261.43961538461571</c:v>
                </c:pt>
                <c:pt idx="196">
                  <c:v>261.43961538461446</c:v>
                </c:pt>
                <c:pt idx="197">
                  <c:v>261.43961538461389</c:v>
                </c:pt>
                <c:pt idx="198">
                  <c:v>261.439615384614</c:v>
                </c:pt>
                <c:pt idx="199">
                  <c:v>261.43961538461451</c:v>
                </c:pt>
                <c:pt idx="200">
                  <c:v>261.43961538461519</c:v>
                </c:pt>
                <c:pt idx="201">
                  <c:v>261.43961538461576</c:v>
                </c:pt>
                <c:pt idx="202">
                  <c:v>261.43961538461605</c:v>
                </c:pt>
                <c:pt idx="203">
                  <c:v>261.4396153846161</c:v>
                </c:pt>
                <c:pt idx="204">
                  <c:v>261.43961538461593</c:v>
                </c:pt>
                <c:pt idx="205">
                  <c:v>261.43961538461559</c:v>
                </c:pt>
                <c:pt idx="206">
                  <c:v>261.43961538461537</c:v>
                </c:pt>
                <c:pt idx="207">
                  <c:v>261.43961538461525</c:v>
                </c:pt>
                <c:pt idx="208">
                  <c:v>261.43961538461514</c:v>
                </c:pt>
                <c:pt idx="209">
                  <c:v>261.43961538461525</c:v>
                </c:pt>
                <c:pt idx="210">
                  <c:v>261.43961538461531</c:v>
                </c:pt>
                <c:pt idx="211">
                  <c:v>261.43961538461548</c:v>
                </c:pt>
                <c:pt idx="212">
                  <c:v>261.43961538461554</c:v>
                </c:pt>
                <c:pt idx="213">
                  <c:v>261.43961538461554</c:v>
                </c:pt>
                <c:pt idx="214">
                  <c:v>261.43961538461554</c:v>
                </c:pt>
                <c:pt idx="215">
                  <c:v>261.43961538461548</c:v>
                </c:pt>
                <c:pt idx="216">
                  <c:v>261.43961538461548</c:v>
                </c:pt>
                <c:pt idx="217">
                  <c:v>261.43961538461542</c:v>
                </c:pt>
                <c:pt idx="218">
                  <c:v>261.43961538461542</c:v>
                </c:pt>
                <c:pt idx="219">
                  <c:v>261.43961538461548</c:v>
                </c:pt>
                <c:pt idx="220">
                  <c:v>261.43961538461548</c:v>
                </c:pt>
                <c:pt idx="221">
                  <c:v>261.43961538461548</c:v>
                </c:pt>
                <c:pt idx="222">
                  <c:v>261.43961538461548</c:v>
                </c:pt>
                <c:pt idx="223">
                  <c:v>261.43961538461554</c:v>
                </c:pt>
                <c:pt idx="224">
                  <c:v>261.43961538461554</c:v>
                </c:pt>
                <c:pt idx="225">
                  <c:v>261.43961538461554</c:v>
                </c:pt>
                <c:pt idx="226">
                  <c:v>261.43961538461554</c:v>
                </c:pt>
                <c:pt idx="227">
                  <c:v>261.43961538461548</c:v>
                </c:pt>
                <c:pt idx="228">
                  <c:v>261.43961538461548</c:v>
                </c:pt>
                <c:pt idx="229">
                  <c:v>261.43961538461554</c:v>
                </c:pt>
                <c:pt idx="230">
                  <c:v>261.43961538461554</c:v>
                </c:pt>
                <c:pt idx="231">
                  <c:v>261.43961538461554</c:v>
                </c:pt>
                <c:pt idx="232">
                  <c:v>261.43961538461548</c:v>
                </c:pt>
                <c:pt idx="233">
                  <c:v>261.43961538461554</c:v>
                </c:pt>
                <c:pt idx="234">
                  <c:v>261.43961538461554</c:v>
                </c:pt>
                <c:pt idx="235">
                  <c:v>261.43961538461554</c:v>
                </c:pt>
                <c:pt idx="236">
                  <c:v>261.43961538461554</c:v>
                </c:pt>
                <c:pt idx="237">
                  <c:v>261.43961538461554</c:v>
                </c:pt>
                <c:pt idx="238">
                  <c:v>261.43961538461554</c:v>
                </c:pt>
                <c:pt idx="239">
                  <c:v>261.43961538461554</c:v>
                </c:pt>
                <c:pt idx="240">
                  <c:v>261.43961538461554</c:v>
                </c:pt>
                <c:pt idx="241">
                  <c:v>261.43961538461554</c:v>
                </c:pt>
                <c:pt idx="242">
                  <c:v>261.43961538461554</c:v>
                </c:pt>
                <c:pt idx="243">
                  <c:v>261.43961538461554</c:v>
                </c:pt>
                <c:pt idx="244">
                  <c:v>261.43961538461554</c:v>
                </c:pt>
                <c:pt idx="245">
                  <c:v>261.43961538461554</c:v>
                </c:pt>
                <c:pt idx="246">
                  <c:v>261.43961538461554</c:v>
                </c:pt>
                <c:pt idx="247">
                  <c:v>261.43961538461554</c:v>
                </c:pt>
                <c:pt idx="248">
                  <c:v>261.43961538461554</c:v>
                </c:pt>
                <c:pt idx="249">
                  <c:v>261.43961538461554</c:v>
                </c:pt>
                <c:pt idx="250">
                  <c:v>261.43961538461554</c:v>
                </c:pt>
                <c:pt idx="251">
                  <c:v>261.43961538461554</c:v>
                </c:pt>
                <c:pt idx="252">
                  <c:v>261.43961538461554</c:v>
                </c:pt>
                <c:pt idx="253">
                  <c:v>261.43961538461554</c:v>
                </c:pt>
                <c:pt idx="254">
                  <c:v>261.43961538461554</c:v>
                </c:pt>
                <c:pt idx="255">
                  <c:v>261.43961538461554</c:v>
                </c:pt>
                <c:pt idx="256">
                  <c:v>261.43961538461554</c:v>
                </c:pt>
                <c:pt idx="257">
                  <c:v>261.43961538461554</c:v>
                </c:pt>
                <c:pt idx="258">
                  <c:v>261.43961538461554</c:v>
                </c:pt>
                <c:pt idx="259">
                  <c:v>261.43961538461554</c:v>
                </c:pt>
                <c:pt idx="260">
                  <c:v>261.43961538461554</c:v>
                </c:pt>
                <c:pt idx="261">
                  <c:v>261.43961538461554</c:v>
                </c:pt>
                <c:pt idx="262">
                  <c:v>261.43961538461554</c:v>
                </c:pt>
                <c:pt idx="263">
                  <c:v>261.43961538461554</c:v>
                </c:pt>
                <c:pt idx="264">
                  <c:v>261.43961538461554</c:v>
                </c:pt>
                <c:pt idx="265">
                  <c:v>261.43961538461554</c:v>
                </c:pt>
                <c:pt idx="266">
                  <c:v>261.43961538461554</c:v>
                </c:pt>
                <c:pt idx="267">
                  <c:v>261.43961538461554</c:v>
                </c:pt>
                <c:pt idx="268">
                  <c:v>261.43961538461554</c:v>
                </c:pt>
                <c:pt idx="269">
                  <c:v>261.43961538461554</c:v>
                </c:pt>
                <c:pt idx="270">
                  <c:v>261.43961538461554</c:v>
                </c:pt>
                <c:pt idx="271">
                  <c:v>261.43961538461554</c:v>
                </c:pt>
                <c:pt idx="272">
                  <c:v>261.43961538461554</c:v>
                </c:pt>
                <c:pt idx="273">
                  <c:v>261.43961538461554</c:v>
                </c:pt>
                <c:pt idx="274">
                  <c:v>261.43961538461554</c:v>
                </c:pt>
                <c:pt idx="275">
                  <c:v>261.43961538461554</c:v>
                </c:pt>
                <c:pt idx="276">
                  <c:v>261.43961538461554</c:v>
                </c:pt>
                <c:pt idx="277">
                  <c:v>261.43961538461554</c:v>
                </c:pt>
                <c:pt idx="278">
                  <c:v>261.43961538461554</c:v>
                </c:pt>
                <c:pt idx="279">
                  <c:v>261.43961538461554</c:v>
                </c:pt>
                <c:pt idx="280">
                  <c:v>261.43961538461554</c:v>
                </c:pt>
                <c:pt idx="281">
                  <c:v>261.43961538461554</c:v>
                </c:pt>
                <c:pt idx="282">
                  <c:v>261.43961538461554</c:v>
                </c:pt>
                <c:pt idx="283">
                  <c:v>261.43961538461554</c:v>
                </c:pt>
                <c:pt idx="284">
                  <c:v>261.43961538461554</c:v>
                </c:pt>
                <c:pt idx="285">
                  <c:v>261.43961538461554</c:v>
                </c:pt>
                <c:pt idx="286">
                  <c:v>261.43961538461554</c:v>
                </c:pt>
                <c:pt idx="287">
                  <c:v>261.43961538461554</c:v>
                </c:pt>
                <c:pt idx="288">
                  <c:v>261.43961538461554</c:v>
                </c:pt>
                <c:pt idx="289">
                  <c:v>261.43961538461554</c:v>
                </c:pt>
                <c:pt idx="290">
                  <c:v>261.43961538461554</c:v>
                </c:pt>
                <c:pt idx="291">
                  <c:v>261.43961538461554</c:v>
                </c:pt>
                <c:pt idx="292">
                  <c:v>261.43961538461554</c:v>
                </c:pt>
                <c:pt idx="293">
                  <c:v>261.43961538461554</c:v>
                </c:pt>
                <c:pt idx="294">
                  <c:v>261.43961538461554</c:v>
                </c:pt>
                <c:pt idx="295">
                  <c:v>261.43961538461554</c:v>
                </c:pt>
                <c:pt idx="296">
                  <c:v>261.43961538461554</c:v>
                </c:pt>
                <c:pt idx="297">
                  <c:v>261.43961538461554</c:v>
                </c:pt>
                <c:pt idx="298">
                  <c:v>261.43961538461554</c:v>
                </c:pt>
                <c:pt idx="299">
                  <c:v>261.43961538461554</c:v>
                </c:pt>
                <c:pt idx="300">
                  <c:v>261.43961538461554</c:v>
                </c:pt>
              </c:numCache>
            </c:numRef>
          </c:val>
        </c:ser>
        <c:ser>
          <c:idx val="5"/>
          <c:order val="5"/>
          <c:tx>
            <c:strRef>
              <c:f>Data!$AG$13</c:f>
              <c:strCache>
                <c:ptCount val="1"/>
                <c:pt idx="0">
                  <c:v>United CC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Data!$AG$14:$AG$315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6"/>
          <c:order val="6"/>
          <c:tx>
            <c:strRef>
              <c:f>Data!$AH$13</c:f>
              <c:strCache>
                <c:ptCount val="1"/>
                <c:pt idx="0">
                  <c:v>Navient Loan 1 (5.31%)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Data!$AH$14:$AH$315</c:f>
              <c:numCache>
                <c:formatCode>#,##0.00_);[Red]\(#,##0.00\)</c:formatCode>
                <c:ptCount val="302"/>
                <c:pt idx="0">
                  <c:v>22472</c:v>
                </c:pt>
                <c:pt idx="1">
                  <c:v>22472</c:v>
                </c:pt>
                <c:pt idx="2">
                  <c:v>22472</c:v>
                </c:pt>
                <c:pt idx="3">
                  <c:v>44944</c:v>
                </c:pt>
                <c:pt idx="4">
                  <c:v>44945</c:v>
                </c:pt>
                <c:pt idx="5">
                  <c:v>44945</c:v>
                </c:pt>
                <c:pt idx="6">
                  <c:v>44945</c:v>
                </c:pt>
                <c:pt idx="7">
                  <c:v>44945</c:v>
                </c:pt>
                <c:pt idx="8">
                  <c:v>44945</c:v>
                </c:pt>
                <c:pt idx="9">
                  <c:v>44945</c:v>
                </c:pt>
                <c:pt idx="10">
                  <c:v>44945</c:v>
                </c:pt>
                <c:pt idx="11">
                  <c:v>44945</c:v>
                </c:pt>
                <c:pt idx="12">
                  <c:v>44945</c:v>
                </c:pt>
                <c:pt idx="13">
                  <c:v>44945</c:v>
                </c:pt>
                <c:pt idx="14">
                  <c:v>44945</c:v>
                </c:pt>
                <c:pt idx="15">
                  <c:v>44945</c:v>
                </c:pt>
                <c:pt idx="16">
                  <c:v>44945</c:v>
                </c:pt>
                <c:pt idx="17">
                  <c:v>44946</c:v>
                </c:pt>
                <c:pt idx="18">
                  <c:v>45144.886050000001</c:v>
                </c:pt>
                <c:pt idx="19">
                  <c:v>45344.652170771253</c:v>
                </c:pt>
                <c:pt idx="20">
                  <c:v>45545.302256626914</c:v>
                </c:pt>
                <c:pt idx="21">
                  <c:v>45746.840219112491</c:v>
                </c:pt>
                <c:pt idx="22">
                  <c:v>45949.269987082065</c:v>
                </c:pt>
                <c:pt idx="23">
                  <c:v>46152.595506774902</c:v>
                </c:pt>
                <c:pt idx="24">
                  <c:v>46356.820741892378</c:v>
                </c:pt>
                <c:pt idx="25">
                  <c:v>46561.949673675248</c:v>
                </c:pt>
                <c:pt idx="26">
                  <c:v>46767.986300981262</c:v>
                </c:pt>
                <c:pt idx="27">
                  <c:v>46974.934640363106</c:v>
                </c:pt>
                <c:pt idx="28">
                  <c:v>47182.798726146713</c:v>
                </c:pt>
                <c:pt idx="29">
                  <c:v>47391.582610509911</c:v>
                </c:pt>
                <c:pt idx="30">
                  <c:v>47601.29036356142</c:v>
                </c:pt>
                <c:pt idx="31">
                  <c:v>47811.926073420182</c:v>
                </c:pt>
                <c:pt idx="32">
                  <c:v>48023.493846295067</c:v>
                </c:pt>
                <c:pt idx="33">
                  <c:v>48235.997806564919</c:v>
                </c:pt>
                <c:pt idx="34">
                  <c:v>48449.442096858969</c:v>
                </c:pt>
                <c:pt idx="35">
                  <c:v>48663.830878137567</c:v>
                </c:pt>
                <c:pt idx="36">
                  <c:v>48879.168329773325</c:v>
                </c:pt>
                <c:pt idx="37">
                  <c:v>49095.458649632572</c:v>
                </c:pt>
                <c:pt idx="38">
                  <c:v>49312.706054157199</c:v>
                </c:pt>
                <c:pt idx="39">
                  <c:v>49530.914778446844</c:v>
                </c:pt>
                <c:pt idx="40">
                  <c:v>49750.089076341472</c:v>
                </c:pt>
                <c:pt idx="41">
                  <c:v>49970.233220504284</c:v>
                </c:pt>
                <c:pt idx="42">
                  <c:v>50191.351502505015</c:v>
                </c:pt>
                <c:pt idx="43">
                  <c:v>50413.448232903596</c:v>
                </c:pt>
                <c:pt idx="44">
                  <c:v>50636.527741334197</c:v>
                </c:pt>
                <c:pt idx="45">
                  <c:v>50315.817741334198</c:v>
                </c:pt>
                <c:pt idx="46">
                  <c:v>49993.687741334201</c:v>
                </c:pt>
                <c:pt idx="47">
                  <c:v>49670.127741334203</c:v>
                </c:pt>
                <c:pt idx="48">
                  <c:v>49345.137741334205</c:v>
                </c:pt>
                <c:pt idx="49">
                  <c:v>49018.707741334205</c:v>
                </c:pt>
                <c:pt idx="50">
                  <c:v>48690.837741334202</c:v>
                </c:pt>
                <c:pt idx="51">
                  <c:v>48361.517741334203</c:v>
                </c:pt>
                <c:pt idx="52">
                  <c:v>48030.737741334204</c:v>
                </c:pt>
                <c:pt idx="53">
                  <c:v>47698.497741334206</c:v>
                </c:pt>
                <c:pt idx="54">
                  <c:v>47364.787741334207</c:v>
                </c:pt>
                <c:pt idx="55">
                  <c:v>47029.597741334204</c:v>
                </c:pt>
                <c:pt idx="56">
                  <c:v>46692.927741334206</c:v>
                </c:pt>
                <c:pt idx="57">
                  <c:v>46354.767741334203</c:v>
                </c:pt>
                <c:pt idx="58">
                  <c:v>46015.107741334199</c:v>
                </c:pt>
                <c:pt idx="59">
                  <c:v>45673.947741334196</c:v>
                </c:pt>
                <c:pt idx="60">
                  <c:v>45331.277741334197</c:v>
                </c:pt>
                <c:pt idx="61">
                  <c:v>44987.087741334195</c:v>
                </c:pt>
                <c:pt idx="62">
                  <c:v>44641.377741334196</c:v>
                </c:pt>
                <c:pt idx="63">
                  <c:v>44294.137741334198</c:v>
                </c:pt>
                <c:pt idx="64">
                  <c:v>43945.357741334199</c:v>
                </c:pt>
                <c:pt idx="65">
                  <c:v>43595.037741334199</c:v>
                </c:pt>
                <c:pt idx="66">
                  <c:v>43243.167741334197</c:v>
                </c:pt>
                <c:pt idx="67">
                  <c:v>42889.737741334196</c:v>
                </c:pt>
                <c:pt idx="68">
                  <c:v>42534.747741334199</c:v>
                </c:pt>
                <c:pt idx="69">
                  <c:v>42178.187741334201</c:v>
                </c:pt>
                <c:pt idx="70">
                  <c:v>41820.047741334201</c:v>
                </c:pt>
                <c:pt idx="71">
                  <c:v>41460.317741334198</c:v>
                </c:pt>
                <c:pt idx="72">
                  <c:v>41098.997741334199</c:v>
                </c:pt>
                <c:pt idx="73">
                  <c:v>40736.0777413342</c:v>
                </c:pt>
                <c:pt idx="74">
                  <c:v>40371.557741334203</c:v>
                </c:pt>
                <c:pt idx="75">
                  <c:v>40005.417741334204</c:v>
                </c:pt>
                <c:pt idx="76">
                  <c:v>39637.657741334202</c:v>
                </c:pt>
                <c:pt idx="77">
                  <c:v>39268.277741334205</c:v>
                </c:pt>
                <c:pt idx="78">
                  <c:v>38897.257741334208</c:v>
                </c:pt>
                <c:pt idx="79">
                  <c:v>38524.597741334204</c:v>
                </c:pt>
                <c:pt idx="80">
                  <c:v>38150.287741334207</c:v>
                </c:pt>
                <c:pt idx="81">
                  <c:v>37774.327741334208</c:v>
                </c:pt>
                <c:pt idx="82">
                  <c:v>35796.69774133421</c:v>
                </c:pt>
                <c:pt idx="83">
                  <c:v>33810.317741334213</c:v>
                </c:pt>
                <c:pt idx="84">
                  <c:v>31815.147741334215</c:v>
                </c:pt>
                <c:pt idx="85">
                  <c:v>29811.147741334215</c:v>
                </c:pt>
                <c:pt idx="86">
                  <c:v>27798.277741334216</c:v>
                </c:pt>
                <c:pt idx="87">
                  <c:v>25776.507741334215</c:v>
                </c:pt>
                <c:pt idx="88">
                  <c:v>23745.787741334214</c:v>
                </c:pt>
                <c:pt idx="89">
                  <c:v>21706.087741334213</c:v>
                </c:pt>
                <c:pt idx="90">
                  <c:v>19657.357741334214</c:v>
                </c:pt>
                <c:pt idx="91">
                  <c:v>17599.557741334214</c:v>
                </c:pt>
                <c:pt idx="92">
                  <c:v>15532.657741334213</c:v>
                </c:pt>
                <c:pt idx="93">
                  <c:v>13456.607741334214</c:v>
                </c:pt>
                <c:pt idx="94">
                  <c:v>11371.377741334214</c:v>
                </c:pt>
                <c:pt idx="95">
                  <c:v>9276.917741334215</c:v>
                </c:pt>
                <c:pt idx="96">
                  <c:v>7173.1877413342154</c:v>
                </c:pt>
                <c:pt idx="97">
                  <c:v>5060.1477413342154</c:v>
                </c:pt>
                <c:pt idx="98">
                  <c:v>2937.7577413342151</c:v>
                </c:pt>
                <c:pt idx="99">
                  <c:v>805.97774133421535</c:v>
                </c:pt>
                <c:pt idx="100">
                  <c:v>-2.2586657845522495E-3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7"/>
          <c:order val="7"/>
          <c:tx>
            <c:strRef>
              <c:f>Data!$AI$13</c:f>
              <c:strCache>
                <c:ptCount val="1"/>
                <c:pt idx="0">
                  <c:v>Navient Loan 2 (6.00%)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Data!$AI$14:$AI$315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18000</c:v>
                </c:pt>
                <c:pt idx="11">
                  <c:v>16322.865</c:v>
                </c:pt>
                <c:pt idx="12">
                  <c:v>16921.5</c:v>
                </c:pt>
                <c:pt idx="13">
                  <c:v>16921.5</c:v>
                </c:pt>
                <c:pt idx="14">
                  <c:v>16921.5</c:v>
                </c:pt>
                <c:pt idx="15">
                  <c:v>16921.5</c:v>
                </c:pt>
                <c:pt idx="16">
                  <c:v>15843</c:v>
                </c:pt>
                <c:pt idx="17">
                  <c:v>14645.73</c:v>
                </c:pt>
                <c:pt idx="18">
                  <c:v>14718.958649999999</c:v>
                </c:pt>
                <c:pt idx="19">
                  <c:v>14792.553443249999</c:v>
                </c:pt>
                <c:pt idx="20">
                  <c:v>14866.516210466249</c:v>
                </c:pt>
                <c:pt idx="21">
                  <c:v>14940.84879151858</c:v>
                </c:pt>
                <c:pt idx="22">
                  <c:v>15015.553035476172</c:v>
                </c:pt>
                <c:pt idx="23">
                  <c:v>15090.630800653553</c:v>
                </c:pt>
                <c:pt idx="24">
                  <c:v>15166.08395465682</c:v>
                </c:pt>
                <c:pt idx="25">
                  <c:v>15241.914374430104</c:v>
                </c:pt>
                <c:pt idx="26">
                  <c:v>15318.123946302254</c:v>
                </c:pt>
                <c:pt idx="27">
                  <c:v>15394.714566033765</c:v>
                </c:pt>
                <c:pt idx="28">
                  <c:v>15471.688138863934</c:v>
                </c:pt>
                <c:pt idx="29">
                  <c:v>15549.046579558253</c:v>
                </c:pt>
                <c:pt idx="30">
                  <c:v>15626.791812456044</c:v>
                </c:pt>
                <c:pt idx="31">
                  <c:v>15704.925771518325</c:v>
                </c:pt>
                <c:pt idx="32">
                  <c:v>15783.450400375916</c:v>
                </c:pt>
                <c:pt idx="33">
                  <c:v>15862.367652377796</c:v>
                </c:pt>
                <c:pt idx="34">
                  <c:v>15941.679490639684</c:v>
                </c:pt>
                <c:pt idx="35">
                  <c:v>16021.387888092882</c:v>
                </c:pt>
                <c:pt idx="36">
                  <c:v>16101.494827533346</c:v>
                </c:pt>
                <c:pt idx="37">
                  <c:v>16182.002301671013</c:v>
                </c:pt>
                <c:pt idx="38">
                  <c:v>16262.912313179368</c:v>
                </c:pt>
                <c:pt idx="39">
                  <c:v>16344.226874745265</c:v>
                </c:pt>
                <c:pt idx="40">
                  <c:v>16425.948009118991</c:v>
                </c:pt>
                <c:pt idx="41">
                  <c:v>16508.077749164586</c:v>
                </c:pt>
                <c:pt idx="42">
                  <c:v>16590.618137910409</c:v>
                </c:pt>
                <c:pt idx="43">
                  <c:v>16673.571228599962</c:v>
                </c:pt>
                <c:pt idx="44">
                  <c:v>16756.93908474296</c:v>
                </c:pt>
                <c:pt idx="45">
                  <c:v>16654.679084742962</c:v>
                </c:pt>
                <c:pt idx="46">
                  <c:v>16551.909084742962</c:v>
                </c:pt>
                <c:pt idx="47">
                  <c:v>16448.629084742963</c:v>
                </c:pt>
                <c:pt idx="48">
                  <c:v>16344.829084742963</c:v>
                </c:pt>
                <c:pt idx="49">
                  <c:v>16240.509084742964</c:v>
                </c:pt>
                <c:pt idx="50">
                  <c:v>16135.669084742964</c:v>
                </c:pt>
                <c:pt idx="51">
                  <c:v>16030.309084742963</c:v>
                </c:pt>
                <c:pt idx="52">
                  <c:v>15924.419084742964</c:v>
                </c:pt>
                <c:pt idx="53">
                  <c:v>15817.999084742964</c:v>
                </c:pt>
                <c:pt idx="54">
                  <c:v>15711.049084742963</c:v>
                </c:pt>
                <c:pt idx="55">
                  <c:v>15603.569084742963</c:v>
                </c:pt>
                <c:pt idx="56">
                  <c:v>15495.549084742963</c:v>
                </c:pt>
                <c:pt idx="57">
                  <c:v>15386.989084742963</c:v>
                </c:pt>
                <c:pt idx="58">
                  <c:v>15277.879084742963</c:v>
                </c:pt>
                <c:pt idx="59">
                  <c:v>15168.229084742963</c:v>
                </c:pt>
                <c:pt idx="60">
                  <c:v>15058.029084742962</c:v>
                </c:pt>
                <c:pt idx="61">
                  <c:v>14947.279084742962</c:v>
                </c:pt>
                <c:pt idx="62">
                  <c:v>14835.979084742963</c:v>
                </c:pt>
                <c:pt idx="63">
                  <c:v>14724.119084742963</c:v>
                </c:pt>
                <c:pt idx="64">
                  <c:v>14611.699084742962</c:v>
                </c:pt>
                <c:pt idx="65">
                  <c:v>14498.719084742963</c:v>
                </c:pt>
                <c:pt idx="66">
                  <c:v>14385.169084742964</c:v>
                </c:pt>
                <c:pt idx="67">
                  <c:v>14271.059084742963</c:v>
                </c:pt>
                <c:pt idx="68">
                  <c:v>14156.379084742963</c:v>
                </c:pt>
                <c:pt idx="69">
                  <c:v>14041.119084742963</c:v>
                </c:pt>
                <c:pt idx="70">
                  <c:v>13925.289084742963</c:v>
                </c:pt>
                <c:pt idx="71">
                  <c:v>13808.879084742963</c:v>
                </c:pt>
                <c:pt idx="72">
                  <c:v>13691.879084742963</c:v>
                </c:pt>
                <c:pt idx="73">
                  <c:v>12474.299084742963</c:v>
                </c:pt>
                <c:pt idx="74">
                  <c:v>10950.629084742963</c:v>
                </c:pt>
                <c:pt idx="75">
                  <c:v>9419.3390847429619</c:v>
                </c:pt>
                <c:pt idx="76">
                  <c:v>7880.3990847429613</c:v>
                </c:pt>
                <c:pt idx="77">
                  <c:v>6333.759084742961</c:v>
                </c:pt>
                <c:pt idx="78">
                  <c:v>4779.3890847429611</c:v>
                </c:pt>
                <c:pt idx="79">
                  <c:v>3217.2490847429608</c:v>
                </c:pt>
                <c:pt idx="80">
                  <c:v>1647.299084742961</c:v>
                </c:pt>
                <c:pt idx="81">
                  <c:v>69.499084742961031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8"/>
          <c:order val="8"/>
          <c:tx>
            <c:strRef>
              <c:f>Data!$AJ$13</c:f>
              <c:strCache>
                <c:ptCount val="1"/>
                <c:pt idx="0">
                  <c:v>Navient Loan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Data!$AJ$14:$AJ$315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16000</c:v>
                </c:pt>
                <c:pt idx="23">
                  <c:v>16086.666666666666</c:v>
                </c:pt>
                <c:pt idx="24">
                  <c:v>16173.802777777777</c:v>
                </c:pt>
                <c:pt idx="25">
                  <c:v>16261.410876157406</c:v>
                </c:pt>
                <c:pt idx="26">
                  <c:v>16349.493518403258</c:v>
                </c:pt>
                <c:pt idx="27">
                  <c:v>16438.053274961276</c:v>
                </c:pt>
                <c:pt idx="28">
                  <c:v>16527.092730200649</c:v>
                </c:pt>
                <c:pt idx="29">
                  <c:v>16616.614482489236</c:v>
                </c:pt>
                <c:pt idx="30">
                  <c:v>16706.621144269386</c:v>
                </c:pt>
                <c:pt idx="31">
                  <c:v>16797.115342134177</c:v>
                </c:pt>
                <c:pt idx="32">
                  <c:v>16888.099716904071</c:v>
                </c:pt>
                <c:pt idx="33">
                  <c:v>16979.576923703968</c:v>
                </c:pt>
                <c:pt idx="34">
                  <c:v>17071.549632040696</c:v>
                </c:pt>
                <c:pt idx="35">
                  <c:v>17164.020525880918</c:v>
                </c:pt>
                <c:pt idx="36">
                  <c:v>17256.992303729439</c:v>
                </c:pt>
                <c:pt idx="37">
                  <c:v>17350.467678707973</c:v>
                </c:pt>
                <c:pt idx="38">
                  <c:v>17444.449378634308</c:v>
                </c:pt>
                <c:pt idx="39">
                  <c:v>17538.940146101912</c:v>
                </c:pt>
                <c:pt idx="40">
                  <c:v>17633.942738559963</c:v>
                </c:pt>
                <c:pt idx="41">
                  <c:v>17729.45992839383</c:v>
                </c:pt>
                <c:pt idx="42">
                  <c:v>17825.494503005964</c:v>
                </c:pt>
                <c:pt idx="43">
                  <c:v>17922.049264897247</c:v>
                </c:pt>
                <c:pt idx="44">
                  <c:v>18019.127031748772</c:v>
                </c:pt>
                <c:pt idx="45">
                  <c:v>17912.127031748772</c:v>
                </c:pt>
                <c:pt idx="46">
                  <c:v>17804.547031748771</c:v>
                </c:pt>
                <c:pt idx="47">
                  <c:v>17696.387031748771</c:v>
                </c:pt>
                <c:pt idx="48">
                  <c:v>17587.647031748769</c:v>
                </c:pt>
                <c:pt idx="49">
                  <c:v>17478.317031748767</c:v>
                </c:pt>
                <c:pt idx="50">
                  <c:v>17368.387031748767</c:v>
                </c:pt>
                <c:pt idx="51">
                  <c:v>17257.867031748767</c:v>
                </c:pt>
                <c:pt idx="52">
                  <c:v>17146.747031748768</c:v>
                </c:pt>
                <c:pt idx="53">
                  <c:v>17035.027031748767</c:v>
                </c:pt>
                <c:pt idx="54">
                  <c:v>16922.697031748765</c:v>
                </c:pt>
                <c:pt idx="55">
                  <c:v>16809.757031748766</c:v>
                </c:pt>
                <c:pt idx="56">
                  <c:v>16696.207031748767</c:v>
                </c:pt>
                <c:pt idx="57">
                  <c:v>16582.047031748767</c:v>
                </c:pt>
                <c:pt idx="58">
                  <c:v>16467.267031748768</c:v>
                </c:pt>
                <c:pt idx="59">
                  <c:v>16351.867031748769</c:v>
                </c:pt>
                <c:pt idx="60">
                  <c:v>16235.837031748768</c:v>
                </c:pt>
                <c:pt idx="61">
                  <c:v>15419.177031748768</c:v>
                </c:pt>
                <c:pt idx="62">
                  <c:v>14098.097031748768</c:v>
                </c:pt>
                <c:pt idx="63">
                  <c:v>12769.857031748768</c:v>
                </c:pt>
                <c:pt idx="64">
                  <c:v>11434.427031748768</c:v>
                </c:pt>
                <c:pt idx="65">
                  <c:v>10091.767031748768</c:v>
                </c:pt>
                <c:pt idx="66">
                  <c:v>8741.8270317487677</c:v>
                </c:pt>
                <c:pt idx="67">
                  <c:v>7384.5770317487677</c:v>
                </c:pt>
                <c:pt idx="68">
                  <c:v>6019.9770317487673</c:v>
                </c:pt>
                <c:pt idx="69">
                  <c:v>4647.9870317487675</c:v>
                </c:pt>
                <c:pt idx="70">
                  <c:v>3268.5670317487675</c:v>
                </c:pt>
                <c:pt idx="71">
                  <c:v>1881.6670317487674</c:v>
                </c:pt>
                <c:pt idx="72">
                  <c:v>487.2570317487673</c:v>
                </c:pt>
                <c:pt idx="73">
                  <c:v>203.49703174876726</c:v>
                </c:pt>
                <c:pt idx="74">
                  <c:v>-2.9682512327440236E-3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9"/>
          <c:order val="9"/>
          <c:tx>
            <c:strRef>
              <c:f>Data!$AK$13</c:f>
              <c:strCache>
                <c:ptCount val="1"/>
                <c:pt idx="0">
                  <c:v>Navient Loan 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Data!$AK$14:$AK$315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18000</c:v>
                </c:pt>
                <c:pt idx="35">
                  <c:v>18105</c:v>
                </c:pt>
                <c:pt idx="36">
                  <c:v>18210.612499999999</c:v>
                </c:pt>
                <c:pt idx="37">
                  <c:v>18316.841072916664</c:v>
                </c:pt>
                <c:pt idx="38">
                  <c:v>18423.689312508679</c:v>
                </c:pt>
                <c:pt idx="39">
                  <c:v>18531.160833498314</c:v>
                </c:pt>
                <c:pt idx="40">
                  <c:v>18639.259271693722</c:v>
                </c:pt>
                <c:pt idx="41">
                  <c:v>18747.988284111936</c:v>
                </c:pt>
                <c:pt idx="42">
                  <c:v>18857.35154910259</c:v>
                </c:pt>
                <c:pt idx="43">
                  <c:v>18967.352766472355</c:v>
                </c:pt>
                <c:pt idx="44">
                  <c:v>19077.99565761011</c:v>
                </c:pt>
                <c:pt idx="45">
                  <c:v>17967.775657610109</c:v>
                </c:pt>
                <c:pt idx="46">
                  <c:v>16851.075657610108</c:v>
                </c:pt>
                <c:pt idx="47">
                  <c:v>15727.865657610109</c:v>
                </c:pt>
                <c:pt idx="48">
                  <c:v>14598.105657610109</c:v>
                </c:pt>
                <c:pt idx="49">
                  <c:v>13461.755657610109</c:v>
                </c:pt>
                <c:pt idx="50">
                  <c:v>12318.775657610109</c:v>
                </c:pt>
                <c:pt idx="51">
                  <c:v>11169.12565761011</c:v>
                </c:pt>
                <c:pt idx="52">
                  <c:v>10012.765657610109</c:v>
                </c:pt>
                <c:pt idx="53">
                  <c:v>8849.6656576101086</c:v>
                </c:pt>
                <c:pt idx="54">
                  <c:v>7679.7756576101092</c:v>
                </c:pt>
                <c:pt idx="55">
                  <c:v>6503.0656576101092</c:v>
                </c:pt>
                <c:pt idx="56">
                  <c:v>5319.4856576101092</c:v>
                </c:pt>
                <c:pt idx="57">
                  <c:v>4129.0056576101097</c:v>
                </c:pt>
                <c:pt idx="58">
                  <c:v>2931.5856576101096</c:v>
                </c:pt>
                <c:pt idx="59">
                  <c:v>1727.1756576101097</c:v>
                </c:pt>
                <c:pt idx="60">
                  <c:v>515.74565761010967</c:v>
                </c:pt>
                <c:pt idx="61">
                  <c:v>-4.3423898903256486E-3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Data!$AL$13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C878C8"/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Data!$AL$14:$AL$315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150000</c:v>
                </c:pt>
                <c:pt idx="40">
                  <c:v>149788.84</c:v>
                </c:pt>
                <c:pt idx="41">
                  <c:v>149576.94999999998</c:v>
                </c:pt>
                <c:pt idx="42">
                  <c:v>149364.32999999999</c:v>
                </c:pt>
                <c:pt idx="43">
                  <c:v>149150.97999999998</c:v>
                </c:pt>
                <c:pt idx="44">
                  <c:v>148936.9</c:v>
                </c:pt>
                <c:pt idx="45">
                  <c:v>148722.07999999999</c:v>
                </c:pt>
                <c:pt idx="46">
                  <c:v>148506.51999999999</c:v>
                </c:pt>
                <c:pt idx="47">
                  <c:v>148290.22</c:v>
                </c:pt>
                <c:pt idx="48">
                  <c:v>148073.18</c:v>
                </c:pt>
                <c:pt idx="49">
                  <c:v>147855.38999999998</c:v>
                </c:pt>
                <c:pt idx="50">
                  <c:v>147636.84999999998</c:v>
                </c:pt>
                <c:pt idx="51">
                  <c:v>147417.55999999997</c:v>
                </c:pt>
                <c:pt idx="52">
                  <c:v>147197.50999999998</c:v>
                </c:pt>
                <c:pt idx="53">
                  <c:v>146976.69999999998</c:v>
                </c:pt>
                <c:pt idx="54">
                  <c:v>146755.12999999998</c:v>
                </c:pt>
                <c:pt idx="55">
                  <c:v>146532.79999999999</c:v>
                </c:pt>
                <c:pt idx="56">
                  <c:v>146309.71</c:v>
                </c:pt>
                <c:pt idx="57">
                  <c:v>146085.85</c:v>
                </c:pt>
                <c:pt idx="58">
                  <c:v>145861.22</c:v>
                </c:pt>
                <c:pt idx="59">
                  <c:v>145635.82</c:v>
                </c:pt>
                <c:pt idx="60">
                  <c:v>145409.64000000001</c:v>
                </c:pt>
                <c:pt idx="61">
                  <c:v>145182.68000000002</c:v>
                </c:pt>
                <c:pt idx="62">
                  <c:v>144954.94000000003</c:v>
                </c:pt>
                <c:pt idx="63">
                  <c:v>144726.42000000004</c:v>
                </c:pt>
                <c:pt idx="64">
                  <c:v>144497.11000000004</c:v>
                </c:pt>
                <c:pt idx="65">
                  <c:v>144267.01000000004</c:v>
                </c:pt>
                <c:pt idx="66">
                  <c:v>144036.12000000002</c:v>
                </c:pt>
                <c:pt idx="67">
                  <c:v>143804.43000000002</c:v>
                </c:pt>
                <c:pt idx="68">
                  <c:v>143571.95000000001</c:v>
                </c:pt>
                <c:pt idx="69">
                  <c:v>143338.67000000001</c:v>
                </c:pt>
                <c:pt idx="70">
                  <c:v>143104.58000000002</c:v>
                </c:pt>
                <c:pt idx="71">
                  <c:v>142869.69</c:v>
                </c:pt>
                <c:pt idx="72">
                  <c:v>142633.99</c:v>
                </c:pt>
                <c:pt idx="73">
                  <c:v>142397.47999999998</c:v>
                </c:pt>
                <c:pt idx="74">
                  <c:v>142160.15</c:v>
                </c:pt>
                <c:pt idx="75">
                  <c:v>141922.00999999998</c:v>
                </c:pt>
                <c:pt idx="76">
                  <c:v>141683.04999999999</c:v>
                </c:pt>
                <c:pt idx="77">
                  <c:v>141443.26999999999</c:v>
                </c:pt>
                <c:pt idx="78">
                  <c:v>141202.66</c:v>
                </c:pt>
                <c:pt idx="79">
                  <c:v>140961.22</c:v>
                </c:pt>
                <c:pt idx="80">
                  <c:v>140718.95000000001</c:v>
                </c:pt>
                <c:pt idx="81">
                  <c:v>140475.85</c:v>
                </c:pt>
                <c:pt idx="82">
                  <c:v>140231.91</c:v>
                </c:pt>
                <c:pt idx="83">
                  <c:v>139987.13</c:v>
                </c:pt>
                <c:pt idx="84">
                  <c:v>139741.51</c:v>
                </c:pt>
                <c:pt idx="85">
                  <c:v>139495.04000000001</c:v>
                </c:pt>
                <c:pt idx="86">
                  <c:v>139247.73000000001</c:v>
                </c:pt>
                <c:pt idx="87">
                  <c:v>138999.56</c:v>
                </c:pt>
                <c:pt idx="88">
                  <c:v>138750.54</c:v>
                </c:pt>
                <c:pt idx="89">
                  <c:v>138500.66</c:v>
                </c:pt>
                <c:pt idx="90">
                  <c:v>138249.92000000001</c:v>
                </c:pt>
                <c:pt idx="91">
                  <c:v>137998.32</c:v>
                </c:pt>
                <c:pt idx="92">
                  <c:v>137745.85</c:v>
                </c:pt>
                <c:pt idx="93">
                  <c:v>137492.52000000002</c:v>
                </c:pt>
                <c:pt idx="94">
                  <c:v>137238.31000000003</c:v>
                </c:pt>
                <c:pt idx="95">
                  <c:v>136983.23000000004</c:v>
                </c:pt>
                <c:pt idx="96">
                  <c:v>136727.27000000005</c:v>
                </c:pt>
                <c:pt idx="97">
                  <c:v>136470.43000000005</c:v>
                </c:pt>
                <c:pt idx="98">
                  <c:v>136212.71000000005</c:v>
                </c:pt>
                <c:pt idx="99">
                  <c:v>135954.10000000006</c:v>
                </c:pt>
                <c:pt idx="100">
                  <c:v>135694.60000000006</c:v>
                </c:pt>
                <c:pt idx="101">
                  <c:v>135434.21000000005</c:v>
                </c:pt>
                <c:pt idx="102">
                  <c:v>134445.51000000004</c:v>
                </c:pt>
                <c:pt idx="103">
                  <c:v>133453.41000000003</c:v>
                </c:pt>
                <c:pt idx="104">
                  <c:v>132457.89000000004</c:v>
                </c:pt>
                <c:pt idx="105">
                  <c:v>131458.95000000004</c:v>
                </c:pt>
                <c:pt idx="106">
                  <c:v>130456.57000000004</c:v>
                </c:pt>
                <c:pt idx="107">
                  <c:v>129450.74000000003</c:v>
                </c:pt>
                <c:pt idx="108">
                  <c:v>128441.45000000003</c:v>
                </c:pt>
                <c:pt idx="109">
                  <c:v>127428.68000000002</c:v>
                </c:pt>
                <c:pt idx="110">
                  <c:v>126412.43000000002</c:v>
                </c:pt>
                <c:pt idx="111">
                  <c:v>125392.68000000002</c:v>
                </c:pt>
                <c:pt idx="112">
                  <c:v>124369.42000000001</c:v>
                </c:pt>
                <c:pt idx="113">
                  <c:v>123342.64000000001</c:v>
                </c:pt>
                <c:pt idx="114">
                  <c:v>122312.32000000001</c:v>
                </c:pt>
                <c:pt idx="115">
                  <c:v>121278.46</c:v>
                </c:pt>
                <c:pt idx="116">
                  <c:v>120241.04000000001</c:v>
                </c:pt>
                <c:pt idx="117">
                  <c:v>119200.05</c:v>
                </c:pt>
                <c:pt idx="118">
                  <c:v>118155.48</c:v>
                </c:pt>
                <c:pt idx="119">
                  <c:v>117107.31</c:v>
                </c:pt>
                <c:pt idx="120">
                  <c:v>116055.53</c:v>
                </c:pt>
                <c:pt idx="121">
                  <c:v>115000.12999999999</c:v>
                </c:pt>
                <c:pt idx="122">
                  <c:v>113941.09999999999</c:v>
                </c:pt>
                <c:pt idx="123">
                  <c:v>112878.43</c:v>
                </c:pt>
                <c:pt idx="124">
                  <c:v>111812.09999999999</c:v>
                </c:pt>
                <c:pt idx="125">
                  <c:v>110742.09999999999</c:v>
                </c:pt>
                <c:pt idx="126">
                  <c:v>109668.41999999998</c:v>
                </c:pt>
                <c:pt idx="127">
                  <c:v>108591.03999999998</c:v>
                </c:pt>
                <c:pt idx="128">
                  <c:v>107509.94999999998</c:v>
                </c:pt>
                <c:pt idx="129">
                  <c:v>106425.13999999998</c:v>
                </c:pt>
                <c:pt idx="130">
                  <c:v>105336.59999999998</c:v>
                </c:pt>
                <c:pt idx="131">
                  <c:v>104244.30999999997</c:v>
                </c:pt>
                <c:pt idx="132">
                  <c:v>103148.25999999997</c:v>
                </c:pt>
                <c:pt idx="133">
                  <c:v>102048.43999999996</c:v>
                </c:pt>
                <c:pt idx="134">
                  <c:v>100944.83999999995</c:v>
                </c:pt>
                <c:pt idx="135">
                  <c:v>99837.439999999944</c:v>
                </c:pt>
                <c:pt idx="136">
                  <c:v>98726.229999999938</c:v>
                </c:pt>
                <c:pt idx="137">
                  <c:v>97611.18999999993</c:v>
                </c:pt>
                <c:pt idx="138">
                  <c:v>96492.31999999992</c:v>
                </c:pt>
                <c:pt idx="139">
                  <c:v>95369.589999999909</c:v>
                </c:pt>
                <c:pt idx="140">
                  <c:v>94242.999999999913</c:v>
                </c:pt>
                <c:pt idx="141">
                  <c:v>93112.529999999912</c:v>
                </c:pt>
                <c:pt idx="142">
                  <c:v>91978.169999999911</c:v>
                </c:pt>
                <c:pt idx="143">
                  <c:v>90839.909999999902</c:v>
                </c:pt>
                <c:pt idx="144">
                  <c:v>89697.729999999894</c:v>
                </c:pt>
                <c:pt idx="145">
                  <c:v>88551.619999999893</c:v>
                </c:pt>
                <c:pt idx="146">
                  <c:v>87401.569999999891</c:v>
                </c:pt>
                <c:pt idx="147">
                  <c:v>86247.559999999881</c:v>
                </c:pt>
                <c:pt idx="148">
                  <c:v>85089.579999999871</c:v>
                </c:pt>
                <c:pt idx="149">
                  <c:v>83927.60999999987</c:v>
                </c:pt>
                <c:pt idx="150">
                  <c:v>82761.639999999868</c:v>
                </c:pt>
                <c:pt idx="151">
                  <c:v>81591.659999999858</c:v>
                </c:pt>
                <c:pt idx="152">
                  <c:v>80417.649999999849</c:v>
                </c:pt>
                <c:pt idx="153">
                  <c:v>79239.599999999846</c:v>
                </c:pt>
                <c:pt idx="154">
                  <c:v>78057.49999999984</c:v>
                </c:pt>
                <c:pt idx="155">
                  <c:v>76871.329999999842</c:v>
                </c:pt>
                <c:pt idx="156">
                  <c:v>75681.079999999842</c:v>
                </c:pt>
                <c:pt idx="157">
                  <c:v>74486.729999999836</c:v>
                </c:pt>
                <c:pt idx="158">
                  <c:v>73288.269999999829</c:v>
                </c:pt>
                <c:pt idx="159">
                  <c:v>72085.679999999833</c:v>
                </c:pt>
                <c:pt idx="160">
                  <c:v>70878.949999999822</c:v>
                </c:pt>
                <c:pt idx="161">
                  <c:v>69668.069999999818</c:v>
                </c:pt>
                <c:pt idx="162">
                  <c:v>68453.019999999815</c:v>
                </c:pt>
                <c:pt idx="163">
                  <c:v>67233.789999999804</c:v>
                </c:pt>
                <c:pt idx="164">
                  <c:v>66010.369999999806</c:v>
                </c:pt>
                <c:pt idx="165">
                  <c:v>64782.739999999802</c:v>
                </c:pt>
                <c:pt idx="166">
                  <c:v>63550.879999999801</c:v>
                </c:pt>
                <c:pt idx="167">
                  <c:v>62314.779999999795</c:v>
                </c:pt>
                <c:pt idx="168">
                  <c:v>61074.429999999789</c:v>
                </c:pt>
                <c:pt idx="169">
                  <c:v>59829.809999999787</c:v>
                </c:pt>
                <c:pt idx="170">
                  <c:v>58580.899999999783</c:v>
                </c:pt>
                <c:pt idx="171">
                  <c:v>57327.699999999779</c:v>
                </c:pt>
                <c:pt idx="172">
                  <c:v>56070.179999999775</c:v>
                </c:pt>
                <c:pt idx="173">
                  <c:v>54808.329999999769</c:v>
                </c:pt>
                <c:pt idx="174">
                  <c:v>53542.139999999767</c:v>
                </c:pt>
                <c:pt idx="175">
                  <c:v>52271.589999999764</c:v>
                </c:pt>
                <c:pt idx="176">
                  <c:v>50996.669999999758</c:v>
                </c:pt>
                <c:pt idx="177">
                  <c:v>49717.359999999753</c:v>
                </c:pt>
                <c:pt idx="178">
                  <c:v>48433.649999999747</c:v>
                </c:pt>
                <c:pt idx="179">
                  <c:v>47145.519999999742</c:v>
                </c:pt>
                <c:pt idx="180">
                  <c:v>45852.959999999737</c:v>
                </c:pt>
                <c:pt idx="181">
                  <c:v>44555.949999999735</c:v>
                </c:pt>
                <c:pt idx="182">
                  <c:v>43254.479999999734</c:v>
                </c:pt>
                <c:pt idx="183">
                  <c:v>41948.52999999973</c:v>
                </c:pt>
                <c:pt idx="184">
                  <c:v>40638.079999999725</c:v>
                </c:pt>
                <c:pt idx="185">
                  <c:v>39323.119999999719</c:v>
                </c:pt>
                <c:pt idx="186">
                  <c:v>38003.639999999716</c:v>
                </c:pt>
                <c:pt idx="187">
                  <c:v>36679.619999999712</c:v>
                </c:pt>
                <c:pt idx="188">
                  <c:v>35351.03999999971</c:v>
                </c:pt>
                <c:pt idx="189">
                  <c:v>34017.889999999708</c:v>
                </c:pt>
                <c:pt idx="190">
                  <c:v>32680.149999999707</c:v>
                </c:pt>
                <c:pt idx="191">
                  <c:v>31337.799999999708</c:v>
                </c:pt>
                <c:pt idx="192">
                  <c:v>29990.829999999707</c:v>
                </c:pt>
                <c:pt idx="193">
                  <c:v>28639.229999999709</c:v>
                </c:pt>
                <c:pt idx="194">
                  <c:v>27282.979999999709</c:v>
                </c:pt>
                <c:pt idx="195">
                  <c:v>25922.05999999971</c:v>
                </c:pt>
                <c:pt idx="196">
                  <c:v>24556.459999999712</c:v>
                </c:pt>
                <c:pt idx="197">
                  <c:v>23186.159999999712</c:v>
                </c:pt>
                <c:pt idx="198">
                  <c:v>21811.139999999712</c:v>
                </c:pt>
                <c:pt idx="199">
                  <c:v>20431.389999999712</c:v>
                </c:pt>
                <c:pt idx="200">
                  <c:v>19046.889999999712</c:v>
                </c:pt>
                <c:pt idx="201">
                  <c:v>17657.619999999712</c:v>
                </c:pt>
                <c:pt idx="202">
                  <c:v>16263.569999999712</c:v>
                </c:pt>
                <c:pt idx="203">
                  <c:v>14864.719999999712</c:v>
                </c:pt>
                <c:pt idx="204">
                  <c:v>13461.059999999712</c:v>
                </c:pt>
                <c:pt idx="205">
                  <c:v>12052.569999999712</c:v>
                </c:pt>
                <c:pt idx="206">
                  <c:v>10639.229999999712</c:v>
                </c:pt>
                <c:pt idx="207">
                  <c:v>9221.0299999997114</c:v>
                </c:pt>
                <c:pt idx="208">
                  <c:v>7797.9499999997115</c:v>
                </c:pt>
                <c:pt idx="209">
                  <c:v>6369.9699999997119</c:v>
                </c:pt>
                <c:pt idx="210">
                  <c:v>4937.0699999997123</c:v>
                </c:pt>
                <c:pt idx="211">
                  <c:v>3499.2399999997124</c:v>
                </c:pt>
                <c:pt idx="212">
                  <c:v>2056.8699999997125</c:v>
                </c:pt>
                <c:pt idx="213">
                  <c:v>609.53999999971256</c:v>
                </c:pt>
                <c:pt idx="214">
                  <c:v>-115.77000000028738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45416"/>
        <c:axId val="476245808"/>
      </c:areaChart>
      <c:dateAx>
        <c:axId val="476245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5808"/>
        <c:crosses val="autoZero"/>
        <c:auto val="1"/>
        <c:lblOffset val="100"/>
        <c:baseTimeUnit val="months"/>
      </c:dateAx>
      <c:valAx>
        <c:axId val="4762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541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Worth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Data!$AN$12</c:f>
              <c:strCache>
                <c:ptCount val="1"/>
                <c:pt idx="0">
                  <c:v>Net Worth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Data!$AN$14:$AN$316</c:f>
              <c:numCache>
                <c:formatCode>#,##0.00_);[Red]\(#,##0.00\)</c:formatCode>
                <c:ptCount val="303"/>
                <c:pt idx="0">
                  <c:v>58406.990000000005</c:v>
                </c:pt>
                <c:pt idx="1">
                  <c:v>54154.873333333322</c:v>
                </c:pt>
                <c:pt idx="2">
                  <c:v>49480.416666666657</c:v>
                </c:pt>
                <c:pt idx="3">
                  <c:v>25277.029999999984</c:v>
                </c:pt>
                <c:pt idx="4">
                  <c:v>30065.511666666673</c:v>
                </c:pt>
                <c:pt idx="5">
                  <c:v>35331.253333333341</c:v>
                </c:pt>
                <c:pt idx="6">
                  <c:v>32750.530000000006</c:v>
                </c:pt>
                <c:pt idx="7">
                  <c:v>34920.216666666667</c:v>
                </c:pt>
                <c:pt idx="8">
                  <c:v>39757.28333333334</c:v>
                </c:pt>
                <c:pt idx="9">
                  <c:v>39419.590000000018</c:v>
                </c:pt>
                <c:pt idx="10">
                  <c:v>25013.863333333327</c:v>
                </c:pt>
                <c:pt idx="11">
                  <c:v>29152.771666666653</c:v>
                </c:pt>
                <c:pt idx="12">
                  <c:v>29233.630000000005</c:v>
                </c:pt>
                <c:pt idx="13">
                  <c:v>28833.673333333325</c:v>
                </c:pt>
                <c:pt idx="14">
                  <c:v>34004.126666666678</c:v>
                </c:pt>
                <c:pt idx="15">
                  <c:v>36755.700000000012</c:v>
                </c:pt>
                <c:pt idx="16">
                  <c:v>47259.951766666651</c:v>
                </c:pt>
                <c:pt idx="17">
                  <c:v>51689.279366666669</c:v>
                </c:pt>
                <c:pt idx="18">
                  <c:v>49550.666480694425</c:v>
                </c:pt>
                <c:pt idx="19">
                  <c:v>51210.187515752979</c:v>
                </c:pt>
                <c:pt idx="20">
                  <c:v>52880.809359070612</c:v>
                </c:pt>
                <c:pt idx="21">
                  <c:v>54564.123691051718</c:v>
                </c:pt>
                <c:pt idx="22">
                  <c:v>40657.200882302946</c:v>
                </c:pt>
                <c:pt idx="23">
                  <c:v>42668.82889050564</c:v>
                </c:pt>
                <c:pt idx="24">
                  <c:v>44709.259589836249</c:v>
                </c:pt>
                <c:pt idx="25">
                  <c:v>46760.027194807786</c:v>
                </c:pt>
                <c:pt idx="26">
                  <c:v>48814.270659818576</c:v>
                </c:pt>
                <c:pt idx="27">
                  <c:v>50880.968214561508</c:v>
                </c:pt>
                <c:pt idx="28">
                  <c:v>52970.322277239786</c:v>
                </c:pt>
                <c:pt idx="29">
                  <c:v>55060.032277073042</c:v>
                </c:pt>
                <c:pt idx="30">
                  <c:v>57162.144725755512</c:v>
                </c:pt>
                <c:pt idx="31">
                  <c:v>59276.067837547249</c:v>
                </c:pt>
                <c:pt idx="32">
                  <c:v>61401.851247284707</c:v>
                </c:pt>
                <c:pt idx="33">
                  <c:v>63539.41740778173</c:v>
                </c:pt>
                <c:pt idx="34">
                  <c:v>47688.548906820943</c:v>
                </c:pt>
                <c:pt idx="35">
                  <c:v>49744.948027864753</c:v>
                </c:pt>
                <c:pt idx="36">
                  <c:v>51813.630960970942</c:v>
                </c:pt>
                <c:pt idx="37">
                  <c:v>53893.270882982179</c:v>
                </c:pt>
                <c:pt idx="38">
                  <c:v>55983.969507003421</c:v>
                </c:pt>
                <c:pt idx="39">
                  <c:v>-97025.025957012695</c:v>
                </c:pt>
                <c:pt idx="40">
                  <c:v>-94678.721206627903</c:v>
                </c:pt>
                <c:pt idx="41">
                  <c:v>-92321.113952498767</c:v>
                </c:pt>
                <c:pt idx="42">
                  <c:v>-89951.282165235782</c:v>
                </c:pt>
                <c:pt idx="43">
                  <c:v>-87569.23012293785</c:v>
                </c:pt>
                <c:pt idx="44">
                  <c:v>-85174.912407941534</c:v>
                </c:pt>
                <c:pt idx="45">
                  <c:v>-86911.738479408319</c:v>
                </c:pt>
                <c:pt idx="46">
                  <c:v>-78759.146656041499</c:v>
                </c:pt>
                <c:pt idx="47">
                  <c:v>-70563.144019236817</c:v>
                </c:pt>
                <c:pt idx="48">
                  <c:v>-62323.533402380475</c:v>
                </c:pt>
                <c:pt idx="49">
                  <c:v>-54040.136190432881</c:v>
                </c:pt>
                <c:pt idx="50">
                  <c:v>-45712.693749420228</c:v>
                </c:pt>
                <c:pt idx="51">
                  <c:v>-37340.957350078068</c:v>
                </c:pt>
                <c:pt idx="52">
                  <c:v>-28924.676584111789</c:v>
                </c:pt>
                <c:pt idx="53">
                  <c:v>-20463.65585197098</c:v>
                </c:pt>
                <c:pt idx="54">
                  <c:v>-11957.583091471955</c:v>
                </c:pt>
                <c:pt idx="55">
                  <c:v>-3406.2423755129275</c:v>
                </c:pt>
                <c:pt idx="56">
                  <c:v>5190.607717956038</c:v>
                </c:pt>
                <c:pt idx="57">
                  <c:v>13833.210371252208</c:v>
                </c:pt>
                <c:pt idx="58">
                  <c:v>22521.8205896375</c:v>
                </c:pt>
                <c:pt idx="59">
                  <c:v>31256.664382682589</c:v>
                </c:pt>
                <c:pt idx="60">
                  <c:v>40038.00682894187</c:v>
                </c:pt>
                <c:pt idx="61">
                  <c:v>48863.346201587585</c:v>
                </c:pt>
                <c:pt idx="62">
                  <c:v>57716.593938394042</c:v>
                </c:pt>
                <c:pt idx="63">
                  <c:v>66616.463468827395</c:v>
                </c:pt>
                <c:pt idx="64">
                  <c:v>75563.204065668979</c:v>
                </c:pt>
                <c:pt idx="65">
                  <c:v>84557.052147389972</c:v>
                </c:pt>
                <c:pt idx="66">
                  <c:v>93598.276736961241</c:v>
                </c:pt>
                <c:pt idx="67">
                  <c:v>102687.12330720443</c:v>
                </c:pt>
                <c:pt idx="68">
                  <c:v>111823.81899640101</c:v>
                </c:pt>
                <c:pt idx="69">
                  <c:v>121008.64228936663</c:v>
                </c:pt>
                <c:pt idx="70">
                  <c:v>130241.85298317287</c:v>
                </c:pt>
                <c:pt idx="71">
                  <c:v>139523.70214479067</c:v>
                </c:pt>
                <c:pt idx="72">
                  <c:v>148854.45213342452</c:v>
                </c:pt>
                <c:pt idx="73">
                  <c:v>158216.14678598606</c:v>
                </c:pt>
                <c:pt idx="74">
                  <c:v>167844.91127422242</c:v>
                </c:pt>
                <c:pt idx="75">
                  <c:v>177319.23862232344</c:v>
                </c:pt>
                <c:pt idx="76">
                  <c:v>186842.89173481375</c:v>
                </c:pt>
                <c:pt idx="77">
                  <c:v>196416.12576267755</c:v>
                </c:pt>
                <c:pt idx="78">
                  <c:v>206039.21983889793</c:v>
                </c:pt>
                <c:pt idx="79">
                  <c:v>215712.42397785228</c:v>
                </c:pt>
                <c:pt idx="80">
                  <c:v>225435.99944481853</c:v>
                </c:pt>
                <c:pt idx="81">
                  <c:v>235210.19872164069</c:v>
                </c:pt>
                <c:pt idx="82">
                  <c:v>245119.12458085312</c:v>
                </c:pt>
                <c:pt idx="83">
                  <c:v>255008.87373806475</c:v>
                </c:pt>
                <c:pt idx="84">
                  <c:v>264949.2013545818</c:v>
                </c:pt>
                <c:pt idx="85">
                  <c:v>274940.38469025586</c:v>
                </c:pt>
                <c:pt idx="86">
                  <c:v>284982.66216390894</c:v>
                </c:pt>
                <c:pt idx="87">
                  <c:v>295076.3233388972</c:v>
                </c:pt>
                <c:pt idx="88">
                  <c:v>305221.6189503175</c:v>
                </c:pt>
                <c:pt idx="89">
                  <c:v>315418.82092157548</c:v>
                </c:pt>
                <c:pt idx="90">
                  <c:v>325668.20236769872</c:v>
                </c:pt>
                <c:pt idx="91">
                  <c:v>335970.02761038358</c:v>
                </c:pt>
                <c:pt idx="92">
                  <c:v>346324.57220532617</c:v>
                </c:pt>
                <c:pt idx="93">
                  <c:v>356732.09294103936</c:v>
                </c:pt>
                <c:pt idx="94">
                  <c:v>367192.88784043526</c:v>
                </c:pt>
                <c:pt idx="95">
                  <c:v>377707.21616342367</c:v>
                </c:pt>
                <c:pt idx="96">
                  <c:v>388275.36841045017</c:v>
                </c:pt>
                <c:pt idx="97">
                  <c:v>398897.61632681615</c:v>
                </c:pt>
                <c:pt idx="98">
                  <c:v>409574.23290804075</c:v>
                </c:pt>
                <c:pt idx="99">
                  <c:v>420305.51240769948</c:v>
                </c:pt>
                <c:pt idx="100">
                  <c:v>431056.50034711824</c:v>
                </c:pt>
                <c:pt idx="101">
                  <c:v>441054.29293161095</c:v>
                </c:pt>
                <c:pt idx="102">
                  <c:v>452559.99090171489</c:v>
                </c:pt>
                <c:pt idx="103">
                  <c:v>464124.04972000327</c:v>
                </c:pt>
                <c:pt idx="104">
                  <c:v>475746.78861417051</c:v>
                </c:pt>
                <c:pt idx="105">
                  <c:v>487428.48832512769</c:v>
                </c:pt>
                <c:pt idx="106">
                  <c:v>499169.47111433797</c:v>
                </c:pt>
                <c:pt idx="107">
                  <c:v>510970.04077154619</c:v>
                </c:pt>
                <c:pt idx="108">
                  <c:v>522830.50262284814</c:v>
                </c:pt>
                <c:pt idx="109">
                  <c:v>534751.18353904842</c:v>
                </c:pt>
                <c:pt idx="110">
                  <c:v>546732.37194426975</c:v>
                </c:pt>
                <c:pt idx="111">
                  <c:v>558774.39782473934</c:v>
                </c:pt>
                <c:pt idx="112">
                  <c:v>570877.57273757039</c:v>
                </c:pt>
                <c:pt idx="113">
                  <c:v>583042.20981937402</c:v>
                </c:pt>
                <c:pt idx="114">
                  <c:v>595268.64379481308</c:v>
                </c:pt>
                <c:pt idx="115">
                  <c:v>607557.17098515085</c:v>
                </c:pt>
                <c:pt idx="116">
                  <c:v>619908.12931676139</c:v>
                </c:pt>
                <c:pt idx="117">
                  <c:v>632321.83832964941</c:v>
                </c:pt>
                <c:pt idx="118">
                  <c:v>644798.61918611813</c:v>
                </c:pt>
                <c:pt idx="119">
                  <c:v>657338.81467954931</c:v>
                </c:pt>
                <c:pt idx="120">
                  <c:v>669942.74924327503</c:v>
                </c:pt>
                <c:pt idx="121">
                  <c:v>682610.74895951338</c:v>
                </c:pt>
                <c:pt idx="122">
                  <c:v>695343.14156835829</c:v>
                </c:pt>
                <c:pt idx="123">
                  <c:v>708140.25647680066</c:v>
                </c:pt>
                <c:pt idx="124">
                  <c:v>721002.44476777082</c:v>
                </c:pt>
                <c:pt idx="125">
                  <c:v>733930.03920920484</c:v>
                </c:pt>
                <c:pt idx="126">
                  <c:v>746923.37426315015</c:v>
                </c:pt>
                <c:pt idx="127">
                  <c:v>759982.80609491945</c:v>
                </c:pt>
                <c:pt idx="128">
                  <c:v>773108.67258229468</c:v>
                </c:pt>
                <c:pt idx="129">
                  <c:v>786301.31332479406</c:v>
                </c:pt>
                <c:pt idx="130">
                  <c:v>799561.0696530001</c:v>
                </c:pt>
                <c:pt idx="131">
                  <c:v>812888.30463794479</c:v>
                </c:pt>
                <c:pt idx="132">
                  <c:v>826283.36310054909</c:v>
                </c:pt>
                <c:pt idx="133">
                  <c:v>839746.59162110835</c:v>
                </c:pt>
                <c:pt idx="134">
                  <c:v>853278.33854882768</c:v>
                </c:pt>
                <c:pt idx="135">
                  <c:v>866878.97401140456</c:v>
                </c:pt>
                <c:pt idx="136">
                  <c:v>880548.8499246568</c:v>
                </c:pt>
                <c:pt idx="137">
                  <c:v>894288.34000220592</c:v>
                </c:pt>
                <c:pt idx="138">
                  <c:v>908097.77976521093</c:v>
                </c:pt>
                <c:pt idx="139">
                  <c:v>921977.56655215565</c:v>
                </c:pt>
                <c:pt idx="140">
                  <c:v>935928.03952869191</c:v>
                </c:pt>
                <c:pt idx="141">
                  <c:v>949949.57969753898</c:v>
                </c:pt>
                <c:pt idx="142">
                  <c:v>964042.54990843404</c:v>
                </c:pt>
                <c:pt idx="143">
                  <c:v>978207.31486814062</c:v>
                </c:pt>
                <c:pt idx="144">
                  <c:v>992444.26115050621</c:v>
                </c:pt>
                <c:pt idx="145">
                  <c:v>1006753.7572065793</c:v>
                </c:pt>
                <c:pt idx="146">
                  <c:v>1021136.1733747736</c:v>
                </c:pt>
                <c:pt idx="147">
                  <c:v>1035591.9018910927</c:v>
                </c:pt>
                <c:pt idx="148">
                  <c:v>1050121.3168994079</c:v>
                </c:pt>
                <c:pt idx="149">
                  <c:v>1064724.8144617898</c:v>
                </c:pt>
                <c:pt idx="150">
                  <c:v>1079402.7725689004</c:v>
                </c:pt>
                <c:pt idx="151">
                  <c:v>1094155.5711504389</c:v>
                </c:pt>
                <c:pt idx="152">
                  <c:v>1108983.6120856442</c:v>
                </c:pt>
                <c:pt idx="153">
                  <c:v>1123887.279213856</c:v>
                </c:pt>
                <c:pt idx="154">
                  <c:v>1138866.9583451324</c:v>
                </c:pt>
                <c:pt idx="155">
                  <c:v>1153923.0572709239</c:v>
                </c:pt>
                <c:pt idx="156">
                  <c:v>1169055.9657748058</c:v>
                </c:pt>
                <c:pt idx="157">
                  <c:v>1184266.0956432691</c:v>
                </c:pt>
                <c:pt idx="158">
                  <c:v>1199553.8406765703</c:v>
                </c:pt>
                <c:pt idx="159">
                  <c:v>1214919.6166996371</c:v>
                </c:pt>
                <c:pt idx="160">
                  <c:v>1230363.821573037</c:v>
                </c:pt>
                <c:pt idx="161">
                  <c:v>1245886.8552040015</c:v>
                </c:pt>
                <c:pt idx="162">
                  <c:v>1261489.1395575155</c:v>
                </c:pt>
                <c:pt idx="163">
                  <c:v>1277171.0786674593</c:v>
                </c:pt>
                <c:pt idx="164">
                  <c:v>1292933.0786478186</c:v>
                </c:pt>
                <c:pt idx="165">
                  <c:v>1308775.5677039498</c:v>
                </c:pt>
                <c:pt idx="166">
                  <c:v>1324698.9761439078</c:v>
                </c:pt>
                <c:pt idx="167">
                  <c:v>1340703.7163898374</c:v>
                </c:pt>
                <c:pt idx="168">
                  <c:v>1356790.2029894232</c:v>
                </c:pt>
                <c:pt idx="169">
                  <c:v>1372958.8726274024</c:v>
                </c:pt>
                <c:pt idx="170">
                  <c:v>1389210.1641371418</c:v>
                </c:pt>
                <c:pt idx="171">
                  <c:v>1405544.4785122743</c:v>
                </c:pt>
                <c:pt idx="172">
                  <c:v>1421962.2789184023</c:v>
                </c:pt>
                <c:pt idx="173">
                  <c:v>1438463.9907048612</c:v>
                </c:pt>
                <c:pt idx="174">
                  <c:v>1455050.0414165477</c:v>
                </c:pt>
                <c:pt idx="175">
                  <c:v>1471720.880805813</c:v>
                </c:pt>
                <c:pt idx="176">
                  <c:v>1488476.9408444182</c:v>
                </c:pt>
                <c:pt idx="177">
                  <c:v>1505318.6757355602</c:v>
                </c:pt>
                <c:pt idx="178">
                  <c:v>1522246.5219259525</c:v>
                </c:pt>
                <c:pt idx="179">
                  <c:v>1539260.9381179826</c:v>
                </c:pt>
                <c:pt idx="180">
                  <c:v>1556362.3652819274</c:v>
                </c:pt>
                <c:pt idx="181">
                  <c:v>1573551.266668238</c:v>
                </c:pt>
                <c:pt idx="182">
                  <c:v>1590828.0878198911</c:v>
                </c:pt>
                <c:pt idx="183">
                  <c:v>1608193.2965848062</c:v>
                </c:pt>
                <c:pt idx="184">
                  <c:v>1625647.363128332</c:v>
                </c:pt>
                <c:pt idx="185">
                  <c:v>1643190.7399457949</c:v>
                </c:pt>
                <c:pt idx="186">
                  <c:v>1660823.8818751262</c:v>
                </c:pt>
                <c:pt idx="187">
                  <c:v>1678547.2661095455</c:v>
                </c:pt>
                <c:pt idx="188">
                  <c:v>1696361.3722103201</c:v>
                </c:pt>
                <c:pt idx="189">
                  <c:v>1714266.6621195937</c:v>
                </c:pt>
                <c:pt idx="190">
                  <c:v>1732263.6201732797</c:v>
                </c:pt>
                <c:pt idx="191">
                  <c:v>1750352.7331140295</c:v>
                </c:pt>
                <c:pt idx="192">
                  <c:v>1768534.4701042674</c:v>
                </c:pt>
                <c:pt idx="193">
                  <c:v>1786809.3027393005</c:v>
                </c:pt>
                <c:pt idx="194">
                  <c:v>1805177.7250604921</c:v>
                </c:pt>
                <c:pt idx="195">
                  <c:v>1823640.2335685147</c:v>
                </c:pt>
                <c:pt idx="196">
                  <c:v>1842197.3072366705</c:v>
                </c:pt>
                <c:pt idx="197">
                  <c:v>1860849.4475242835</c:v>
                </c:pt>
                <c:pt idx="198">
                  <c:v>1879597.1583901665</c:v>
                </c:pt>
                <c:pt idx="199">
                  <c:v>1898440.9263061595</c:v>
                </c:pt>
                <c:pt idx="200">
                  <c:v>1917381.2602707411</c:v>
                </c:pt>
                <c:pt idx="201">
                  <c:v>1936418.6718227167</c:v>
                </c:pt>
                <c:pt idx="202">
                  <c:v>1955553.655054976</c:v>
                </c:pt>
                <c:pt idx="203">
                  <c:v>1974786.726628327</c:v>
                </c:pt>
                <c:pt idx="204">
                  <c:v>1994118.3857854102</c:v>
                </c:pt>
                <c:pt idx="205">
                  <c:v>2006469.6510313435</c:v>
                </c:pt>
                <c:pt idx="206">
                  <c:v>2018882.2028380653</c:v>
                </c:pt>
                <c:pt idx="207">
                  <c:v>2031356.3405633201</c:v>
                </c:pt>
                <c:pt idx="208">
                  <c:v>2043892.3850779559</c:v>
                </c:pt>
                <c:pt idx="209">
                  <c:v>2056490.6587741198</c:v>
                </c:pt>
                <c:pt idx="210">
                  <c:v>2069151.4855735002</c:v>
                </c:pt>
                <c:pt idx="211">
                  <c:v>2081875.1709356087</c:v>
                </c:pt>
                <c:pt idx="212">
                  <c:v>2094661.2218661136</c:v>
                </c:pt>
                <c:pt idx="213">
                  <c:v>2107510.7669252111</c:v>
                </c:pt>
                <c:pt idx="214">
                  <c:v>2118970.1362360483</c:v>
                </c:pt>
                <c:pt idx="215">
                  <c:v>2128801.5014931867</c:v>
                </c:pt>
                <c:pt idx="216">
                  <c:v>2138918.855971117</c:v>
                </c:pt>
                <c:pt idx="217">
                  <c:v>2149090.9545328147</c:v>
                </c:pt>
                <c:pt idx="218">
                  <c:v>2159318.0936383442</c:v>
                </c:pt>
                <c:pt idx="219">
                  <c:v>2169600.57135351</c:v>
                </c:pt>
                <c:pt idx="220">
                  <c:v>2179938.6873585563</c:v>
                </c:pt>
                <c:pt idx="221">
                  <c:v>2190332.7429569075</c:v>
                </c:pt>
                <c:pt idx="222">
                  <c:v>2200783.0410839645</c:v>
                </c:pt>
                <c:pt idx="223">
                  <c:v>2211289.8863159432</c:v>
                </c:pt>
                <c:pt idx="224">
                  <c:v>2221853.5848787595</c:v>
                </c:pt>
                <c:pt idx="225">
                  <c:v>2232474.4446569704</c:v>
                </c:pt>
                <c:pt idx="226">
                  <c:v>2243152.775202753</c:v>
                </c:pt>
                <c:pt idx="227">
                  <c:v>2253888.8877449399</c:v>
                </c:pt>
                <c:pt idx="228">
                  <c:v>2264683.0951981014</c:v>
                </c:pt>
                <c:pt idx="229">
                  <c:v>2275535.7121716742</c:v>
                </c:pt>
                <c:pt idx="230">
                  <c:v>2286447.0549791441</c:v>
                </c:pt>
                <c:pt idx="231">
                  <c:v>2297417.4416472763</c:v>
                </c:pt>
                <c:pt idx="232">
                  <c:v>2308447.1919253925</c:v>
                </c:pt>
                <c:pt idx="233">
                  <c:v>2319536.6272947048</c:v>
                </c:pt>
                <c:pt idx="234">
                  <c:v>2330686.0709776948</c:v>
                </c:pt>
                <c:pt idx="235">
                  <c:v>2341895.8479475453</c:v>
                </c:pt>
                <c:pt idx="236">
                  <c:v>2353166.2849376262</c:v>
                </c:pt>
                <c:pt idx="237">
                  <c:v>2364497.7104510227</c:v>
                </c:pt>
                <c:pt idx="238">
                  <c:v>2375890.4547701264</c:v>
                </c:pt>
                <c:pt idx="239">
                  <c:v>2387344.8499662722</c:v>
                </c:pt>
                <c:pt idx="240">
                  <c:v>2398861.2299094256</c:v>
                </c:pt>
                <c:pt idx="241">
                  <c:v>2410439.9302779292</c:v>
                </c:pt>
                <c:pt idx="242">
                  <c:v>2422081.2885682937</c:v>
                </c:pt>
                <c:pt idx="243">
                  <c:v>2433785.6441050498</c:v>
                </c:pt>
                <c:pt idx="244">
                  <c:v>2445553.3380506476</c:v>
                </c:pt>
                <c:pt idx="245">
                  <c:v>2457384.7134154136</c:v>
                </c:pt>
                <c:pt idx="246">
                  <c:v>2469280.1150675584</c:v>
                </c:pt>
                <c:pt idx="247">
                  <c:v>2481239.8897432415</c:v>
                </c:pt>
                <c:pt idx="248">
                  <c:v>2493264.3860566858</c:v>
                </c:pt>
                <c:pt idx="249">
                  <c:v>2505353.9545103577</c:v>
                </c:pt>
                <c:pt idx="250">
                  <c:v>2517508.9475051858</c:v>
                </c:pt>
                <c:pt idx="251">
                  <c:v>2529729.7193508521</c:v>
                </c:pt>
                <c:pt idx="252">
                  <c:v>2542016.6262761252</c:v>
                </c:pt>
                <c:pt idx="253">
                  <c:v>2554370.0264392584</c:v>
                </c:pt>
                <c:pt idx="254">
                  <c:v>2566790.2799384403</c:v>
                </c:pt>
                <c:pt idx="255">
                  <c:v>2579277.7488223026</c:v>
                </c:pt>
                <c:pt idx="256">
                  <c:v>2591832.7971004844</c:v>
                </c:pt>
                <c:pt idx="257">
                  <c:v>2604455.7907542554</c:v>
                </c:pt>
                <c:pt idx="258">
                  <c:v>2617147.0977471932</c:v>
                </c:pt>
                <c:pt idx="259">
                  <c:v>2629907.0880359239</c:v>
                </c:pt>
                <c:pt idx="260">
                  <c:v>2642736.1335809147</c:v>
                </c:pt>
                <c:pt idx="261">
                  <c:v>2655634.6083573299</c:v>
                </c:pt>
                <c:pt idx="262">
                  <c:v>2668602.8883659435</c:v>
                </c:pt>
                <c:pt idx="263">
                  <c:v>2681641.3516441085</c:v>
                </c:pt>
                <c:pt idx="264">
                  <c:v>2694750.3782767924</c:v>
                </c:pt>
                <c:pt idx="265">
                  <c:v>2707930.3504076661</c:v>
                </c:pt>
                <c:pt idx="266">
                  <c:v>2721181.6522502555</c:v>
                </c:pt>
                <c:pt idx="267">
                  <c:v>2734504.6700991518</c:v>
                </c:pt>
                <c:pt idx="268">
                  <c:v>2747899.7923412859</c:v>
                </c:pt>
                <c:pt idx="269">
                  <c:v>2761367.4094672613</c:v>
                </c:pt>
                <c:pt idx="270">
                  <c:v>2774907.914082747</c:v>
                </c:pt>
                <c:pt idx="271">
                  <c:v>2788521.7009199373</c:v>
                </c:pt>
                <c:pt idx="272">
                  <c:v>2802209.166849067</c:v>
                </c:pt>
                <c:pt idx="273">
                  <c:v>2815970.7108899951</c:v>
                </c:pt>
                <c:pt idx="274">
                  <c:v>2829806.7342238468</c:v>
                </c:pt>
                <c:pt idx="275">
                  <c:v>2843717.6402047197</c:v>
                </c:pt>
                <c:pt idx="276">
                  <c:v>2857703.8343714569</c:v>
                </c:pt>
                <c:pt idx="277">
                  <c:v>2871765.7244594777</c:v>
                </c:pt>
                <c:pt idx="278">
                  <c:v>2885903.7204126772</c:v>
                </c:pt>
                <c:pt idx="279">
                  <c:v>2900118.234395388</c:v>
                </c:pt>
                <c:pt idx="280">
                  <c:v>2914409.68080441</c:v>
                </c:pt>
                <c:pt idx="281">
                  <c:v>2928778.4762810976</c:v>
                </c:pt>
                <c:pt idx="282">
                  <c:v>2943225.0397235239</c:v>
                </c:pt>
                <c:pt idx="283">
                  <c:v>2957749.7922986988</c:v>
                </c:pt>
                <c:pt idx="284">
                  <c:v>2972353.1574548623</c:v>
                </c:pt>
                <c:pt idx="285">
                  <c:v>2987035.5609338419</c:v>
                </c:pt>
                <c:pt idx="286">
                  <c:v>3001797.430783472</c:v>
                </c:pt>
                <c:pt idx="287">
                  <c:v>3016639.1973700882</c:v>
                </c:pt>
                <c:pt idx="288">
                  <c:v>3031561.2933910848</c:v>
                </c:pt>
                <c:pt idx="289">
                  <c:v>3046564.153887541</c:v>
                </c:pt>
                <c:pt idx="290">
                  <c:v>3061648.2162569161</c:v>
                </c:pt>
                <c:pt idx="291">
                  <c:v>3076813.9202658115</c:v>
                </c:pt>
                <c:pt idx="292">
                  <c:v>3092061.7080628071</c:v>
                </c:pt>
                <c:pt idx="293">
                  <c:v>3107392.0241913586</c:v>
                </c:pt>
                <c:pt idx="294">
                  <c:v>3122805.3156027743</c:v>
                </c:pt>
                <c:pt idx="295">
                  <c:v>3138302.0316692553</c:v>
                </c:pt>
                <c:pt idx="296">
                  <c:v>3153882.6241970076</c:v>
                </c:pt>
                <c:pt idx="297">
                  <c:v>3169547.5474394294</c:v>
                </c:pt>
                <c:pt idx="298">
                  <c:v>3185297.2581103616</c:v>
                </c:pt>
                <c:pt idx="299">
                  <c:v>3201132.2153974217</c:v>
                </c:pt>
                <c:pt idx="300">
                  <c:v>3217052.8809753954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Data!$AA$13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Data!$AA$14:$AA$315</c:f>
              <c:numCache>
                <c:formatCode>#,##0.00_);[Red]\(#,##0.00\)</c:formatCode>
                <c:ptCount val="302"/>
                <c:pt idx="0">
                  <c:v>83597.820000000007</c:v>
                </c:pt>
                <c:pt idx="1">
                  <c:v>77264.093333333323</c:v>
                </c:pt>
                <c:pt idx="2">
                  <c:v>72528.086666666655</c:v>
                </c:pt>
                <c:pt idx="3">
                  <c:v>72918.329999999987</c:v>
                </c:pt>
                <c:pt idx="4">
                  <c:v>77715.901666666672</c:v>
                </c:pt>
                <c:pt idx="5">
                  <c:v>80585.343333333338</c:v>
                </c:pt>
                <c:pt idx="6">
                  <c:v>79839.260000000009</c:v>
                </c:pt>
                <c:pt idx="7">
                  <c:v>81089.176666666666</c:v>
                </c:pt>
                <c:pt idx="8">
                  <c:v>86971.893333333341</c:v>
                </c:pt>
                <c:pt idx="9">
                  <c:v>88366.610000000015</c:v>
                </c:pt>
                <c:pt idx="10">
                  <c:v>92615.493333333332</c:v>
                </c:pt>
                <c:pt idx="11">
                  <c:v>95625.796666666662</c:v>
                </c:pt>
                <c:pt idx="12">
                  <c:v>96228.19</c:v>
                </c:pt>
                <c:pt idx="13">
                  <c:v>96581.04333333332</c:v>
                </c:pt>
                <c:pt idx="14">
                  <c:v>100554.96666666667</c:v>
                </c:pt>
                <c:pt idx="15">
                  <c:v>102414.48000000001</c:v>
                </c:pt>
                <c:pt idx="16">
                  <c:v>112414.59176666665</c:v>
                </c:pt>
                <c:pt idx="17">
                  <c:v>114955.68353333333</c:v>
                </c:pt>
                <c:pt idx="18">
                  <c:v>113415.46652791665</c:v>
                </c:pt>
                <c:pt idx="19">
                  <c:v>115351.62475593164</c:v>
                </c:pt>
                <c:pt idx="20">
                  <c:v>117298.22458783429</c:v>
                </c:pt>
                <c:pt idx="21">
                  <c:v>119255.32252682585</c:v>
                </c:pt>
                <c:pt idx="22">
                  <c:v>121631.30871543284</c:v>
                </c:pt>
                <c:pt idx="23">
                  <c:v>124020.11874272006</c:v>
                </c:pt>
                <c:pt idx="24">
                  <c:v>126421.82201545913</c:v>
                </c:pt>
                <c:pt idx="25">
                  <c:v>128836.48831630776</c:v>
                </c:pt>
                <c:pt idx="26">
                  <c:v>131264.18780584569</c:v>
                </c:pt>
                <c:pt idx="27">
                  <c:v>133704.99102462168</c:v>
                </c:pt>
                <c:pt idx="28">
                  <c:v>136158.96889521161</c:v>
                </c:pt>
                <c:pt idx="29">
                  <c:v>138626.19272428768</c:v>
                </c:pt>
                <c:pt idx="30">
                  <c:v>141106.73420469882</c:v>
                </c:pt>
                <c:pt idx="31">
                  <c:v>143600.66541756256</c:v>
                </c:pt>
                <c:pt idx="32">
                  <c:v>146108.05883436784</c:v>
                </c:pt>
                <c:pt idx="33">
                  <c:v>148628.98731908962</c:v>
                </c:pt>
                <c:pt idx="34">
                  <c:v>151163.52413031468</c:v>
                </c:pt>
                <c:pt idx="35">
                  <c:v>153711.74292337906</c:v>
                </c:pt>
                <c:pt idx="36">
                  <c:v>156273.71775251697</c:v>
                </c:pt>
                <c:pt idx="37">
                  <c:v>158849.5230730215</c:v>
                </c:pt>
                <c:pt idx="38">
                  <c:v>161439.23374341687</c:v>
                </c:pt>
                <c:pt idx="39">
                  <c:v>158931.49000351303</c:v>
                </c:pt>
                <c:pt idx="40">
                  <c:v>161570.21063340554</c:v>
                </c:pt>
                <c:pt idx="41">
                  <c:v>164222.76345079171</c:v>
                </c:pt>
                <c:pt idx="42">
                  <c:v>166889.21936894226</c:v>
                </c:pt>
                <c:pt idx="43">
                  <c:v>169569.64968517251</c:v>
                </c:pt>
                <c:pt idx="44">
                  <c:v>172264.12608292297</c:v>
                </c:pt>
                <c:pt idx="45">
                  <c:v>168672.32212411618</c:v>
                </c:pt>
                <c:pt idx="46">
                  <c:v>174960.17007743529</c:v>
                </c:pt>
                <c:pt idx="47">
                  <c:v>181281.60214874716</c:v>
                </c:pt>
                <c:pt idx="48">
                  <c:v>187636.79618636559</c:v>
                </c:pt>
                <c:pt idx="49">
                  <c:v>194025.94100187987</c:v>
                </c:pt>
                <c:pt idx="50">
                  <c:v>200449.21637537295</c:v>
                </c:pt>
                <c:pt idx="51">
                  <c:v>206906.80306066707</c:v>
                </c:pt>
                <c:pt idx="52">
                  <c:v>213398.89279059801</c:v>
                </c:pt>
                <c:pt idx="53">
                  <c:v>219925.66828231834</c:v>
                </c:pt>
                <c:pt idx="54">
                  <c:v>226487.31324262879</c:v>
                </c:pt>
                <c:pt idx="55">
                  <c:v>233084.01237333874</c:v>
                </c:pt>
                <c:pt idx="56">
                  <c:v>239715.95137665592</c:v>
                </c:pt>
                <c:pt idx="57">
                  <c:v>246383.32696060505</c:v>
                </c:pt>
                <c:pt idx="58">
                  <c:v>253086.32684447602</c:v>
                </c:pt>
                <c:pt idx="59">
                  <c:v>259825.13976430125</c:v>
                </c:pt>
                <c:pt idx="60">
                  <c:v>266599.96547836345</c:v>
                </c:pt>
                <c:pt idx="61">
                  <c:v>273410.99477273214</c:v>
                </c:pt>
                <c:pt idx="62">
                  <c:v>280258.41946683114</c:v>
                </c:pt>
                <c:pt idx="63">
                  <c:v>287142.43241903564</c:v>
                </c:pt>
                <c:pt idx="64">
                  <c:v>294063.2375323</c:v>
                </c:pt>
                <c:pt idx="65">
                  <c:v>301021.02975981525</c:v>
                </c:pt>
                <c:pt idx="66">
                  <c:v>308016.00511069869</c:v>
                </c:pt>
                <c:pt idx="67">
                  <c:v>315048.37065571244</c:v>
                </c:pt>
                <c:pt idx="68">
                  <c:v>322118.31453301455</c:v>
                </c:pt>
                <c:pt idx="69">
                  <c:v>329226.04595394048</c:v>
                </c:pt>
                <c:pt idx="70">
                  <c:v>336371.77520881599</c:v>
                </c:pt>
                <c:pt idx="71">
                  <c:v>343555.69367280166</c:v>
                </c:pt>
                <c:pt idx="72">
                  <c:v>350778.01381176902</c:v>
                </c:pt>
                <c:pt idx="73">
                  <c:v>358038.93918820831</c:v>
                </c:pt>
                <c:pt idx="74">
                  <c:v>365338.6844671687</c:v>
                </c:pt>
                <c:pt idx="75">
                  <c:v>372677.44542223</c:v>
                </c:pt>
                <c:pt idx="76">
                  <c:v>380055.4389415076</c:v>
                </c:pt>
                <c:pt idx="77">
                  <c:v>387472.87303368904</c:v>
                </c:pt>
                <c:pt idx="78">
                  <c:v>394929.96683410404</c:v>
                </c:pt>
                <c:pt idx="79">
                  <c:v>402426.93061082647</c:v>
                </c:pt>
                <c:pt idx="80">
                  <c:v>409963.97577081068</c:v>
                </c:pt>
                <c:pt idx="81">
                  <c:v>417541.3148660601</c:v>
                </c:pt>
                <c:pt idx="82">
                  <c:v>425159.1715998291</c:v>
                </c:pt>
                <c:pt idx="83">
                  <c:v>432817.76083285944</c:v>
                </c:pt>
                <c:pt idx="84">
                  <c:v>440517.29858964944</c:v>
                </c:pt>
                <c:pt idx="85">
                  <c:v>448258.01206475811</c:v>
                </c:pt>
                <c:pt idx="86">
                  <c:v>456040.1096291421</c:v>
                </c:pt>
                <c:pt idx="87">
                  <c:v>463863.83083652856</c:v>
                </c:pt>
                <c:pt idx="88">
                  <c:v>471729.3864298212</c:v>
                </c:pt>
                <c:pt idx="89">
                  <c:v>479637.00834754191</c:v>
                </c:pt>
                <c:pt idx="90">
                  <c:v>487586.91973030666</c:v>
                </c:pt>
                <c:pt idx="91">
                  <c:v>495579.34492733696</c:v>
                </c:pt>
                <c:pt idx="92">
                  <c:v>503614.51950300636</c:v>
                </c:pt>
                <c:pt idx="93">
                  <c:v>511692.66024342214</c:v>
                </c:pt>
                <c:pt idx="94">
                  <c:v>519814.01516304357</c:v>
                </c:pt>
                <c:pt idx="95">
                  <c:v>527978.8035113347</c:v>
                </c:pt>
                <c:pt idx="96">
                  <c:v>536187.26577945426</c:v>
                </c:pt>
                <c:pt idx="97">
                  <c:v>544439.63370698155</c:v>
                </c:pt>
                <c:pt idx="98">
                  <c:v>552736.14028867811</c:v>
                </c:pt>
                <c:pt idx="99">
                  <c:v>561077.02978128719</c:v>
                </c:pt>
                <c:pt idx="100">
                  <c:v>570762.53771036898</c:v>
                </c:pt>
                <c:pt idx="101">
                  <c:v>580499.94254383969</c:v>
                </c:pt>
                <c:pt idx="102">
                  <c:v>591016.94050790998</c:v>
                </c:pt>
                <c:pt idx="103">
                  <c:v>601588.8993249418</c:v>
                </c:pt>
                <c:pt idx="104">
                  <c:v>612216.11822155234</c:v>
                </c:pt>
                <c:pt idx="105">
                  <c:v>622898.87793676252</c:v>
                </c:pt>
                <c:pt idx="106">
                  <c:v>633637.48073018831</c:v>
                </c:pt>
                <c:pt idx="107">
                  <c:v>644432.22039027791</c:v>
                </c:pt>
                <c:pt idx="108">
                  <c:v>655283.39224259276</c:v>
                </c:pt>
                <c:pt idx="109">
                  <c:v>666191.30315813259</c:v>
                </c:pt>
                <c:pt idx="110">
                  <c:v>677156.24156170827</c:v>
                </c:pt>
                <c:pt idx="111">
                  <c:v>688178.51744035585</c:v>
                </c:pt>
                <c:pt idx="112">
                  <c:v>699258.4323518005</c:v>
                </c:pt>
                <c:pt idx="113">
                  <c:v>710396.28943296359</c:v>
                </c:pt>
                <c:pt idx="114">
                  <c:v>721592.40340851608</c:v>
                </c:pt>
                <c:pt idx="115">
                  <c:v>732847.07059947948</c:v>
                </c:pt>
                <c:pt idx="116">
                  <c:v>744160.60893187253</c:v>
                </c:pt>
                <c:pt idx="117">
                  <c:v>755533.32794540469</c:v>
                </c:pt>
                <c:pt idx="118">
                  <c:v>766965.53880221676</c:v>
                </c:pt>
                <c:pt idx="119">
                  <c:v>778457.56429566862</c:v>
                </c:pt>
                <c:pt idx="120">
                  <c:v>790009.71885917662</c:v>
                </c:pt>
                <c:pt idx="121">
                  <c:v>801622.31857509469</c:v>
                </c:pt>
                <c:pt idx="122">
                  <c:v>813295.68118364771</c:v>
                </c:pt>
                <c:pt idx="123">
                  <c:v>825030.12609191099</c:v>
                </c:pt>
                <c:pt idx="124">
                  <c:v>836825.98438283906</c:v>
                </c:pt>
                <c:pt idx="125">
                  <c:v>848683.57882434281</c:v>
                </c:pt>
                <c:pt idx="126">
                  <c:v>860603.23387841717</c:v>
                </c:pt>
                <c:pt idx="127">
                  <c:v>872585.28571031685</c:v>
                </c:pt>
                <c:pt idx="128">
                  <c:v>884630.06219778117</c:v>
                </c:pt>
                <c:pt idx="129">
                  <c:v>896737.89294031181</c:v>
                </c:pt>
                <c:pt idx="130">
                  <c:v>908909.10926849802</c:v>
                </c:pt>
                <c:pt idx="131">
                  <c:v>921144.05425339262</c:v>
                </c:pt>
                <c:pt idx="132">
                  <c:v>933443.06271594099</c:v>
                </c:pt>
                <c:pt idx="133">
                  <c:v>945806.47123645782</c:v>
                </c:pt>
                <c:pt idx="134">
                  <c:v>958234.61816415784</c:v>
                </c:pt>
                <c:pt idx="135">
                  <c:v>970727.85362673807</c:v>
                </c:pt>
                <c:pt idx="136">
                  <c:v>983286.51954000886</c:v>
                </c:pt>
                <c:pt idx="137">
                  <c:v>995910.96961758169</c:v>
                </c:pt>
                <c:pt idx="138">
                  <c:v>1008601.5393806065</c:v>
                </c:pt>
                <c:pt idx="139">
                  <c:v>1021358.5961675619</c:v>
                </c:pt>
                <c:pt idx="140">
                  <c:v>1034182.4791440989</c:v>
                </c:pt>
                <c:pt idx="141">
                  <c:v>1047073.5493129394</c:v>
                </c:pt>
                <c:pt idx="142">
                  <c:v>1060032.1595238247</c:v>
                </c:pt>
                <c:pt idx="143">
                  <c:v>1073058.6644835223</c:v>
                </c:pt>
                <c:pt idx="144">
                  <c:v>1086153.4307658824</c:v>
                </c:pt>
                <c:pt idx="145">
                  <c:v>1099316.8168219542</c:v>
                </c:pt>
                <c:pt idx="146">
                  <c:v>1112549.1829901505</c:v>
                </c:pt>
                <c:pt idx="147">
                  <c:v>1125850.9015064735</c:v>
                </c:pt>
                <c:pt idx="148">
                  <c:v>1139222.3365147926</c:v>
                </c:pt>
                <c:pt idx="149">
                  <c:v>1152663.8640771774</c:v>
                </c:pt>
                <c:pt idx="150">
                  <c:v>1166175.8521842889</c:v>
                </c:pt>
                <c:pt idx="151">
                  <c:v>1179758.6707658267</c:v>
                </c:pt>
                <c:pt idx="152">
                  <c:v>1193412.7017010306</c:v>
                </c:pt>
                <c:pt idx="153">
                  <c:v>1207138.3188292407</c:v>
                </c:pt>
                <c:pt idx="154">
                  <c:v>1220935.8979605159</c:v>
                </c:pt>
                <c:pt idx="155">
                  <c:v>1234805.8268863067</c:v>
                </c:pt>
                <c:pt idx="156">
                  <c:v>1248748.4853901886</c:v>
                </c:pt>
                <c:pt idx="157">
                  <c:v>1262764.2652586526</c:v>
                </c:pt>
                <c:pt idx="158">
                  <c:v>1276853.5502919545</c:v>
                </c:pt>
                <c:pt idx="159">
                  <c:v>1291016.736315022</c:v>
                </c:pt>
                <c:pt idx="160">
                  <c:v>1305254.2111884221</c:v>
                </c:pt>
                <c:pt idx="161">
                  <c:v>1319566.3648193867</c:v>
                </c:pt>
                <c:pt idx="162">
                  <c:v>1333953.5991729004</c:v>
                </c:pt>
                <c:pt idx="163">
                  <c:v>1348416.308282844</c:v>
                </c:pt>
                <c:pt idx="164">
                  <c:v>1362954.888263203</c:v>
                </c:pt>
                <c:pt idx="165">
                  <c:v>1377569.747319334</c:v>
                </c:pt>
                <c:pt idx="166">
                  <c:v>1392261.2957592919</c:v>
                </c:pt>
                <c:pt idx="167">
                  <c:v>1407029.9360052217</c:v>
                </c:pt>
                <c:pt idx="168">
                  <c:v>1421876.0726048076</c:v>
                </c:pt>
                <c:pt idx="169">
                  <c:v>1436800.1222427869</c:v>
                </c:pt>
                <c:pt idx="170">
                  <c:v>1451802.5037525264</c:v>
                </c:pt>
                <c:pt idx="171">
                  <c:v>1466883.618127659</c:v>
                </c:pt>
                <c:pt idx="172">
                  <c:v>1482043.8985337869</c:v>
                </c:pt>
                <c:pt idx="173">
                  <c:v>1497283.7603202458</c:v>
                </c:pt>
                <c:pt idx="174">
                  <c:v>1512603.6210319321</c:v>
                </c:pt>
                <c:pt idx="175">
                  <c:v>1528003.9104211973</c:v>
                </c:pt>
                <c:pt idx="176">
                  <c:v>1543485.0504598026</c:v>
                </c:pt>
                <c:pt idx="177">
                  <c:v>1559047.4753509446</c:v>
                </c:pt>
                <c:pt idx="178">
                  <c:v>1574691.6115413369</c:v>
                </c:pt>
                <c:pt idx="179">
                  <c:v>1590417.897733367</c:v>
                </c:pt>
                <c:pt idx="180">
                  <c:v>1606226.7648973118</c:v>
                </c:pt>
                <c:pt idx="181">
                  <c:v>1622118.6562836224</c:v>
                </c:pt>
                <c:pt idx="182">
                  <c:v>1638094.0074352755</c:v>
                </c:pt>
                <c:pt idx="183">
                  <c:v>1654153.2662001906</c:v>
                </c:pt>
                <c:pt idx="184">
                  <c:v>1670296.8827437162</c:v>
                </c:pt>
                <c:pt idx="185">
                  <c:v>1686525.2995611792</c:v>
                </c:pt>
                <c:pt idx="186">
                  <c:v>1702838.9614905105</c:v>
                </c:pt>
                <c:pt idx="187">
                  <c:v>1719238.3257249298</c:v>
                </c:pt>
                <c:pt idx="188">
                  <c:v>1735723.8518257043</c:v>
                </c:pt>
                <c:pt idx="189">
                  <c:v>1752295.991734978</c:v>
                </c:pt>
                <c:pt idx="190">
                  <c:v>1768955.209788664</c:v>
                </c:pt>
                <c:pt idx="191">
                  <c:v>1785701.9727294138</c:v>
                </c:pt>
                <c:pt idx="192">
                  <c:v>1802536.7397196516</c:v>
                </c:pt>
                <c:pt idx="193">
                  <c:v>1819459.972354685</c:v>
                </c:pt>
                <c:pt idx="194">
                  <c:v>1836472.1446758765</c:v>
                </c:pt>
                <c:pt idx="195">
                  <c:v>1853573.733183899</c:v>
                </c:pt>
                <c:pt idx="196">
                  <c:v>1870765.2068520549</c:v>
                </c:pt>
                <c:pt idx="197">
                  <c:v>1888047.0471396679</c:v>
                </c:pt>
                <c:pt idx="198">
                  <c:v>1905419.7380055508</c:v>
                </c:pt>
                <c:pt idx="199">
                  <c:v>1922883.7559215438</c:v>
                </c:pt>
                <c:pt idx="200">
                  <c:v>1940439.5898861254</c:v>
                </c:pt>
                <c:pt idx="201">
                  <c:v>1958087.731438101</c:v>
                </c:pt>
                <c:pt idx="202">
                  <c:v>1975828.6646703603</c:v>
                </c:pt>
                <c:pt idx="203">
                  <c:v>1993662.8862437115</c:v>
                </c:pt>
                <c:pt idx="204">
                  <c:v>2011590.8854007944</c:v>
                </c:pt>
                <c:pt idx="205">
                  <c:v>2022533.6606467278</c:v>
                </c:pt>
                <c:pt idx="206">
                  <c:v>2033532.8724534498</c:v>
                </c:pt>
                <c:pt idx="207">
                  <c:v>2044588.8101787043</c:v>
                </c:pt>
                <c:pt idx="208">
                  <c:v>2055701.7746933403</c:v>
                </c:pt>
                <c:pt idx="209">
                  <c:v>2066872.0683895042</c:v>
                </c:pt>
                <c:pt idx="210">
                  <c:v>2078099.9951888844</c:v>
                </c:pt>
                <c:pt idx="211">
                  <c:v>2089385.8505509931</c:v>
                </c:pt>
                <c:pt idx="212">
                  <c:v>2100729.5314814979</c:v>
                </c:pt>
                <c:pt idx="213">
                  <c:v>2112131.7465405953</c:v>
                </c:pt>
                <c:pt idx="214">
                  <c:v>2122865.8058514325</c:v>
                </c:pt>
                <c:pt idx="215">
                  <c:v>2132812.9411085714</c:v>
                </c:pt>
                <c:pt idx="216">
                  <c:v>2142930.2955865017</c:v>
                </c:pt>
                <c:pt idx="217">
                  <c:v>2153102.3941481994</c:v>
                </c:pt>
                <c:pt idx="218">
                  <c:v>2163329.5332537289</c:v>
                </c:pt>
                <c:pt idx="219">
                  <c:v>2173612.0109688947</c:v>
                </c:pt>
                <c:pt idx="220">
                  <c:v>2183950.126973941</c:v>
                </c:pt>
                <c:pt idx="221">
                  <c:v>2194344.1825722922</c:v>
                </c:pt>
                <c:pt idx="222">
                  <c:v>2204794.4806993492</c:v>
                </c:pt>
                <c:pt idx="223">
                  <c:v>2215301.3259313279</c:v>
                </c:pt>
                <c:pt idx="224">
                  <c:v>2225865.0244941441</c:v>
                </c:pt>
                <c:pt idx="225">
                  <c:v>2236485.8842723551</c:v>
                </c:pt>
                <c:pt idx="226">
                  <c:v>2247164.2148181377</c:v>
                </c:pt>
                <c:pt idx="227">
                  <c:v>2257900.3273603246</c:v>
                </c:pt>
                <c:pt idx="228">
                  <c:v>2268694.534813486</c:v>
                </c:pt>
                <c:pt idx="229">
                  <c:v>2279547.1517870589</c:v>
                </c:pt>
                <c:pt idx="230">
                  <c:v>2290458.4945945288</c:v>
                </c:pt>
                <c:pt idx="231">
                  <c:v>2301428.881262661</c:v>
                </c:pt>
                <c:pt idx="232">
                  <c:v>2312458.6315407772</c:v>
                </c:pt>
                <c:pt idx="233">
                  <c:v>2323548.0669100895</c:v>
                </c:pt>
                <c:pt idx="234">
                  <c:v>2334697.5105930795</c:v>
                </c:pt>
                <c:pt idx="235">
                  <c:v>2345907.28756293</c:v>
                </c:pt>
                <c:pt idx="236">
                  <c:v>2357177.7245530109</c:v>
                </c:pt>
                <c:pt idx="237">
                  <c:v>2368509.1500664074</c:v>
                </c:pt>
                <c:pt idx="238">
                  <c:v>2379901.8943855111</c:v>
                </c:pt>
                <c:pt idx="239">
                  <c:v>2391356.2895816569</c:v>
                </c:pt>
                <c:pt idx="240">
                  <c:v>2402872.6695248103</c:v>
                </c:pt>
                <c:pt idx="241">
                  <c:v>2414451.3698933139</c:v>
                </c:pt>
                <c:pt idx="242">
                  <c:v>2426092.7281836784</c:v>
                </c:pt>
                <c:pt idx="243">
                  <c:v>2437797.0837204345</c:v>
                </c:pt>
                <c:pt idx="244">
                  <c:v>2449564.7776660323</c:v>
                </c:pt>
                <c:pt idx="245">
                  <c:v>2461396.1530307983</c:v>
                </c:pt>
                <c:pt idx="246">
                  <c:v>2473291.554682943</c:v>
                </c:pt>
                <c:pt idx="247">
                  <c:v>2485251.3293586262</c:v>
                </c:pt>
                <c:pt idx="248">
                  <c:v>2497275.8256720705</c:v>
                </c:pt>
                <c:pt idx="249">
                  <c:v>2509365.3941257424</c:v>
                </c:pt>
                <c:pt idx="250">
                  <c:v>2521520.3871205705</c:v>
                </c:pt>
                <c:pt idx="251">
                  <c:v>2533741.1589662367</c:v>
                </c:pt>
                <c:pt idx="252">
                  <c:v>2546028.0658915099</c:v>
                </c:pt>
                <c:pt idx="253">
                  <c:v>2558381.466054643</c:v>
                </c:pt>
                <c:pt idx="254">
                  <c:v>2570801.719553825</c:v>
                </c:pt>
                <c:pt idx="255">
                  <c:v>2583289.1884376872</c:v>
                </c:pt>
                <c:pt idx="256">
                  <c:v>2595844.236715869</c:v>
                </c:pt>
                <c:pt idx="257">
                  <c:v>2608467.23036964</c:v>
                </c:pt>
                <c:pt idx="258">
                  <c:v>2621158.5373625779</c:v>
                </c:pt>
                <c:pt idx="259">
                  <c:v>2633918.5276513086</c:v>
                </c:pt>
                <c:pt idx="260">
                  <c:v>2646747.5731962994</c:v>
                </c:pt>
                <c:pt idx="261">
                  <c:v>2659646.0479727145</c:v>
                </c:pt>
                <c:pt idx="262">
                  <c:v>2672614.3279813281</c:v>
                </c:pt>
                <c:pt idx="263">
                  <c:v>2685652.7912594932</c:v>
                </c:pt>
                <c:pt idx="264">
                  <c:v>2698761.817892177</c:v>
                </c:pt>
                <c:pt idx="265">
                  <c:v>2711941.7900230507</c:v>
                </c:pt>
                <c:pt idx="266">
                  <c:v>2725193.0918656401</c:v>
                </c:pt>
                <c:pt idx="267">
                  <c:v>2738516.1097145365</c:v>
                </c:pt>
                <c:pt idx="268">
                  <c:v>2751911.2319566705</c:v>
                </c:pt>
                <c:pt idx="269">
                  <c:v>2765378.849082646</c:v>
                </c:pt>
                <c:pt idx="270">
                  <c:v>2778919.3536981316</c:v>
                </c:pt>
                <c:pt idx="271">
                  <c:v>2792533.140535322</c:v>
                </c:pt>
                <c:pt idx="272">
                  <c:v>2806220.6064644516</c:v>
                </c:pt>
                <c:pt idx="273">
                  <c:v>2819982.1505053798</c:v>
                </c:pt>
                <c:pt idx="274">
                  <c:v>2833818.1738392315</c:v>
                </c:pt>
                <c:pt idx="275">
                  <c:v>2847729.0798201044</c:v>
                </c:pt>
                <c:pt idx="276">
                  <c:v>2861715.2739868416</c:v>
                </c:pt>
                <c:pt idx="277">
                  <c:v>2875777.1640748624</c:v>
                </c:pt>
                <c:pt idx="278">
                  <c:v>2889915.1600280618</c:v>
                </c:pt>
                <c:pt idx="279">
                  <c:v>2904129.6740107727</c:v>
                </c:pt>
                <c:pt idx="280">
                  <c:v>2918421.1204197947</c:v>
                </c:pt>
                <c:pt idx="281">
                  <c:v>2932789.9158964823</c:v>
                </c:pt>
                <c:pt idx="282">
                  <c:v>2947236.4793389086</c:v>
                </c:pt>
                <c:pt idx="283">
                  <c:v>2961761.2319140835</c:v>
                </c:pt>
                <c:pt idx="284">
                  <c:v>2976364.5970702469</c:v>
                </c:pt>
                <c:pt idx="285">
                  <c:v>2991047.0005492265</c:v>
                </c:pt>
                <c:pt idx="286">
                  <c:v>3005808.8703988567</c:v>
                </c:pt>
                <c:pt idx="287">
                  <c:v>3020650.6369854729</c:v>
                </c:pt>
                <c:pt idx="288">
                  <c:v>3035572.7330064694</c:v>
                </c:pt>
                <c:pt idx="289">
                  <c:v>3050575.5935029257</c:v>
                </c:pt>
                <c:pt idx="290">
                  <c:v>3065659.6558723007</c:v>
                </c:pt>
                <c:pt idx="291">
                  <c:v>3080825.3598811962</c:v>
                </c:pt>
                <c:pt idx="292">
                  <c:v>3096073.1476781918</c:v>
                </c:pt>
                <c:pt idx="293">
                  <c:v>3111403.4638067433</c:v>
                </c:pt>
                <c:pt idx="294">
                  <c:v>3126816.7552181589</c:v>
                </c:pt>
                <c:pt idx="295">
                  <c:v>3142313.47128464</c:v>
                </c:pt>
                <c:pt idx="296">
                  <c:v>3157894.0638123923</c:v>
                </c:pt>
                <c:pt idx="297">
                  <c:v>3173558.9870548141</c:v>
                </c:pt>
                <c:pt idx="298">
                  <c:v>3189308.6977257463</c:v>
                </c:pt>
                <c:pt idx="299">
                  <c:v>3205143.6550128064</c:v>
                </c:pt>
                <c:pt idx="300">
                  <c:v>3221064.3205907801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Data!$AM$13</c:f>
              <c:strCache>
                <c:ptCount val="1"/>
                <c:pt idx="0">
                  <c:v>TOTAL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Data!$AM$14:$AM$315</c:f>
              <c:numCache>
                <c:formatCode>#,##0.00_);[Red]\(#,##0.00\)</c:formatCode>
                <c:ptCount val="302"/>
                <c:pt idx="0">
                  <c:v>-25190.83</c:v>
                </c:pt>
                <c:pt idx="1">
                  <c:v>-23109.22</c:v>
                </c:pt>
                <c:pt idx="2">
                  <c:v>-23047.67</c:v>
                </c:pt>
                <c:pt idx="3">
                  <c:v>-47641.3</c:v>
                </c:pt>
                <c:pt idx="4">
                  <c:v>-47650.39</c:v>
                </c:pt>
                <c:pt idx="5">
                  <c:v>-45254.09</c:v>
                </c:pt>
                <c:pt idx="6">
                  <c:v>-47088.73</c:v>
                </c:pt>
                <c:pt idx="7">
                  <c:v>-46168.959999999999</c:v>
                </c:pt>
                <c:pt idx="8">
                  <c:v>-47214.61</c:v>
                </c:pt>
                <c:pt idx="9">
                  <c:v>-48947.02</c:v>
                </c:pt>
                <c:pt idx="10">
                  <c:v>-67601.63</c:v>
                </c:pt>
                <c:pt idx="11">
                  <c:v>-66473.025000000009</c:v>
                </c:pt>
                <c:pt idx="12">
                  <c:v>-66994.559999999998</c:v>
                </c:pt>
                <c:pt idx="13">
                  <c:v>-67747.37</c:v>
                </c:pt>
                <c:pt idx="14">
                  <c:v>-66550.84</c:v>
                </c:pt>
                <c:pt idx="15">
                  <c:v>-65658.78</c:v>
                </c:pt>
                <c:pt idx="16">
                  <c:v>-65154.64</c:v>
                </c:pt>
                <c:pt idx="17">
                  <c:v>-63266.40416666666</c:v>
                </c:pt>
                <c:pt idx="18">
                  <c:v>-63864.800047222227</c:v>
                </c:pt>
                <c:pt idx="19">
                  <c:v>-64141.43724017866</c:v>
                </c:pt>
                <c:pt idx="20">
                  <c:v>-64417.415228763683</c:v>
                </c:pt>
                <c:pt idx="21">
                  <c:v>-64691.198835774136</c:v>
                </c:pt>
                <c:pt idx="22">
                  <c:v>-80974.107833129892</c:v>
                </c:pt>
                <c:pt idx="23">
                  <c:v>-81351.289852214424</c:v>
                </c:pt>
                <c:pt idx="24">
                  <c:v>-81712.562425622877</c:v>
                </c:pt>
                <c:pt idx="25">
                  <c:v>-82076.461121499975</c:v>
                </c:pt>
                <c:pt idx="26">
                  <c:v>-82449.917146027117</c:v>
                </c:pt>
                <c:pt idx="27">
                  <c:v>-82824.022810060167</c:v>
                </c:pt>
                <c:pt idx="28">
                  <c:v>-83188.646617971826</c:v>
                </c:pt>
                <c:pt idx="29">
                  <c:v>-83566.160447214643</c:v>
                </c:pt>
                <c:pt idx="30">
                  <c:v>-83944.589478943308</c:v>
                </c:pt>
                <c:pt idx="31">
                  <c:v>-84324.59758001531</c:v>
                </c:pt>
                <c:pt idx="32">
                  <c:v>-84706.207587083132</c:v>
                </c:pt>
                <c:pt idx="33">
                  <c:v>-85089.569911307888</c:v>
                </c:pt>
                <c:pt idx="34">
                  <c:v>-103474.97522349373</c:v>
                </c:pt>
                <c:pt idx="35">
                  <c:v>-103966.79489551431</c:v>
                </c:pt>
                <c:pt idx="36">
                  <c:v>-104460.08679154603</c:v>
                </c:pt>
                <c:pt idx="37">
                  <c:v>-104956.25219003932</c:v>
                </c:pt>
                <c:pt idx="38">
                  <c:v>-105455.26423641345</c:v>
                </c:pt>
                <c:pt idx="39">
                  <c:v>-255956.51596052572</c:v>
                </c:pt>
                <c:pt idx="40">
                  <c:v>-256248.93184003345</c:v>
                </c:pt>
                <c:pt idx="41">
                  <c:v>-256543.87740329048</c:v>
                </c:pt>
                <c:pt idx="42">
                  <c:v>-256840.50153417804</c:v>
                </c:pt>
                <c:pt idx="43">
                  <c:v>-257138.87980811036</c:v>
                </c:pt>
                <c:pt idx="44">
                  <c:v>-257439.03849086451</c:v>
                </c:pt>
                <c:pt idx="45">
                  <c:v>-255584.0606035245</c:v>
                </c:pt>
                <c:pt idx="46">
                  <c:v>-253719.31673347679</c:v>
                </c:pt>
                <c:pt idx="47">
                  <c:v>-251844.74616798398</c:v>
                </c:pt>
                <c:pt idx="48">
                  <c:v>-249960.32958874607</c:v>
                </c:pt>
                <c:pt idx="49">
                  <c:v>-248066.07719231275</c:v>
                </c:pt>
                <c:pt idx="50">
                  <c:v>-246161.91012479318</c:v>
                </c:pt>
                <c:pt idx="51">
                  <c:v>-244247.76041074513</c:v>
                </c:pt>
                <c:pt idx="52">
                  <c:v>-242323.5693747098</c:v>
                </c:pt>
                <c:pt idx="53">
                  <c:v>-240389.32413428932</c:v>
                </c:pt>
                <c:pt idx="54">
                  <c:v>-238444.89633410075</c:v>
                </c:pt>
                <c:pt idx="55">
                  <c:v>-236490.25474885167</c:v>
                </c:pt>
                <c:pt idx="56">
                  <c:v>-234525.34365869989</c:v>
                </c:pt>
                <c:pt idx="57">
                  <c:v>-232550.11658935284</c:v>
                </c:pt>
                <c:pt idx="58">
                  <c:v>-230564.50625483852</c:v>
                </c:pt>
                <c:pt idx="59">
                  <c:v>-228568.47538161866</c:v>
                </c:pt>
                <c:pt idx="60">
                  <c:v>-226561.95864942158</c:v>
                </c:pt>
                <c:pt idx="61">
                  <c:v>-224547.64857114456</c:v>
                </c:pt>
                <c:pt idx="62">
                  <c:v>-222541.8255284371</c:v>
                </c:pt>
                <c:pt idx="63">
                  <c:v>-220525.96895020825</c:v>
                </c:pt>
                <c:pt idx="64">
                  <c:v>-218500.03346663102</c:v>
                </c:pt>
                <c:pt idx="65">
                  <c:v>-216463.97761242528</c:v>
                </c:pt>
                <c:pt idx="66">
                  <c:v>-214417.72837373745</c:v>
                </c:pt>
                <c:pt idx="67">
                  <c:v>-212361.24734850801</c:v>
                </c:pt>
                <c:pt idx="68">
                  <c:v>-210294.49553661354</c:v>
                </c:pt>
                <c:pt idx="69">
                  <c:v>-208217.40366457385</c:v>
                </c:pt>
                <c:pt idx="70">
                  <c:v>-206129.92222564312</c:v>
                </c:pt>
                <c:pt idx="71">
                  <c:v>-204031.99152801099</c:v>
                </c:pt>
                <c:pt idx="72">
                  <c:v>-201923.5616783445</c:v>
                </c:pt>
                <c:pt idx="73">
                  <c:v>-199822.79240222226</c:v>
                </c:pt>
                <c:pt idx="74">
                  <c:v>-197493.77319294628</c:v>
                </c:pt>
                <c:pt idx="75">
                  <c:v>-195358.20679990656</c:v>
                </c:pt>
                <c:pt idx="76">
                  <c:v>-193212.54720669385</c:v>
                </c:pt>
                <c:pt idx="77">
                  <c:v>-191056.7472710115</c:v>
                </c:pt>
                <c:pt idx="78">
                  <c:v>-188890.74699520611</c:v>
                </c:pt>
                <c:pt idx="79">
                  <c:v>-186714.5066329742</c:v>
                </c:pt>
                <c:pt idx="80">
                  <c:v>-184527.97632599215</c:v>
                </c:pt>
                <c:pt idx="81">
                  <c:v>-182331.11614441941</c:v>
                </c:pt>
                <c:pt idx="82">
                  <c:v>-180040.04701897598</c:v>
                </c:pt>
                <c:pt idx="83">
                  <c:v>-177808.88709479469</c:v>
                </c:pt>
                <c:pt idx="84">
                  <c:v>-175568.09723506763</c:v>
                </c:pt>
                <c:pt idx="85">
                  <c:v>-173317.62737450222</c:v>
                </c:pt>
                <c:pt idx="86">
                  <c:v>-171057.44746523318</c:v>
                </c:pt>
                <c:pt idx="87">
                  <c:v>-168787.50749763139</c:v>
                </c:pt>
                <c:pt idx="88">
                  <c:v>-166507.7674795037</c:v>
                </c:pt>
                <c:pt idx="89">
                  <c:v>-164218.18742596643</c:v>
                </c:pt>
                <c:pt idx="90">
                  <c:v>-161918.71736260795</c:v>
                </c:pt>
                <c:pt idx="91">
                  <c:v>-159609.31731695335</c:v>
                </c:pt>
                <c:pt idx="92">
                  <c:v>-157289.94729768019</c:v>
                </c:pt>
                <c:pt idx="93">
                  <c:v>-154960.56730238278</c:v>
                </c:pt>
                <c:pt idx="94">
                  <c:v>-152621.12732260831</c:v>
                </c:pt>
                <c:pt idx="95">
                  <c:v>-150271.58734791103</c:v>
                </c:pt>
                <c:pt idx="96">
                  <c:v>-147911.89736900406</c:v>
                </c:pt>
                <c:pt idx="97">
                  <c:v>-145542.01738016543</c:v>
                </c:pt>
                <c:pt idx="98">
                  <c:v>-143161.90738063736</c:v>
                </c:pt>
                <c:pt idx="99">
                  <c:v>-140771.5173735877</c:v>
                </c:pt>
                <c:pt idx="100">
                  <c:v>-139706.03736325074</c:v>
                </c:pt>
                <c:pt idx="101">
                  <c:v>-139445.64961222874</c:v>
                </c:pt>
                <c:pt idx="102">
                  <c:v>-138456.94960619509</c:v>
                </c:pt>
                <c:pt idx="103">
                  <c:v>-137464.84960493853</c:v>
                </c:pt>
                <c:pt idx="104">
                  <c:v>-136469.32960738183</c:v>
                </c:pt>
                <c:pt idx="105">
                  <c:v>-135470.38961163483</c:v>
                </c:pt>
                <c:pt idx="106">
                  <c:v>-134468.00961585034</c:v>
                </c:pt>
                <c:pt idx="107">
                  <c:v>-133462.17961873169</c:v>
                </c:pt>
                <c:pt idx="108">
                  <c:v>-132452.88961974459</c:v>
                </c:pt>
                <c:pt idx="109">
                  <c:v>-131440.11961908414</c:v>
                </c:pt>
                <c:pt idx="110">
                  <c:v>-130423.86961743855</c:v>
                </c:pt>
                <c:pt idx="111">
                  <c:v>-129404.11961561651</c:v>
                </c:pt>
                <c:pt idx="112">
                  <c:v>-128380.8596142301</c:v>
                </c:pt>
                <c:pt idx="113">
                  <c:v>-127354.07961358957</c:v>
                </c:pt>
                <c:pt idx="114">
                  <c:v>-126323.75961370296</c:v>
                </c:pt>
                <c:pt idx="115">
                  <c:v>-125289.89961432862</c:v>
                </c:pt>
                <c:pt idx="116">
                  <c:v>-124252.47961511112</c:v>
                </c:pt>
                <c:pt idx="117">
                  <c:v>-123211.48961575523</c:v>
                </c:pt>
                <c:pt idx="118">
                  <c:v>-122166.91961609859</c:v>
                </c:pt>
                <c:pt idx="119">
                  <c:v>-121118.74961611928</c:v>
                </c:pt>
                <c:pt idx="120">
                  <c:v>-120066.96961590159</c:v>
                </c:pt>
                <c:pt idx="121">
                  <c:v>-119011.56961558133</c:v>
                </c:pt>
                <c:pt idx="122">
                  <c:v>-117952.53961528944</c:v>
                </c:pt>
                <c:pt idx="123">
                  <c:v>-116889.86961511035</c:v>
                </c:pt>
                <c:pt idx="124">
                  <c:v>-115823.53961506818</c:v>
                </c:pt>
                <c:pt idx="125">
                  <c:v>-114753.53961513801</c:v>
                </c:pt>
                <c:pt idx="126">
                  <c:v>-113679.85961526705</c:v>
                </c:pt>
                <c:pt idx="127">
                  <c:v>-112602.47961539739</c:v>
                </c:pt>
                <c:pt idx="128">
                  <c:v>-111521.38961548645</c:v>
                </c:pt>
                <c:pt idx="129">
                  <c:v>-110436.57961551774</c:v>
                </c:pt>
                <c:pt idx="130">
                  <c:v>-109348.03961549794</c:v>
                </c:pt>
                <c:pt idx="131">
                  <c:v>-108255.74961544787</c:v>
                </c:pt>
                <c:pt idx="132">
                  <c:v>-107159.69961539193</c:v>
                </c:pt>
                <c:pt idx="133">
                  <c:v>-106059.87961534945</c:v>
                </c:pt>
                <c:pt idx="134">
                  <c:v>-104956.27961533012</c:v>
                </c:pt>
                <c:pt idx="135">
                  <c:v>-103848.8796153335</c:v>
                </c:pt>
                <c:pt idx="136">
                  <c:v>-102737.6696153521</c:v>
                </c:pt>
                <c:pt idx="137">
                  <c:v>-101622.62961537576</c:v>
                </c:pt>
                <c:pt idx="138">
                  <c:v>-100503.75961539557</c:v>
                </c:pt>
                <c:pt idx="139">
                  <c:v>-99381.029615406267</c:v>
                </c:pt>
                <c:pt idx="140">
                  <c:v>-98254.439615407013</c:v>
                </c:pt>
                <c:pt idx="141">
                  <c:v>-97123.969615400405</c:v>
                </c:pt>
                <c:pt idx="142">
                  <c:v>-95989.609615390626</c:v>
                </c:pt>
                <c:pt idx="143">
                  <c:v>-94851.349615381681</c:v>
                </c:pt>
                <c:pt idx="144">
                  <c:v>-93709.169615376173</c:v>
                </c:pt>
                <c:pt idx="145">
                  <c:v>-92563.059615374863</c:v>
                </c:pt>
                <c:pt idx="146">
                  <c:v>-91413.009615376985</c:v>
                </c:pt>
                <c:pt idx="147">
                  <c:v>-90258.999615380875</c:v>
                </c:pt>
                <c:pt idx="148">
                  <c:v>-89101.019615384823</c:v>
                </c:pt>
                <c:pt idx="149">
                  <c:v>-87939.049615387557</c:v>
                </c:pt>
                <c:pt idx="150">
                  <c:v>-86773.079615388546</c:v>
                </c:pt>
                <c:pt idx="151">
                  <c:v>-85603.099615387953</c:v>
                </c:pt>
                <c:pt idx="152">
                  <c:v>-84429.089615386416</c:v>
                </c:pt>
                <c:pt idx="153">
                  <c:v>-83251.039615384696</c:v>
                </c:pt>
                <c:pt idx="154">
                  <c:v>-82068.939615383395</c:v>
                </c:pt>
                <c:pt idx="155">
                  <c:v>-80882.7696153828</c:v>
                </c:pt>
                <c:pt idx="156">
                  <c:v>-79692.519615382902</c:v>
                </c:pt>
                <c:pt idx="157">
                  <c:v>-78498.169615383449</c:v>
                </c:pt>
                <c:pt idx="158">
                  <c:v>-77299.70961538417</c:v>
                </c:pt>
                <c:pt idx="159">
                  <c:v>-76097.119615384785</c:v>
                </c:pt>
                <c:pt idx="160">
                  <c:v>-74890.389615385095</c:v>
                </c:pt>
                <c:pt idx="161">
                  <c:v>-73679.509615385119</c:v>
                </c:pt>
                <c:pt idx="162">
                  <c:v>-72464.459615384912</c:v>
                </c:pt>
                <c:pt idx="163">
                  <c:v>-71245.229615384611</c:v>
                </c:pt>
                <c:pt idx="164">
                  <c:v>-70021.809615384336</c:v>
                </c:pt>
                <c:pt idx="165">
                  <c:v>-68794.179615384157</c:v>
                </c:pt>
                <c:pt idx="166">
                  <c:v>-67562.319615384127</c:v>
                </c:pt>
                <c:pt idx="167">
                  <c:v>-66326.21961538418</c:v>
                </c:pt>
                <c:pt idx="168">
                  <c:v>-65085.86961538429</c:v>
                </c:pt>
                <c:pt idx="169">
                  <c:v>-63841.249615384411</c:v>
                </c:pt>
                <c:pt idx="170">
                  <c:v>-62592.339615384495</c:v>
                </c:pt>
                <c:pt idx="171">
                  <c:v>-61339.13961538452</c:v>
                </c:pt>
                <c:pt idx="172">
                  <c:v>-60081.619615384494</c:v>
                </c:pt>
                <c:pt idx="173">
                  <c:v>-58819.769615384444</c:v>
                </c:pt>
                <c:pt idx="174">
                  <c:v>-57553.579615384391</c:v>
                </c:pt>
                <c:pt idx="175">
                  <c:v>-56283.029615384345</c:v>
                </c:pt>
                <c:pt idx="176">
                  <c:v>-55008.109615384325</c:v>
                </c:pt>
                <c:pt idx="177">
                  <c:v>-53728.79961538432</c:v>
                </c:pt>
                <c:pt idx="178">
                  <c:v>-52445.089615384335</c:v>
                </c:pt>
                <c:pt idx="179">
                  <c:v>-51156.959615384352</c:v>
                </c:pt>
                <c:pt idx="180">
                  <c:v>-49864.399615384362</c:v>
                </c:pt>
                <c:pt idx="181">
                  <c:v>-48567.389615384367</c:v>
                </c:pt>
                <c:pt idx="182">
                  <c:v>-47265.919615384373</c:v>
                </c:pt>
                <c:pt idx="183">
                  <c:v>-45959.969615384362</c:v>
                </c:pt>
                <c:pt idx="184">
                  <c:v>-44649.51961538435</c:v>
                </c:pt>
                <c:pt idx="185">
                  <c:v>-43334.559615384329</c:v>
                </c:pt>
                <c:pt idx="186">
                  <c:v>-42015.079615384326</c:v>
                </c:pt>
                <c:pt idx="187">
                  <c:v>-40691.059615384322</c:v>
                </c:pt>
                <c:pt idx="188">
                  <c:v>-39362.47961538432</c:v>
                </c:pt>
                <c:pt idx="189">
                  <c:v>-38029.329615384318</c:v>
                </c:pt>
                <c:pt idx="190">
                  <c:v>-36691.58961538432</c:v>
                </c:pt>
                <c:pt idx="191">
                  <c:v>-35349.239615384329</c:v>
                </c:pt>
                <c:pt idx="192">
                  <c:v>-34002.269615384328</c:v>
                </c:pt>
                <c:pt idx="193">
                  <c:v>-32650.669615384326</c:v>
                </c:pt>
                <c:pt idx="194">
                  <c:v>-31294.419615384326</c:v>
                </c:pt>
                <c:pt idx="195">
                  <c:v>-29933.499615384324</c:v>
                </c:pt>
                <c:pt idx="196">
                  <c:v>-28567.899615384325</c:v>
                </c:pt>
                <c:pt idx="197">
                  <c:v>-27197.599615384326</c:v>
                </c:pt>
                <c:pt idx="198">
                  <c:v>-25822.579615384326</c:v>
                </c:pt>
                <c:pt idx="199">
                  <c:v>-24442.829615384326</c:v>
                </c:pt>
                <c:pt idx="200">
                  <c:v>-23058.329615384326</c:v>
                </c:pt>
                <c:pt idx="201">
                  <c:v>-21669.059615384329</c:v>
                </c:pt>
                <c:pt idx="202">
                  <c:v>-20275.00961538433</c:v>
                </c:pt>
                <c:pt idx="203">
                  <c:v>-18876.159615384327</c:v>
                </c:pt>
                <c:pt idx="204">
                  <c:v>-17472.499615384328</c:v>
                </c:pt>
                <c:pt idx="205">
                  <c:v>-16064.009615384328</c:v>
                </c:pt>
                <c:pt idx="206">
                  <c:v>-14650.669615384328</c:v>
                </c:pt>
                <c:pt idx="207">
                  <c:v>-13232.469615384327</c:v>
                </c:pt>
                <c:pt idx="208">
                  <c:v>-11809.389615384327</c:v>
                </c:pt>
                <c:pt idx="209">
                  <c:v>-10381.409615384327</c:v>
                </c:pt>
                <c:pt idx="210">
                  <c:v>-8948.5096153843278</c:v>
                </c:pt>
                <c:pt idx="211">
                  <c:v>-7510.6796153843279</c:v>
                </c:pt>
                <c:pt idx="212">
                  <c:v>-6068.309615384328</c:v>
                </c:pt>
                <c:pt idx="213">
                  <c:v>-4620.9796153843281</c:v>
                </c:pt>
                <c:pt idx="214">
                  <c:v>-3895.6696153843282</c:v>
                </c:pt>
                <c:pt idx="215">
                  <c:v>-4011.4396153846155</c:v>
                </c:pt>
                <c:pt idx="216">
                  <c:v>-4011.4396153846155</c:v>
                </c:pt>
                <c:pt idx="217">
                  <c:v>-4011.4396153846155</c:v>
                </c:pt>
                <c:pt idx="218">
                  <c:v>-4011.4396153846155</c:v>
                </c:pt>
                <c:pt idx="219">
                  <c:v>-4011.4396153846155</c:v>
                </c:pt>
                <c:pt idx="220">
                  <c:v>-4011.4396153846155</c:v>
                </c:pt>
                <c:pt idx="221">
                  <c:v>-4011.4396153846155</c:v>
                </c:pt>
                <c:pt idx="222">
                  <c:v>-4011.4396153846155</c:v>
                </c:pt>
                <c:pt idx="223">
                  <c:v>-4011.4396153846155</c:v>
                </c:pt>
                <c:pt idx="224">
                  <c:v>-4011.4396153846155</c:v>
                </c:pt>
                <c:pt idx="225">
                  <c:v>-4011.4396153846155</c:v>
                </c:pt>
                <c:pt idx="226">
                  <c:v>-4011.4396153846155</c:v>
                </c:pt>
                <c:pt idx="227">
                  <c:v>-4011.4396153846155</c:v>
                </c:pt>
                <c:pt idx="228">
                  <c:v>-4011.4396153846155</c:v>
                </c:pt>
                <c:pt idx="229">
                  <c:v>-4011.4396153846155</c:v>
                </c:pt>
                <c:pt idx="230">
                  <c:v>-4011.4396153846155</c:v>
                </c:pt>
                <c:pt idx="231">
                  <c:v>-4011.4396153846155</c:v>
                </c:pt>
                <c:pt idx="232">
                  <c:v>-4011.4396153846155</c:v>
                </c:pt>
                <c:pt idx="233">
                  <c:v>-4011.4396153846155</c:v>
                </c:pt>
                <c:pt idx="234">
                  <c:v>-4011.4396153846155</c:v>
                </c:pt>
                <c:pt idx="235">
                  <c:v>-4011.4396153846155</c:v>
                </c:pt>
                <c:pt idx="236">
                  <c:v>-4011.4396153846155</c:v>
                </c:pt>
                <c:pt idx="237">
                  <c:v>-4011.4396153846155</c:v>
                </c:pt>
                <c:pt idx="238">
                  <c:v>-4011.4396153846155</c:v>
                </c:pt>
                <c:pt idx="239">
                  <c:v>-4011.4396153846155</c:v>
                </c:pt>
                <c:pt idx="240">
                  <c:v>-4011.4396153846155</c:v>
                </c:pt>
                <c:pt idx="241">
                  <c:v>-4011.4396153846155</c:v>
                </c:pt>
                <c:pt idx="242">
                  <c:v>-4011.4396153846155</c:v>
                </c:pt>
                <c:pt idx="243">
                  <c:v>-4011.4396153846155</c:v>
                </c:pt>
                <c:pt idx="244">
                  <c:v>-4011.4396153846155</c:v>
                </c:pt>
                <c:pt idx="245">
                  <c:v>-4011.4396153846155</c:v>
                </c:pt>
                <c:pt idx="246">
                  <c:v>-4011.4396153846155</c:v>
                </c:pt>
                <c:pt idx="247">
                  <c:v>-4011.4396153846155</c:v>
                </c:pt>
                <c:pt idx="248">
                  <c:v>-4011.4396153846155</c:v>
                </c:pt>
                <c:pt idx="249">
                  <c:v>-4011.4396153846155</c:v>
                </c:pt>
                <c:pt idx="250">
                  <c:v>-4011.4396153846155</c:v>
                </c:pt>
                <c:pt idx="251">
                  <c:v>-4011.4396153846155</c:v>
                </c:pt>
                <c:pt idx="252">
                  <c:v>-4011.4396153846155</c:v>
                </c:pt>
                <c:pt idx="253">
                  <c:v>-4011.4396153846155</c:v>
                </c:pt>
                <c:pt idx="254">
                  <c:v>-4011.4396153846155</c:v>
                </c:pt>
                <c:pt idx="255">
                  <c:v>-4011.4396153846155</c:v>
                </c:pt>
                <c:pt idx="256">
                  <c:v>-4011.4396153846155</c:v>
                </c:pt>
                <c:pt idx="257">
                  <c:v>-4011.4396153846155</c:v>
                </c:pt>
                <c:pt idx="258">
                  <c:v>-4011.4396153846155</c:v>
                </c:pt>
                <c:pt idx="259">
                  <c:v>-4011.4396153846155</c:v>
                </c:pt>
                <c:pt idx="260">
                  <c:v>-4011.4396153846155</c:v>
                </c:pt>
                <c:pt idx="261">
                  <c:v>-4011.4396153846155</c:v>
                </c:pt>
                <c:pt idx="262">
                  <c:v>-4011.4396153846155</c:v>
                </c:pt>
                <c:pt idx="263">
                  <c:v>-4011.4396153846155</c:v>
                </c:pt>
                <c:pt idx="264">
                  <c:v>-4011.4396153846155</c:v>
                </c:pt>
                <c:pt idx="265">
                  <c:v>-4011.4396153846155</c:v>
                </c:pt>
                <c:pt idx="266">
                  <c:v>-4011.4396153846155</c:v>
                </c:pt>
                <c:pt idx="267">
                  <c:v>-4011.4396153846155</c:v>
                </c:pt>
                <c:pt idx="268">
                  <c:v>-4011.4396153846155</c:v>
                </c:pt>
                <c:pt idx="269">
                  <c:v>-4011.4396153846155</c:v>
                </c:pt>
                <c:pt idx="270">
                  <c:v>-4011.4396153846155</c:v>
                </c:pt>
                <c:pt idx="271">
                  <c:v>-4011.4396153846155</c:v>
                </c:pt>
                <c:pt idx="272">
                  <c:v>-4011.4396153846155</c:v>
                </c:pt>
                <c:pt idx="273">
                  <c:v>-4011.4396153846155</c:v>
                </c:pt>
                <c:pt idx="274">
                  <c:v>-4011.4396153846155</c:v>
                </c:pt>
                <c:pt idx="275">
                  <c:v>-4011.4396153846155</c:v>
                </c:pt>
                <c:pt idx="276">
                  <c:v>-4011.4396153846155</c:v>
                </c:pt>
                <c:pt idx="277">
                  <c:v>-4011.4396153846155</c:v>
                </c:pt>
                <c:pt idx="278">
                  <c:v>-4011.4396153846155</c:v>
                </c:pt>
                <c:pt idx="279">
                  <c:v>-4011.4396153846155</c:v>
                </c:pt>
                <c:pt idx="280">
                  <c:v>-4011.4396153846155</c:v>
                </c:pt>
                <c:pt idx="281">
                  <c:v>-4011.4396153846155</c:v>
                </c:pt>
                <c:pt idx="282">
                  <c:v>-4011.4396153846155</c:v>
                </c:pt>
                <c:pt idx="283">
                  <c:v>-4011.4396153846155</c:v>
                </c:pt>
                <c:pt idx="284">
                  <c:v>-4011.4396153846155</c:v>
                </c:pt>
                <c:pt idx="285">
                  <c:v>-4011.4396153846155</c:v>
                </c:pt>
                <c:pt idx="286">
                  <c:v>-4011.4396153846155</c:v>
                </c:pt>
                <c:pt idx="287">
                  <c:v>-4011.4396153846155</c:v>
                </c:pt>
                <c:pt idx="288">
                  <c:v>-4011.4396153846155</c:v>
                </c:pt>
                <c:pt idx="289">
                  <c:v>-4011.4396153846155</c:v>
                </c:pt>
                <c:pt idx="290">
                  <c:v>-4011.4396153846155</c:v>
                </c:pt>
                <c:pt idx="291">
                  <c:v>-4011.4396153846155</c:v>
                </c:pt>
                <c:pt idx="292">
                  <c:v>-4011.4396153846155</c:v>
                </c:pt>
                <c:pt idx="293">
                  <c:v>-4011.4396153846155</c:v>
                </c:pt>
                <c:pt idx="294">
                  <c:v>-4011.4396153846155</c:v>
                </c:pt>
                <c:pt idx="295">
                  <c:v>-4011.4396153846155</c:v>
                </c:pt>
                <c:pt idx="296">
                  <c:v>-4011.4396153846155</c:v>
                </c:pt>
                <c:pt idx="297">
                  <c:v>-4011.4396153846155</c:v>
                </c:pt>
                <c:pt idx="298">
                  <c:v>-4011.4396153846155</c:v>
                </c:pt>
                <c:pt idx="299">
                  <c:v>-4011.4396153846155</c:v>
                </c:pt>
                <c:pt idx="300">
                  <c:v>-4011.4396153846155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Data!$CW$13</c:f>
              <c:strCache>
                <c:ptCount val="1"/>
                <c:pt idx="0">
                  <c:v>zero 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Data!$CW$14:$CW$315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47768"/>
        <c:axId val="476241104"/>
      </c:lineChart>
      <c:dateAx>
        <c:axId val="476247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1104"/>
        <c:crosses val="autoZero"/>
        <c:auto val="1"/>
        <c:lblOffset val="100"/>
        <c:baseTimeUnit val="months"/>
      </c:dateAx>
      <c:valAx>
        <c:axId val="4762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12 Months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Data!$AU$13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Data!$D$20:$D$31</c:f>
              <c:numCache>
                <c:formatCode>m/d/yyyy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Data!$AU$20:$AU$315</c:f>
              <c:numCache>
                <c:formatCode>#,##0.00_);[Red]\(#,##0.00\)</c:formatCode>
                <c:ptCount val="296"/>
                <c:pt idx="0">
                  <c:v>2893.73</c:v>
                </c:pt>
                <c:pt idx="1">
                  <c:v>1973.96</c:v>
                </c:pt>
                <c:pt idx="2">
                  <c:v>3019.61</c:v>
                </c:pt>
                <c:pt idx="3">
                  <c:v>4752.0200000000004</c:v>
                </c:pt>
                <c:pt idx="4">
                  <c:v>5406.63</c:v>
                </c:pt>
                <c:pt idx="5">
                  <c:v>5955.16</c:v>
                </c:pt>
                <c:pt idx="6">
                  <c:v>5878.0599999999995</c:v>
                </c:pt>
                <c:pt idx="7">
                  <c:v>6630.87</c:v>
                </c:pt>
                <c:pt idx="8">
                  <c:v>5434.3399999999992</c:v>
                </c:pt>
                <c:pt idx="9">
                  <c:v>4542.2800000000007</c:v>
                </c:pt>
                <c:pt idx="10">
                  <c:v>5116.6400000000003</c:v>
                </c:pt>
                <c:pt idx="11">
                  <c:v>4424.6741666666667</c:v>
                </c:pt>
                <c:pt idx="12">
                  <c:v>4750.9553472222224</c:v>
                </c:pt>
                <c:pt idx="13">
                  <c:v>4754.2316261574069</c:v>
                </c:pt>
                <c:pt idx="14">
                  <c:v>4755.5967616705248</c:v>
                </c:pt>
                <c:pt idx="15">
                  <c:v>4753.5098251430682</c:v>
                </c:pt>
                <c:pt idx="16">
                  <c:v>4759.2848105716575</c:v>
                </c:pt>
                <c:pt idx="17">
                  <c:v>4771.3968781192962</c:v>
                </c:pt>
                <c:pt idx="18">
                  <c:v>4765.8549512959034</c:v>
                </c:pt>
                <c:pt idx="19">
                  <c:v>4761.186197237229</c:v>
                </c:pt>
                <c:pt idx="20">
                  <c:v>4764.3133803403307</c:v>
                </c:pt>
                <c:pt idx="21">
                  <c:v>4766.320328702026</c:v>
                </c:pt>
                <c:pt idx="22">
                  <c:v>4757.0670227605278</c:v>
                </c:pt>
                <c:pt idx="23">
                  <c:v>4758.9167746572384</c:v>
                </c:pt>
                <c:pt idx="24">
                  <c:v>4759.8861586564526</c:v>
                </c:pt>
                <c:pt idx="25">
                  <c:v>4760.6303929426385</c:v>
                </c:pt>
                <c:pt idx="26">
                  <c:v>4761.163623508075</c:v>
                </c:pt>
                <c:pt idx="27">
                  <c:v>4761.6275286612035</c:v>
                </c:pt>
                <c:pt idx="28">
                  <c:v>4762.3040039543812</c:v>
                </c:pt>
                <c:pt idx="29">
                  <c:v>4762.5556034029414</c:v>
                </c:pt>
                <c:pt idx="30">
                  <c:v>4761.818830509912</c:v>
                </c:pt>
                <c:pt idx="31">
                  <c:v>4761.4824871110795</c:v>
                </c:pt>
                <c:pt idx="32">
                  <c:v>4761.5071779339005</c:v>
                </c:pt>
                <c:pt idx="33">
                  <c:v>4761.2733277333646</c:v>
                </c:pt>
                <c:pt idx="34">
                  <c:v>4760.8527443193097</c:v>
                </c:pt>
                <c:pt idx="35">
                  <c:v>4761.168221115875</c:v>
                </c:pt>
                <c:pt idx="36">
                  <c:v>4761.3558416540945</c:v>
                </c:pt>
                <c:pt idx="37">
                  <c:v>4761.4783152372311</c:v>
                </c:pt>
                <c:pt idx="38">
                  <c:v>4761.5489754284472</c:v>
                </c:pt>
                <c:pt idx="39">
                  <c:v>4761.5810880884783</c:v>
                </c:pt>
                <c:pt idx="40">
                  <c:v>4761.5772180407512</c:v>
                </c:pt>
                <c:pt idx="41">
                  <c:v>4761.516652547949</c:v>
                </c:pt>
                <c:pt idx="42">
                  <c:v>4761.4300733100326</c:v>
                </c:pt>
                <c:pt idx="43">
                  <c:v>4761.3976768767097</c:v>
                </c:pt>
                <c:pt idx="44">
                  <c:v>4761.3906093571786</c:v>
                </c:pt>
                <c:pt idx="45">
                  <c:v>4761.3808953091184</c:v>
                </c:pt>
                <c:pt idx="46">
                  <c:v>4761.3898592737642</c:v>
                </c:pt>
                <c:pt idx="47">
                  <c:v>4761.4346188533027</c:v>
                </c:pt>
                <c:pt idx="48">
                  <c:v>4761.4568186647548</c:v>
                </c:pt>
                <c:pt idx="49">
                  <c:v>4761.4652334156435</c:v>
                </c:pt>
                <c:pt idx="50">
                  <c:v>4761.4641432638437</c:v>
                </c:pt>
                <c:pt idx="51">
                  <c:v>4761.4570739167939</c:v>
                </c:pt>
                <c:pt idx="52">
                  <c:v>4761.4467394024869</c:v>
                </c:pt>
                <c:pt idx="53">
                  <c:v>4761.4358661826318</c:v>
                </c:pt>
                <c:pt idx="54">
                  <c:v>4761.4291339855217</c:v>
                </c:pt>
                <c:pt idx="55">
                  <c:v>4761.4290557084787</c:v>
                </c:pt>
                <c:pt idx="56">
                  <c:v>4761.4316706111267</c:v>
                </c:pt>
                <c:pt idx="57">
                  <c:v>4761.4350923822894</c:v>
                </c:pt>
                <c:pt idx="58">
                  <c:v>4761.4396088050526</c:v>
                </c:pt>
                <c:pt idx="59">
                  <c:v>4761.4437545993278</c:v>
                </c:pt>
                <c:pt idx="60">
                  <c:v>4761.4445159114966</c:v>
                </c:pt>
                <c:pt idx="61">
                  <c:v>4761.4434906820579</c:v>
                </c:pt>
                <c:pt idx="62">
                  <c:v>4761.4416787875925</c:v>
                </c:pt>
                <c:pt idx="63">
                  <c:v>4761.4398067479051</c:v>
                </c:pt>
                <c:pt idx="64">
                  <c:v>4761.4383678171635</c:v>
                </c:pt>
                <c:pt idx="65">
                  <c:v>4761.4376701850542</c:v>
                </c:pt>
                <c:pt idx="66">
                  <c:v>4761.4378205185894</c:v>
                </c:pt>
                <c:pt idx="67">
                  <c:v>4761.4385443963438</c:v>
                </c:pt>
                <c:pt idx="68">
                  <c:v>4761.4393351203325</c:v>
                </c:pt>
                <c:pt idx="69">
                  <c:v>4761.4399738294342</c:v>
                </c:pt>
                <c:pt idx="70">
                  <c:v>4761.4403806166956</c:v>
                </c:pt>
                <c:pt idx="71">
                  <c:v>4761.4404449343328</c:v>
                </c:pt>
                <c:pt idx="72">
                  <c:v>4761.4401691289168</c:v>
                </c:pt>
                <c:pt idx="73">
                  <c:v>4761.4398068970349</c:v>
                </c:pt>
                <c:pt idx="74">
                  <c:v>4761.4394999149499</c:v>
                </c:pt>
                <c:pt idx="75">
                  <c:v>4761.4393183422289</c:v>
                </c:pt>
                <c:pt idx="76">
                  <c:v>4761.4392776417562</c:v>
                </c:pt>
                <c:pt idx="77">
                  <c:v>4761.4393534604724</c:v>
                </c:pt>
                <c:pt idx="78">
                  <c:v>4761.4394937334237</c:v>
                </c:pt>
                <c:pt idx="79">
                  <c:v>4761.4396331679936</c:v>
                </c:pt>
                <c:pt idx="80">
                  <c:v>4761.4397238989641</c:v>
                </c:pt>
                <c:pt idx="81">
                  <c:v>4761.4397562971835</c:v>
                </c:pt>
                <c:pt idx="82">
                  <c:v>4761.4397381694962</c:v>
                </c:pt>
                <c:pt idx="83">
                  <c:v>4761.4396846322288</c:v>
                </c:pt>
                <c:pt idx="84">
                  <c:v>4761.4396212737211</c:v>
                </c:pt>
                <c:pt idx="85">
                  <c:v>4761.4395756191207</c:v>
                </c:pt>
                <c:pt idx="86">
                  <c:v>4761.439556345962</c:v>
                </c:pt>
                <c:pt idx="87">
                  <c:v>4761.4395610485462</c:v>
                </c:pt>
                <c:pt idx="88">
                  <c:v>4761.4395812740722</c:v>
                </c:pt>
                <c:pt idx="89">
                  <c:v>4761.4396065767651</c:v>
                </c:pt>
                <c:pt idx="90">
                  <c:v>4761.4396276697898</c:v>
                </c:pt>
                <c:pt idx="91">
                  <c:v>4761.4396388311534</c:v>
                </c:pt>
                <c:pt idx="92">
                  <c:v>4761.4396393030838</c:v>
                </c:pt>
                <c:pt idx="93">
                  <c:v>4761.4396322534267</c:v>
                </c:pt>
                <c:pt idx="94">
                  <c:v>4761.4396219164473</c:v>
                </c:pt>
                <c:pt idx="95">
                  <c:v>4761.4396122286926</c:v>
                </c:pt>
                <c:pt idx="96">
                  <c:v>4761.4396061950647</c:v>
                </c:pt>
                <c:pt idx="97">
                  <c:v>4761.4396049385105</c:v>
                </c:pt>
                <c:pt idx="98">
                  <c:v>4761.4396073817934</c:v>
                </c:pt>
                <c:pt idx="99">
                  <c:v>4761.4396116347789</c:v>
                </c:pt>
                <c:pt idx="100">
                  <c:v>4761.4396158502987</c:v>
                </c:pt>
                <c:pt idx="101">
                  <c:v>4761.4396187316506</c:v>
                </c:pt>
                <c:pt idx="102">
                  <c:v>4761.4396197445576</c:v>
                </c:pt>
                <c:pt idx="103">
                  <c:v>4761.4396190841217</c:v>
                </c:pt>
                <c:pt idx="104">
                  <c:v>4761.4396174385356</c:v>
                </c:pt>
                <c:pt idx="105">
                  <c:v>4761.4396156164894</c:v>
                </c:pt>
                <c:pt idx="106">
                  <c:v>4761.4396142300784</c:v>
                </c:pt>
                <c:pt idx="107">
                  <c:v>4761.4396135895477</c:v>
                </c:pt>
                <c:pt idx="108">
                  <c:v>4761.4396137029526</c:v>
                </c:pt>
                <c:pt idx="109">
                  <c:v>4761.4396143286094</c:v>
                </c:pt>
                <c:pt idx="110">
                  <c:v>4761.4396151111177</c:v>
                </c:pt>
                <c:pt idx="111">
                  <c:v>4761.4396157552283</c:v>
                </c:pt>
                <c:pt idx="112">
                  <c:v>4761.4396160985989</c:v>
                </c:pt>
                <c:pt idx="113">
                  <c:v>4761.4396161192908</c:v>
                </c:pt>
                <c:pt idx="114">
                  <c:v>4761.4396159015942</c:v>
                </c:pt>
                <c:pt idx="115">
                  <c:v>4761.4396155813465</c:v>
                </c:pt>
                <c:pt idx="116">
                  <c:v>4761.4396152894496</c:v>
                </c:pt>
                <c:pt idx="117">
                  <c:v>4761.4396151103592</c:v>
                </c:pt>
                <c:pt idx="118">
                  <c:v>4761.4396150681805</c:v>
                </c:pt>
                <c:pt idx="119">
                  <c:v>4761.4396151380224</c:v>
                </c:pt>
                <c:pt idx="120">
                  <c:v>4761.4396152670624</c:v>
                </c:pt>
                <c:pt idx="121">
                  <c:v>4761.4396153974049</c:v>
                </c:pt>
                <c:pt idx="122">
                  <c:v>4761.4396154864717</c:v>
                </c:pt>
                <c:pt idx="123">
                  <c:v>4761.439615517751</c:v>
                </c:pt>
                <c:pt idx="124">
                  <c:v>4761.4396154979604</c:v>
                </c:pt>
                <c:pt idx="125">
                  <c:v>4761.4396154479073</c:v>
                </c:pt>
                <c:pt idx="126">
                  <c:v>4761.4396153919588</c:v>
                </c:pt>
                <c:pt idx="127">
                  <c:v>4761.439615349489</c:v>
                </c:pt>
                <c:pt idx="128">
                  <c:v>4761.4396153301677</c:v>
                </c:pt>
                <c:pt idx="129">
                  <c:v>4761.439615333562</c:v>
                </c:pt>
                <c:pt idx="130">
                  <c:v>4761.4396153521611</c:v>
                </c:pt>
                <c:pt idx="131">
                  <c:v>4761.4396153758262</c:v>
                </c:pt>
                <c:pt idx="132">
                  <c:v>4761.4396153956441</c:v>
                </c:pt>
                <c:pt idx="133">
                  <c:v>4761.4396154063588</c:v>
                </c:pt>
                <c:pt idx="134">
                  <c:v>4761.4396154071055</c:v>
                </c:pt>
                <c:pt idx="135">
                  <c:v>4761.4396154004917</c:v>
                </c:pt>
                <c:pt idx="136">
                  <c:v>4761.4396153907201</c:v>
                </c:pt>
                <c:pt idx="137">
                  <c:v>4761.4396153817834</c:v>
                </c:pt>
                <c:pt idx="138">
                  <c:v>4761.4396153762718</c:v>
                </c:pt>
                <c:pt idx="139">
                  <c:v>4761.4396153749649</c:v>
                </c:pt>
                <c:pt idx="140">
                  <c:v>4761.4396153770886</c:v>
                </c:pt>
                <c:pt idx="141">
                  <c:v>4761.4396153809976</c:v>
                </c:pt>
                <c:pt idx="142">
                  <c:v>4761.4396153849511</c:v>
                </c:pt>
                <c:pt idx="143">
                  <c:v>4761.4396153876842</c:v>
                </c:pt>
                <c:pt idx="144">
                  <c:v>4761.4396153886719</c:v>
                </c:pt>
                <c:pt idx="145">
                  <c:v>4761.4396153880907</c:v>
                </c:pt>
                <c:pt idx="146">
                  <c:v>4761.4396153865682</c:v>
                </c:pt>
                <c:pt idx="147">
                  <c:v>4761.4396153848575</c:v>
                </c:pt>
                <c:pt idx="148">
                  <c:v>4761.4396153835542</c:v>
                </c:pt>
                <c:pt idx="149">
                  <c:v>4761.4396153829566</c:v>
                </c:pt>
                <c:pt idx="150">
                  <c:v>4761.4396153830548</c:v>
                </c:pt>
                <c:pt idx="151">
                  <c:v>4761.4396153836205</c:v>
                </c:pt>
                <c:pt idx="152">
                  <c:v>4761.4396153843409</c:v>
                </c:pt>
                <c:pt idx="153">
                  <c:v>4761.4396153849457</c:v>
                </c:pt>
                <c:pt idx="154">
                  <c:v>4761.439615385274</c:v>
                </c:pt>
                <c:pt idx="155">
                  <c:v>4761.4396153853013</c:v>
                </c:pt>
                <c:pt idx="156">
                  <c:v>4761.439615385103</c:v>
                </c:pt>
                <c:pt idx="157">
                  <c:v>4761.4396153848056</c:v>
                </c:pt>
                <c:pt idx="158">
                  <c:v>4761.4396153845319</c:v>
                </c:pt>
                <c:pt idx="159">
                  <c:v>4761.4396153843627</c:v>
                </c:pt>
                <c:pt idx="160">
                  <c:v>4761.4396153843209</c:v>
                </c:pt>
                <c:pt idx="161">
                  <c:v>4761.4396153843845</c:v>
                </c:pt>
                <c:pt idx="162">
                  <c:v>4761.4396153845037</c:v>
                </c:pt>
                <c:pt idx="163">
                  <c:v>4761.4396153846246</c:v>
                </c:pt>
                <c:pt idx="164">
                  <c:v>4761.4396153847083</c:v>
                </c:pt>
                <c:pt idx="165">
                  <c:v>4761.4396153847392</c:v>
                </c:pt>
                <c:pt idx="166">
                  <c:v>4761.439615384721</c:v>
                </c:pt>
                <c:pt idx="167">
                  <c:v>4761.4396153846756</c:v>
                </c:pt>
                <c:pt idx="168">
                  <c:v>4761.4396153846228</c:v>
                </c:pt>
                <c:pt idx="169">
                  <c:v>4761.4396153845828</c:v>
                </c:pt>
                <c:pt idx="170">
                  <c:v>4761.4396153845646</c:v>
                </c:pt>
                <c:pt idx="171">
                  <c:v>4761.4396153845682</c:v>
                </c:pt>
                <c:pt idx="172">
                  <c:v>4761.4396153845846</c:v>
                </c:pt>
                <c:pt idx="173">
                  <c:v>4761.4396153846064</c:v>
                </c:pt>
                <c:pt idx="174">
                  <c:v>4761.4396153846255</c:v>
                </c:pt>
                <c:pt idx="175">
                  <c:v>4761.4396153846355</c:v>
                </c:pt>
                <c:pt idx="176">
                  <c:v>4761.4396153846365</c:v>
                </c:pt>
                <c:pt idx="177">
                  <c:v>4761.4396153846301</c:v>
                </c:pt>
                <c:pt idx="178">
                  <c:v>4761.439615384621</c:v>
                </c:pt>
                <c:pt idx="179">
                  <c:v>4761.4396153846128</c:v>
                </c:pt>
                <c:pt idx="180">
                  <c:v>4761.4396153846083</c:v>
                </c:pt>
                <c:pt idx="181">
                  <c:v>4761.4396153846064</c:v>
                </c:pt>
                <c:pt idx="182">
                  <c:v>4761.4396153846083</c:v>
                </c:pt>
                <c:pt idx="183">
                  <c:v>4761.4396153846119</c:v>
                </c:pt>
                <c:pt idx="184">
                  <c:v>4761.4396153846155</c:v>
                </c:pt>
                <c:pt idx="185">
                  <c:v>4761.4396153846183</c:v>
                </c:pt>
                <c:pt idx="186">
                  <c:v>4761.4396153846192</c:v>
                </c:pt>
                <c:pt idx="187">
                  <c:v>4761.4396153846192</c:v>
                </c:pt>
                <c:pt idx="188">
                  <c:v>4761.4396153846174</c:v>
                </c:pt>
                <c:pt idx="189">
                  <c:v>4761.4396153846155</c:v>
                </c:pt>
                <c:pt idx="190">
                  <c:v>4761.4396153846146</c:v>
                </c:pt>
                <c:pt idx="191">
                  <c:v>4761.4396153846137</c:v>
                </c:pt>
                <c:pt idx="192">
                  <c:v>4761.4396153846137</c:v>
                </c:pt>
                <c:pt idx="193">
                  <c:v>4761.4396153846146</c:v>
                </c:pt>
                <c:pt idx="194">
                  <c:v>4761.4396153846155</c:v>
                </c:pt>
                <c:pt idx="195">
                  <c:v>4761.4396153846155</c:v>
                </c:pt>
                <c:pt idx="196">
                  <c:v>4761.4396153846155</c:v>
                </c:pt>
                <c:pt idx="197">
                  <c:v>4761.4396153846155</c:v>
                </c:pt>
                <c:pt idx="198">
                  <c:v>4761.4396153846155</c:v>
                </c:pt>
                <c:pt idx="199">
                  <c:v>4761.4396153846155</c:v>
                </c:pt>
                <c:pt idx="200">
                  <c:v>4761.4396153846155</c:v>
                </c:pt>
                <c:pt idx="201">
                  <c:v>4761.4396153846155</c:v>
                </c:pt>
                <c:pt idx="202">
                  <c:v>4761.4396153846155</c:v>
                </c:pt>
                <c:pt idx="203">
                  <c:v>4761.4396153846155</c:v>
                </c:pt>
                <c:pt idx="204">
                  <c:v>4761.4396153846155</c:v>
                </c:pt>
                <c:pt idx="205">
                  <c:v>4761.4396153846155</c:v>
                </c:pt>
                <c:pt idx="206">
                  <c:v>4761.4396153846155</c:v>
                </c:pt>
                <c:pt idx="207">
                  <c:v>4761.4396153846155</c:v>
                </c:pt>
                <c:pt idx="208">
                  <c:v>4761.4396153846155</c:v>
                </c:pt>
                <c:pt idx="209">
                  <c:v>4761.4396153846155</c:v>
                </c:pt>
                <c:pt idx="210">
                  <c:v>4761.4396153846155</c:v>
                </c:pt>
                <c:pt idx="211">
                  <c:v>4761.4396153846155</c:v>
                </c:pt>
                <c:pt idx="212">
                  <c:v>4761.4396153846155</c:v>
                </c:pt>
                <c:pt idx="213">
                  <c:v>4761.4396153846155</c:v>
                </c:pt>
                <c:pt idx="214">
                  <c:v>4761.4396153846155</c:v>
                </c:pt>
                <c:pt idx="215">
                  <c:v>4761.4396153846155</c:v>
                </c:pt>
                <c:pt idx="216">
                  <c:v>4761.4396153846155</c:v>
                </c:pt>
                <c:pt idx="217">
                  <c:v>4761.4396153846155</c:v>
                </c:pt>
                <c:pt idx="218">
                  <c:v>4761.4396153846155</c:v>
                </c:pt>
                <c:pt idx="219">
                  <c:v>4761.4396153846155</c:v>
                </c:pt>
                <c:pt idx="220">
                  <c:v>4761.4396153846155</c:v>
                </c:pt>
                <c:pt idx="221">
                  <c:v>4761.4396153846155</c:v>
                </c:pt>
                <c:pt idx="222">
                  <c:v>4761.4396153846155</c:v>
                </c:pt>
                <c:pt idx="223">
                  <c:v>4761.4396153846155</c:v>
                </c:pt>
                <c:pt idx="224">
                  <c:v>4761.4396153846155</c:v>
                </c:pt>
                <c:pt idx="225">
                  <c:v>4761.4396153846155</c:v>
                </c:pt>
                <c:pt idx="226">
                  <c:v>4761.4396153846155</c:v>
                </c:pt>
                <c:pt idx="227">
                  <c:v>4761.4396153846155</c:v>
                </c:pt>
                <c:pt idx="228">
                  <c:v>4761.4396153846155</c:v>
                </c:pt>
                <c:pt idx="229">
                  <c:v>4761.4396153846155</c:v>
                </c:pt>
                <c:pt idx="230">
                  <c:v>4761.4396153846155</c:v>
                </c:pt>
                <c:pt idx="231">
                  <c:v>4761.4396153846155</c:v>
                </c:pt>
                <c:pt idx="232">
                  <c:v>4761.4396153846155</c:v>
                </c:pt>
                <c:pt idx="233">
                  <c:v>4761.4396153846155</c:v>
                </c:pt>
                <c:pt idx="234">
                  <c:v>4761.4396153846155</c:v>
                </c:pt>
                <c:pt idx="235">
                  <c:v>4761.4396153846155</c:v>
                </c:pt>
                <c:pt idx="236">
                  <c:v>4761.4396153846155</c:v>
                </c:pt>
                <c:pt idx="237">
                  <c:v>4761.4396153846155</c:v>
                </c:pt>
                <c:pt idx="238">
                  <c:v>4761.4396153846155</c:v>
                </c:pt>
                <c:pt idx="239">
                  <c:v>4761.4396153846155</c:v>
                </c:pt>
                <c:pt idx="240">
                  <c:v>4761.4396153846155</c:v>
                </c:pt>
                <c:pt idx="241">
                  <c:v>4761.4396153846155</c:v>
                </c:pt>
                <c:pt idx="242">
                  <c:v>4761.4396153846155</c:v>
                </c:pt>
                <c:pt idx="243">
                  <c:v>4761.4396153846155</c:v>
                </c:pt>
                <c:pt idx="244">
                  <c:v>4761.4396153846155</c:v>
                </c:pt>
                <c:pt idx="245">
                  <c:v>4761.4396153846155</c:v>
                </c:pt>
                <c:pt idx="246">
                  <c:v>4761.4396153846155</c:v>
                </c:pt>
                <c:pt idx="247">
                  <c:v>4761.4396153846155</c:v>
                </c:pt>
                <c:pt idx="248">
                  <c:v>4761.4396153846155</c:v>
                </c:pt>
                <c:pt idx="249">
                  <c:v>4761.4396153846155</c:v>
                </c:pt>
                <c:pt idx="250">
                  <c:v>4761.4396153846155</c:v>
                </c:pt>
                <c:pt idx="251">
                  <c:v>4761.4396153846155</c:v>
                </c:pt>
                <c:pt idx="252">
                  <c:v>4761.4396153846155</c:v>
                </c:pt>
                <c:pt idx="253">
                  <c:v>4761.4396153846155</c:v>
                </c:pt>
                <c:pt idx="254">
                  <c:v>4761.4396153846155</c:v>
                </c:pt>
                <c:pt idx="255">
                  <c:v>4761.4396153846155</c:v>
                </c:pt>
                <c:pt idx="256">
                  <c:v>4761.4396153846155</c:v>
                </c:pt>
                <c:pt idx="257">
                  <c:v>4761.4396153846155</c:v>
                </c:pt>
                <c:pt idx="258">
                  <c:v>4761.4396153846155</c:v>
                </c:pt>
                <c:pt idx="259">
                  <c:v>4761.4396153846155</c:v>
                </c:pt>
                <c:pt idx="260">
                  <c:v>4761.4396153846155</c:v>
                </c:pt>
                <c:pt idx="261">
                  <c:v>4761.4396153846155</c:v>
                </c:pt>
                <c:pt idx="262">
                  <c:v>4761.4396153846155</c:v>
                </c:pt>
                <c:pt idx="263">
                  <c:v>4761.4396153846155</c:v>
                </c:pt>
                <c:pt idx="264">
                  <c:v>4761.4396153846155</c:v>
                </c:pt>
                <c:pt idx="265">
                  <c:v>4761.4396153846155</c:v>
                </c:pt>
                <c:pt idx="266">
                  <c:v>4761.4396153846155</c:v>
                </c:pt>
                <c:pt idx="267">
                  <c:v>4761.4396153846155</c:v>
                </c:pt>
                <c:pt idx="268">
                  <c:v>4761.4396153846155</c:v>
                </c:pt>
                <c:pt idx="269">
                  <c:v>4761.4396153846155</c:v>
                </c:pt>
                <c:pt idx="270">
                  <c:v>4761.4396153846155</c:v>
                </c:pt>
                <c:pt idx="271">
                  <c:v>4761.4396153846155</c:v>
                </c:pt>
                <c:pt idx="272">
                  <c:v>4761.4396153846155</c:v>
                </c:pt>
                <c:pt idx="273">
                  <c:v>4761.4396153846155</c:v>
                </c:pt>
                <c:pt idx="274">
                  <c:v>4761.4396153846155</c:v>
                </c:pt>
                <c:pt idx="275">
                  <c:v>4761.4396153846155</c:v>
                </c:pt>
                <c:pt idx="276">
                  <c:v>4761.4396153846155</c:v>
                </c:pt>
                <c:pt idx="277">
                  <c:v>4761.4396153846155</c:v>
                </c:pt>
                <c:pt idx="278">
                  <c:v>4761.4396153846155</c:v>
                </c:pt>
                <c:pt idx="279">
                  <c:v>4761.4396153846155</c:v>
                </c:pt>
                <c:pt idx="280">
                  <c:v>4761.4396153846155</c:v>
                </c:pt>
                <c:pt idx="281">
                  <c:v>4761.4396153846155</c:v>
                </c:pt>
                <c:pt idx="282">
                  <c:v>4761.4396153846155</c:v>
                </c:pt>
                <c:pt idx="283">
                  <c:v>4761.4396153846155</c:v>
                </c:pt>
                <c:pt idx="284">
                  <c:v>4761.4396153846155</c:v>
                </c:pt>
                <c:pt idx="285">
                  <c:v>4761.4396153846155</c:v>
                </c:pt>
                <c:pt idx="286">
                  <c:v>4761.4396153846155</c:v>
                </c:pt>
                <c:pt idx="287">
                  <c:v>4761.4396153846155</c:v>
                </c:pt>
                <c:pt idx="288">
                  <c:v>4761.4396153846155</c:v>
                </c:pt>
                <c:pt idx="289">
                  <c:v>4761.4396153846155</c:v>
                </c:pt>
                <c:pt idx="290">
                  <c:v>4761.4396153846155</c:v>
                </c:pt>
                <c:pt idx="291">
                  <c:v>4761.4396153846155</c:v>
                </c:pt>
                <c:pt idx="292">
                  <c:v>4761.4396153846155</c:v>
                </c:pt>
                <c:pt idx="293">
                  <c:v>4761.4396153846155</c:v>
                </c:pt>
                <c:pt idx="294">
                  <c:v>4761.4396153846155</c:v>
                </c:pt>
              </c:numCache>
            </c:numRef>
          </c:val>
        </c:ser>
        <c:ser>
          <c:idx val="1"/>
          <c:order val="1"/>
          <c:tx>
            <c:strRef>
              <c:f>Data!$AV$13</c:f>
              <c:strCache>
                <c:ptCount val="1"/>
                <c:pt idx="0">
                  <c:v>Previous Year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Data!$D$20:$D$31</c:f>
              <c:numCache>
                <c:formatCode>m/d/yyyy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Data!$AV$20:$AV$31</c:f>
              <c:numCache>
                <c:formatCode>#,##0.00_);[Red]\(#,##0.00\)</c:formatCode>
                <c:ptCount val="12"/>
                <c:pt idx="6">
                  <c:v>3468.83</c:v>
                </c:pt>
                <c:pt idx="7">
                  <c:v>1387.22</c:v>
                </c:pt>
                <c:pt idx="8">
                  <c:v>1325.67</c:v>
                </c:pt>
                <c:pt idx="9">
                  <c:v>2697.3</c:v>
                </c:pt>
                <c:pt idx="10">
                  <c:v>3455.39</c:v>
                </c:pt>
                <c:pt idx="11">
                  <c:v>1059.0900000000001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1119040"/>
        <c:axId val="471119432"/>
      </c:barChart>
      <c:lineChart>
        <c:grouping val="standard"/>
        <c:varyColors val="0"/>
        <c:ser>
          <c:idx val="2"/>
          <c:order val="2"/>
          <c:tx>
            <c:strRef>
              <c:f>Data!$AR$320</c:f>
              <c:strCache>
                <c:ptCount val="1"/>
                <c:pt idx="0">
                  <c:v>Monthly Average Expenses (since 2016ish)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Data!$AR$324:$AR$335</c:f>
              <c:numCache>
                <c:formatCode>0.00_);[Red]\(0.00\)</c:formatCode>
                <c:ptCount val="12"/>
                <c:pt idx="0">
                  <c:v>2893.73</c:v>
                </c:pt>
                <c:pt idx="1">
                  <c:v>1973.96</c:v>
                </c:pt>
                <c:pt idx="2">
                  <c:v>3019.61</c:v>
                </c:pt>
                <c:pt idx="3">
                  <c:v>4752.0200000000004</c:v>
                </c:pt>
                <c:pt idx="4">
                  <c:v>5406.63</c:v>
                </c:pt>
                <c:pt idx="5">
                  <c:v>5955.16</c:v>
                </c:pt>
                <c:pt idx="6">
                  <c:v>4673.4449999999997</c:v>
                </c:pt>
                <c:pt idx="7">
                  <c:v>4009.0450000000001</c:v>
                </c:pt>
                <c:pt idx="8">
                  <c:v>3380.0049999999997</c:v>
                </c:pt>
                <c:pt idx="9">
                  <c:v>3619.7900000000004</c:v>
                </c:pt>
                <c:pt idx="10">
                  <c:v>4286.0150000000003</c:v>
                </c:pt>
                <c:pt idx="11">
                  <c:v>2741.8820833333334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Data!$AS$320</c:f>
              <c:strCache>
                <c:ptCount val="1"/>
                <c:pt idx="0">
                  <c:v>Overall Average per Month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Data!$AS$321:$AS$332</c:f>
              <c:numCache>
                <c:formatCode>0.00_);[Red]\(0.00\)</c:formatCode>
                <c:ptCount val="12"/>
                <c:pt idx="0">
                  <c:v>3892.6076736111113</c:v>
                </c:pt>
                <c:pt idx="1">
                  <c:v>3892.6076736111113</c:v>
                </c:pt>
                <c:pt idx="2">
                  <c:v>3892.6076736111113</c:v>
                </c:pt>
                <c:pt idx="3">
                  <c:v>3892.6076736111113</c:v>
                </c:pt>
                <c:pt idx="4">
                  <c:v>3892.6076736111113</c:v>
                </c:pt>
                <c:pt idx="5">
                  <c:v>3892.6076736111113</c:v>
                </c:pt>
                <c:pt idx="6">
                  <c:v>3892.6076736111113</c:v>
                </c:pt>
                <c:pt idx="7">
                  <c:v>3892.6076736111113</c:v>
                </c:pt>
                <c:pt idx="8">
                  <c:v>3892.6076736111113</c:v>
                </c:pt>
                <c:pt idx="9">
                  <c:v>3892.6076736111113</c:v>
                </c:pt>
                <c:pt idx="10">
                  <c:v>3892.6076736111113</c:v>
                </c:pt>
                <c:pt idx="11">
                  <c:v>3892.6076736111113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Data!$AT$320</c:f>
              <c:strCache>
                <c:ptCount val="1"/>
                <c:pt idx="0">
                  <c:v>Target Average per Month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Data!$AT$321:$AT$332</c:f>
              <c:numCache>
                <c:formatCode>0.00_);[Red]\(0.00\)</c:formatCode>
                <c:ptCount val="12"/>
                <c:pt idx="0">
                  <c:v>3765.8050000000003</c:v>
                </c:pt>
                <c:pt idx="1">
                  <c:v>3765.8050000000003</c:v>
                </c:pt>
                <c:pt idx="2">
                  <c:v>3765.8050000000003</c:v>
                </c:pt>
                <c:pt idx="3">
                  <c:v>3765.8050000000003</c:v>
                </c:pt>
                <c:pt idx="4">
                  <c:v>3765.8050000000003</c:v>
                </c:pt>
                <c:pt idx="5">
                  <c:v>3765.8050000000003</c:v>
                </c:pt>
                <c:pt idx="6">
                  <c:v>3765.8050000000003</c:v>
                </c:pt>
                <c:pt idx="7">
                  <c:v>3765.8050000000003</c:v>
                </c:pt>
                <c:pt idx="8">
                  <c:v>3765.8050000000003</c:v>
                </c:pt>
                <c:pt idx="9">
                  <c:v>3765.8050000000003</c:v>
                </c:pt>
                <c:pt idx="10">
                  <c:v>3765.8050000000003</c:v>
                </c:pt>
                <c:pt idx="11">
                  <c:v>3765.8050000000003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19040"/>
        <c:axId val="471119432"/>
      </c:lineChart>
      <c:dateAx>
        <c:axId val="471119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9432"/>
        <c:crosses val="autoZero"/>
        <c:auto val="1"/>
        <c:lblOffset val="100"/>
        <c:baseTimeUnit val="months"/>
      </c:dateAx>
      <c:valAx>
        <c:axId val="4711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Current and Simulated Portfolio Growth and Target for FI (might be hidden)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Data!$CF$13</c:f>
              <c:strCache>
                <c:ptCount val="1"/>
                <c:pt idx="0">
                  <c:v>Portfolio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00"/>
            <c:dispRSqr val="1"/>
            <c:dispEq val="1"/>
            <c:trendlineLbl>
              <c:layout>
                <c:manualLayout>
                  <c:x val="-0.17314986770335558"/>
                  <c:y val="1.96856898644503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</c:numCache>
            </c:numRef>
          </c:cat>
          <c:val>
            <c:numRef>
              <c:f>Data!$CF$14:$CF$315</c:f>
              <c:numCache>
                <c:formatCode>#,##0.00_);[Red]\(#,##0.00\)</c:formatCode>
                <c:ptCount val="302"/>
                <c:pt idx="0">
                  <c:v>51888.319999999992</c:v>
                </c:pt>
                <c:pt idx="1">
                  <c:v>51955.906666666662</c:v>
                </c:pt>
                <c:pt idx="2">
                  <c:v>53555.903333333335</c:v>
                </c:pt>
                <c:pt idx="3">
                  <c:v>54308.34</c:v>
                </c:pt>
                <c:pt idx="4">
                  <c:v>56007.28833333333</c:v>
                </c:pt>
                <c:pt idx="5">
                  <c:v>57705.356666666667</c:v>
                </c:pt>
                <c:pt idx="6">
                  <c:v>58545.490000000005</c:v>
                </c:pt>
                <c:pt idx="7">
                  <c:v>60512.599999999991</c:v>
                </c:pt>
                <c:pt idx="8">
                  <c:v>63226.560000000005</c:v>
                </c:pt>
                <c:pt idx="9">
                  <c:v>64807.44</c:v>
                </c:pt>
                <c:pt idx="10">
                  <c:v>67114.259999999995</c:v>
                </c:pt>
                <c:pt idx="11">
                  <c:v>68801.73</c:v>
                </c:pt>
                <c:pt idx="12">
                  <c:v>71664.84</c:v>
                </c:pt>
                <c:pt idx="13">
                  <c:v>71840.186666666661</c:v>
                </c:pt>
                <c:pt idx="14">
                  <c:v>75972.923333333325</c:v>
                </c:pt>
                <c:pt idx="15">
                  <c:v>78887.81</c:v>
                </c:pt>
                <c:pt idx="16">
                  <c:v>84719.33176666667</c:v>
                </c:pt>
                <c:pt idx="17">
                  <c:v>86016.643533333336</c:v>
                </c:pt>
                <c:pt idx="18">
                  <c:v>87712.34599999999</c:v>
                </c:pt>
                <c:pt idx="19">
                  <c:v>89417.454540833336</c:v>
                </c:pt>
                <c:pt idx="20">
                  <c:v>91131.79908626285</c:v>
                </c:pt>
                <c:pt idx="21">
                  <c:v>92855.42966464677</c:v>
                </c:pt>
                <c:pt idx="22">
                  <c:v>94996.729908663605</c:v>
                </c:pt>
                <c:pt idx="23">
                  <c:v>97149.62886233555</c:v>
                </c:pt>
                <c:pt idx="24">
                  <c:v>99314.189352006535</c:v>
                </c:pt>
                <c:pt idx="25">
                  <c:v>101490.4745443299</c:v>
                </c:pt>
                <c:pt idx="26">
                  <c:v>103678.54794811169</c:v>
                </c:pt>
                <c:pt idx="27">
                  <c:v>105878.47341616395</c:v>
                </c:pt>
                <c:pt idx="28">
                  <c:v>108090.31514716819</c:v>
                </c:pt>
                <c:pt idx="29">
                  <c:v>110314.13768754869</c:v>
                </c:pt>
                <c:pt idx="30">
                  <c:v>112550.00593335622</c:v>
                </c:pt>
                <c:pt idx="31">
                  <c:v>114797.98513216192</c:v>
                </c:pt>
                <c:pt idx="32">
                  <c:v>117058.14088496113</c:v>
                </c:pt>
                <c:pt idx="33">
                  <c:v>119330.53914808799</c:v>
                </c:pt>
                <c:pt idx="34">
                  <c:v>121615.24623514012</c:v>
                </c:pt>
                <c:pt idx="35">
                  <c:v>123912.32881891381</c:v>
                </c:pt>
                <c:pt idx="36">
                  <c:v>126221.8539333496</c:v>
                </c:pt>
                <c:pt idx="37">
                  <c:v>128543.88897548856</c:v>
                </c:pt>
                <c:pt idx="38">
                  <c:v>130878.50170743914</c:v>
                </c:pt>
                <c:pt idx="39">
                  <c:v>98114.325234224947</c:v>
                </c:pt>
                <c:pt idx="40">
                  <c:v>100284.11116257701</c:v>
                </c:pt>
                <c:pt idx="41">
                  <c:v>102465.65009804096</c:v>
                </c:pt>
                <c:pt idx="42">
                  <c:v>104659.00570273871</c:v>
                </c:pt>
                <c:pt idx="43">
                  <c:v>106864.24198362853</c:v>
                </c:pt>
                <c:pt idx="44">
                  <c:v>109081.42329437318</c:v>
                </c:pt>
                <c:pt idx="45">
                  <c:v>115109.78433721769</c:v>
                </c:pt>
                <c:pt idx="46">
                  <c:v>121170.79900237764</c:v>
                </c:pt>
                <c:pt idx="47">
                  <c:v>127264.64416364052</c:v>
                </c:pt>
                <c:pt idx="48">
                  <c:v>133391.49765286024</c:v>
                </c:pt>
                <c:pt idx="49">
                  <c:v>139551.53826514655</c:v>
                </c:pt>
                <c:pt idx="50">
                  <c:v>145744.94576408275</c:v>
                </c:pt>
                <c:pt idx="51">
                  <c:v>151971.90088697156</c:v>
                </c:pt>
                <c:pt idx="52">
                  <c:v>158232.58535010929</c:v>
                </c:pt>
                <c:pt idx="53">
                  <c:v>164527.18185408902</c:v>
                </c:pt>
                <c:pt idx="54">
                  <c:v>170855.87408913203</c:v>
                </c:pt>
                <c:pt idx="55">
                  <c:v>177218.84674044818</c:v>
                </c:pt>
                <c:pt idx="56">
                  <c:v>183616.28549362559</c:v>
                </c:pt>
                <c:pt idx="57">
                  <c:v>190048.37704004941</c:v>
                </c:pt>
                <c:pt idx="58">
                  <c:v>196515.30908234968</c:v>
                </c:pt>
                <c:pt idx="59">
                  <c:v>203017.27033987903</c:v>
                </c:pt>
                <c:pt idx="60">
                  <c:v>209554.45055422003</c:v>
                </c:pt>
                <c:pt idx="61">
                  <c:v>216127.04049472205</c:v>
                </c:pt>
                <c:pt idx="62">
                  <c:v>222735.23196406852</c:v>
                </c:pt>
                <c:pt idx="63">
                  <c:v>229379.21780387382</c:v>
                </c:pt>
                <c:pt idx="64">
                  <c:v>236059.1919003115</c:v>
                </c:pt>
                <c:pt idx="65">
                  <c:v>242775.34918977151</c:v>
                </c:pt>
                <c:pt idx="66">
                  <c:v>249527.88566454942</c:v>
                </c:pt>
                <c:pt idx="67">
                  <c:v>256316.99837856574</c:v>
                </c:pt>
                <c:pt idx="68">
                  <c:v>263142.88545311627</c:v>
                </c:pt>
                <c:pt idx="69">
                  <c:v>270005.74608265399</c:v>
                </c:pt>
                <c:pt idx="70">
                  <c:v>276905.7805406017</c:v>
                </c:pt>
                <c:pt idx="71">
                  <c:v>283843.19018519664</c:v>
                </c:pt>
                <c:pt idx="72">
                  <c:v>290818.17746536649</c:v>
                </c:pt>
                <c:pt idx="73">
                  <c:v>297830.94592663721</c:v>
                </c:pt>
                <c:pt idx="74">
                  <c:v>304881.70021707314</c:v>
                </c:pt>
                <c:pt idx="75">
                  <c:v>311970.64609324897</c:v>
                </c:pt>
                <c:pt idx="76">
                  <c:v>319097.99042625405</c:v>
                </c:pt>
                <c:pt idx="77">
                  <c:v>326263.94120772957</c:v>
                </c:pt>
                <c:pt idx="78">
                  <c:v>333468.70755593816</c:v>
                </c:pt>
                <c:pt idx="79">
                  <c:v>340712.4997218661</c:v>
                </c:pt>
                <c:pt idx="80">
                  <c:v>347995.52909535961</c:v>
                </c:pt>
                <c:pt idx="81">
                  <c:v>355318.00821129279</c:v>
                </c:pt>
                <c:pt idx="82">
                  <c:v>362680.15075577062</c:v>
                </c:pt>
                <c:pt idx="83">
                  <c:v>370082.1715723644</c:v>
                </c:pt>
                <c:pt idx="84">
                  <c:v>377524.2866683813</c:v>
                </c:pt>
                <c:pt idx="85">
                  <c:v>385006.71322116844</c:v>
                </c:pt>
                <c:pt idx="86">
                  <c:v>392529.66958444973</c:v>
                </c:pt>
                <c:pt idx="87">
                  <c:v>400093.37529469887</c:v>
                </c:pt>
                <c:pt idx="88">
                  <c:v>407698.0510775451</c:v>
                </c:pt>
                <c:pt idx="89">
                  <c:v>415343.91885421512</c:v>
                </c:pt>
                <c:pt idx="90">
                  <c:v>423031.20174800878</c:v>
                </c:pt>
                <c:pt idx="91">
                  <c:v>430760.12409081054</c:v>
                </c:pt>
                <c:pt idx="92">
                  <c:v>438530.91142963571</c:v>
                </c:pt>
                <c:pt idx="93">
                  <c:v>446343.79053321283</c:v>
                </c:pt>
                <c:pt idx="94">
                  <c:v>454198.98939860117</c:v>
                </c:pt>
                <c:pt idx="95">
                  <c:v>462096.7372578436</c:v>
                </c:pt>
                <c:pt idx="96">
                  <c:v>470037.26458465686</c:v>
                </c:pt>
                <c:pt idx="97">
                  <c:v>478020.80310115707</c:v>
                </c:pt>
                <c:pt idx="98">
                  <c:v>486047.58578462165</c:v>
                </c:pt>
                <c:pt idx="99">
                  <c:v>494117.8468742884</c:v>
                </c:pt>
                <c:pt idx="100">
                  <c:v>503531.82187819085</c:v>
                </c:pt>
                <c:pt idx="101">
                  <c:v>512996.78924669762</c:v>
                </c:pt>
                <c:pt idx="102">
                  <c:v>522513.02518845064</c:v>
                </c:pt>
                <c:pt idx="103">
                  <c:v>532080.80740822142</c:v>
                </c:pt>
                <c:pt idx="104">
                  <c:v>541700.41511501593</c:v>
                </c:pt>
                <c:pt idx="105">
                  <c:v>551372.12903022231</c:v>
                </c:pt>
                <c:pt idx="106">
                  <c:v>561096.23139580258</c:v>
                </c:pt>
                <c:pt idx="107">
                  <c:v>570873.00598252984</c:v>
                </c:pt>
                <c:pt idx="108">
                  <c:v>580702.73809826863</c:v>
                </c:pt>
                <c:pt idx="109">
                  <c:v>590585.71459630097</c:v>
                </c:pt>
                <c:pt idx="110">
                  <c:v>600522.22388369753</c:v>
                </c:pt>
                <c:pt idx="111">
                  <c:v>610512.55592973426</c:v>
                </c:pt>
                <c:pt idx="112">
                  <c:v>620557.00227435364</c:v>
                </c:pt>
                <c:pt idx="113">
                  <c:v>630655.85603667307</c:v>
                </c:pt>
                <c:pt idx="114">
                  <c:v>640809.41192353843</c:v>
                </c:pt>
                <c:pt idx="115">
                  <c:v>651017.96623812418</c:v>
                </c:pt>
                <c:pt idx="116">
                  <c:v>661281.81688858068</c:v>
                </c:pt>
                <c:pt idx="117">
                  <c:v>671601.26339672727</c:v>
                </c:pt>
                <c:pt idx="118">
                  <c:v>681976.60690679285</c:v>
                </c:pt>
                <c:pt idx="119">
                  <c:v>692408.15019420453</c:v>
                </c:pt>
                <c:pt idx="120">
                  <c:v>702896.19767442311</c:v>
                </c:pt>
                <c:pt idx="121">
                  <c:v>713441.05541182624</c:v>
                </c:pt>
                <c:pt idx="122">
                  <c:v>724043.03112864052</c:v>
                </c:pt>
                <c:pt idx="123">
                  <c:v>734702.4342139205</c:v>
                </c:pt>
                <c:pt idx="124">
                  <c:v>745419.57573257911</c:v>
                </c:pt>
                <c:pt idx="125">
                  <c:v>756194.768434464</c:v>
                </c:pt>
                <c:pt idx="126">
                  <c:v>767028.32676348404</c:v>
                </c:pt>
                <c:pt idx="127">
                  <c:v>777920.56686678634</c:v>
                </c:pt>
                <c:pt idx="128">
                  <c:v>788871.80660398141</c:v>
                </c:pt>
                <c:pt idx="129">
                  <c:v>799882.36555641959</c:v>
                </c:pt>
                <c:pt idx="130">
                  <c:v>810952.56503651687</c:v>
                </c:pt>
                <c:pt idx="131">
                  <c:v>822082.72809713136</c:v>
                </c:pt>
                <c:pt idx="132">
                  <c:v>833273.17954099074</c:v>
                </c:pt>
                <c:pt idx="133">
                  <c:v>844524.24593017122</c:v>
                </c:pt>
                <c:pt idx="134">
                  <c:v>855836.25559562631</c:v>
                </c:pt>
                <c:pt idx="135">
                  <c:v>867209.53864676936</c:v>
                </c:pt>
                <c:pt idx="136">
                  <c:v>878644.42698110605</c:v>
                </c:pt>
                <c:pt idx="137">
                  <c:v>890141.25429392024</c:v>
                </c:pt>
                <c:pt idx="138">
                  <c:v>901700.35608801222</c:v>
                </c:pt>
                <c:pt idx="139">
                  <c:v>913322.06968348916</c:v>
                </c:pt>
                <c:pt idx="140">
                  <c:v>925006.73422760784</c:v>
                </c:pt>
                <c:pt idx="141">
                  <c:v>936754.69070467434</c:v>
                </c:pt>
                <c:pt idx="142">
                  <c:v>948566.28194599121</c:v>
                </c:pt>
                <c:pt idx="143">
                  <c:v>960441.85263986548</c:v>
                </c:pt>
                <c:pt idx="144">
                  <c:v>972381.7493416646</c:v>
                </c:pt>
                <c:pt idx="145">
                  <c:v>984386.32048393216</c:v>
                </c:pt>
                <c:pt idx="146">
                  <c:v>996455.91638655332</c:v>
                </c:pt>
                <c:pt idx="147">
                  <c:v>1008590.8892669805</c:v>
                </c:pt>
                <c:pt idx="148">
                  <c:v>1020791.5932505102</c:v>
                </c:pt>
                <c:pt idx="149">
                  <c:v>1033058.3843806169</c:v>
                </c:pt>
                <c:pt idx="150">
                  <c:v>1045391.6206293453</c:v>
                </c:pt>
                <c:pt idx="151">
                  <c:v>1057791.6619077541</c:v>
                </c:pt>
                <c:pt idx="152">
                  <c:v>1070258.8700764212</c:v>
                </c:pt>
                <c:pt idx="153">
                  <c:v>1082793.6089560019</c:v>
                </c:pt>
                <c:pt idx="154">
                  <c:v>1095396.2443378468</c:v>
                </c:pt>
                <c:pt idx="155">
                  <c:v>1108067.1439946769</c:v>
                </c:pt>
                <c:pt idx="156">
                  <c:v>1120806.6776913148</c:v>
                </c:pt>
                <c:pt idx="157">
                  <c:v>1133615.2171954759</c:v>
                </c:pt>
                <c:pt idx="158">
                  <c:v>1146493.136288618</c:v>
                </c:pt>
                <c:pt idx="159">
                  <c:v>1159440.8107768483</c:v>
                </c:pt>
                <c:pt idx="160">
                  <c:v>1172458.6185018895</c:v>
                </c:pt>
                <c:pt idx="161">
                  <c:v>1185546.9393521082</c:v>
                </c:pt>
                <c:pt idx="162">
                  <c:v>1198706.1552735986</c:v>
                </c:pt>
                <c:pt idx="163">
                  <c:v>1211936.6502813308</c:v>
                </c:pt>
                <c:pt idx="164">
                  <c:v>1225238.8104703547</c:v>
                </c:pt>
                <c:pt idx="165">
                  <c:v>1238613.0240270689</c:v>
                </c:pt>
                <c:pt idx="166">
                  <c:v>1252059.6812405491</c:v>
                </c:pt>
                <c:pt idx="167">
                  <c:v>1265579.1745139353</c:v>
                </c:pt>
                <c:pt idx="168">
                  <c:v>1279171.898375886</c:v>
                </c:pt>
                <c:pt idx="169">
                  <c:v>1292838.2494920886</c:v>
                </c:pt>
                <c:pt idx="170">
                  <c:v>1306578.6266768374</c:v>
                </c:pt>
                <c:pt idx="171">
                  <c:v>1320393.4309046704</c:v>
                </c:pt>
                <c:pt idx="172">
                  <c:v>1334283.0653220704</c:v>
                </c:pt>
                <c:pt idx="173">
                  <c:v>1348247.9352592321</c:v>
                </c:pt>
                <c:pt idx="174">
                  <c:v>1362288.4482418862</c:v>
                </c:pt>
                <c:pt idx="175">
                  <c:v>1376405.0140031963</c:v>
                </c:pt>
                <c:pt idx="176">
                  <c:v>1390598.0444957137</c:v>
                </c:pt>
                <c:pt idx="177">
                  <c:v>1404867.9539033987</c:v>
                </c:pt>
                <c:pt idx="178">
                  <c:v>1419215.1586537089</c:v>
                </c:pt>
                <c:pt idx="179">
                  <c:v>1433640.0774297498</c:v>
                </c:pt>
                <c:pt idx="180">
                  <c:v>1448143.1311824943</c:v>
                </c:pt>
                <c:pt idx="181">
                  <c:v>1462724.7431430663</c:v>
                </c:pt>
                <c:pt idx="182">
                  <c:v>1477385.3388350911</c:v>
                </c:pt>
                <c:pt idx="183">
                  <c:v>1492125.3460871144</c:v>
                </c:pt>
                <c:pt idx="184">
                  <c:v>1506945.1950450866</c:v>
                </c:pt>
                <c:pt idx="185">
                  <c:v>1521845.3181849138</c:v>
                </c:pt>
                <c:pt idx="186">
                  <c:v>1536826.1503250822</c:v>
                </c:pt>
                <c:pt idx="187">
                  <c:v>1551888.1286393432</c:v>
                </c:pt>
                <c:pt idx="188">
                  <c:v>1567031.6926694731</c:v>
                </c:pt>
                <c:pt idx="189">
                  <c:v>1582257.2843380992</c:v>
                </c:pt>
                <c:pt idx="190">
                  <c:v>1597565.3479615971</c:v>
                </c:pt>
                <c:pt idx="191">
                  <c:v>1612956.3302630559</c:v>
                </c:pt>
                <c:pt idx="192">
                  <c:v>1628430.6803853142</c:v>
                </c:pt>
                <c:pt idx="193">
                  <c:v>1643988.849904068</c:v>
                </c:pt>
                <c:pt idx="194">
                  <c:v>1659631.2928410484</c:v>
                </c:pt>
                <c:pt idx="195">
                  <c:v>1675358.4656772704</c:v>
                </c:pt>
                <c:pt idx="196">
                  <c:v>1691170.8273663558</c:v>
                </c:pt>
                <c:pt idx="197">
                  <c:v>1707068.8393479236</c:v>
                </c:pt>
                <c:pt idx="198">
                  <c:v>1723052.9655610581</c:v>
                </c:pt>
                <c:pt idx="199">
                  <c:v>1739123.672457847</c:v>
                </c:pt>
                <c:pt idx="200">
                  <c:v>1755281.4290169938</c:v>
                </c:pt>
                <c:pt idx="201">
                  <c:v>1771526.7067575026</c:v>
                </c:pt>
                <c:pt idx="202">
                  <c:v>1787859.9797524391</c:v>
                </c:pt>
                <c:pt idx="203">
                  <c:v>1804281.724642765</c:v>
                </c:pt>
                <c:pt idx="204">
                  <c:v>1820792.4206512468</c:v>
                </c:pt>
                <c:pt idx="205">
                  <c:v>1830313.0462631073</c:v>
                </c:pt>
                <c:pt idx="206">
                  <c:v>1839885.241930366</c:v>
                </c:pt>
                <c:pt idx="207">
                  <c:v>1849509.2869908223</c:v>
                </c:pt>
                <c:pt idx="208">
                  <c:v>1859185.4622953557</c:v>
                </c:pt>
                <c:pt idx="209">
                  <c:v>1868914.0502161221</c:v>
                </c:pt>
                <c:pt idx="210">
                  <c:v>1878695.3346547929</c:v>
                </c:pt>
                <c:pt idx="211">
                  <c:v>1888529.6010508398</c:v>
                </c:pt>
                <c:pt idx="212">
                  <c:v>1898417.1363898648</c:v>
                </c:pt>
                <c:pt idx="213">
                  <c:v>1908358.229211977</c:v>
                </c:pt>
                <c:pt idx="214">
                  <c:v>1918353.1696202084</c:v>
                </c:pt>
                <c:pt idx="215">
                  <c:v>1928402.2492889846</c:v>
                </c:pt>
                <c:pt idx="216">
                  <c:v>1938505.7614726329</c:v>
                </c:pt>
                <c:pt idx="217">
                  <c:v>1948664.001013943</c:v>
                </c:pt>
                <c:pt idx="218">
                  <c:v>1958877.2643527687</c:v>
                </c:pt>
                <c:pt idx="219">
                  <c:v>1969145.8495346792</c:v>
                </c:pt>
                <c:pt idx="220">
                  <c:v>1979470.056219659</c:v>
                </c:pt>
                <c:pt idx="221">
                  <c:v>1989850.1856908491</c:v>
                </c:pt>
                <c:pt idx="222">
                  <c:v>2000286.540863341</c:v>
                </c:pt>
                <c:pt idx="223">
                  <c:v>2010779.4262930176</c:v>
                </c:pt>
                <c:pt idx="224">
                  <c:v>2021329.148185438</c:v>
                </c:pt>
                <c:pt idx="225">
                  <c:v>2031936.0144047756</c:v>
                </c:pt>
                <c:pt idx="226">
                  <c:v>2042600.3344828014</c:v>
                </c:pt>
                <c:pt idx="227">
                  <c:v>2053322.4196279165</c:v>
                </c:pt>
                <c:pt idx="228">
                  <c:v>2064102.5827342346</c:v>
                </c:pt>
                <c:pt idx="229">
                  <c:v>2074941.1383907117</c:v>
                </c:pt>
                <c:pt idx="230">
                  <c:v>2085838.4028903279</c:v>
                </c:pt>
                <c:pt idx="231">
                  <c:v>2096794.6942393172</c:v>
                </c:pt>
                <c:pt idx="232">
                  <c:v>2107810.3321664473</c:v>
                </c:pt>
                <c:pt idx="233">
                  <c:v>2118885.6381323487</c:v>
                </c:pt>
                <c:pt idx="234">
                  <c:v>2130020.9353388986</c:v>
                </c:pt>
                <c:pt idx="235">
                  <c:v>2141216.548738651</c:v>
                </c:pt>
                <c:pt idx="236">
                  <c:v>2152472.805044319</c:v>
                </c:pt>
                <c:pt idx="237">
                  <c:v>2163790.0327383089</c:v>
                </c:pt>
                <c:pt idx="238">
                  <c:v>2175168.5620823079</c:v>
                </c:pt>
                <c:pt idx="239">
                  <c:v>2186608.7251269207</c:v>
                </c:pt>
                <c:pt idx="240">
                  <c:v>2198110.8557213582</c:v>
                </c:pt>
                <c:pt idx="241">
                  <c:v>2209675.2895231824</c:v>
                </c:pt>
                <c:pt idx="242">
                  <c:v>2221302.3640080998</c:v>
                </c:pt>
                <c:pt idx="243">
                  <c:v>2232992.41847981</c:v>
                </c:pt>
                <c:pt idx="244">
                  <c:v>2244745.7940799091</c:v>
                </c:pt>
                <c:pt idx="245">
                  <c:v>2256562.8337978418</c:v>
                </c:pt>
                <c:pt idx="246">
                  <c:v>2268443.8824809138</c:v>
                </c:pt>
                <c:pt idx="247">
                  <c:v>2280389.2868443513</c:v>
                </c:pt>
                <c:pt idx="248">
                  <c:v>2292399.3954814253</c:v>
                </c:pt>
                <c:pt idx="249">
                  <c:v>2304474.5588736166</c:v>
                </c:pt>
                <c:pt idx="250">
                  <c:v>2316615.1294008484</c:v>
                </c:pt>
                <c:pt idx="251">
                  <c:v>2328821.46135177</c:v>
                </c:pt>
                <c:pt idx="252">
                  <c:v>2341093.9109340925</c:v>
                </c:pt>
                <c:pt idx="253">
                  <c:v>2353432.8362849853</c:v>
                </c:pt>
                <c:pt idx="254">
                  <c:v>2365838.5974815292</c:v>
                </c:pt>
                <c:pt idx="255">
                  <c:v>2378311.5565512208</c:v>
                </c:pt>
                <c:pt idx="256">
                  <c:v>2390852.0774825397</c:v>
                </c:pt>
                <c:pt idx="257">
                  <c:v>2403460.5262355707</c:v>
                </c:pt>
                <c:pt idx="258">
                  <c:v>2416137.2707526796</c:v>
                </c:pt>
                <c:pt idx="259">
                  <c:v>2428882.6809692569</c:v>
                </c:pt>
                <c:pt idx="260">
                  <c:v>2441697.1288245064</c:v>
                </c:pt>
                <c:pt idx="261">
                  <c:v>2454580.988272306</c:v>
                </c:pt>
                <c:pt idx="262">
                  <c:v>2467534.6352921142</c:v>
                </c:pt>
                <c:pt idx="263">
                  <c:v>2480558.4478999465</c:v>
                </c:pt>
                <c:pt idx="264">
                  <c:v>2493652.8061594046</c:v>
                </c:pt>
                <c:pt idx="265">
                  <c:v>2506818.0921927681</c:v>
                </c:pt>
                <c:pt idx="266">
                  <c:v>2520054.6901921458</c:v>
                </c:pt>
                <c:pt idx="267">
                  <c:v>2533362.9864306864</c:v>
                </c:pt>
                <c:pt idx="268">
                  <c:v>2546743.3692738526</c:v>
                </c:pt>
                <c:pt idx="269">
                  <c:v>2560196.2291907533</c:v>
                </c:pt>
                <c:pt idx="270">
                  <c:v>2573721.9587655361</c:v>
                </c:pt>
                <c:pt idx="271">
                  <c:v>2587320.9527088492</c:v>
                </c:pt>
                <c:pt idx="272">
                  <c:v>2600993.6078693555</c:v>
                </c:pt>
                <c:pt idx="273">
                  <c:v>2614740.3232453149</c:v>
                </c:pt>
                <c:pt idx="274">
                  <c:v>2628561.4999962267</c:v>
                </c:pt>
                <c:pt idx="275">
                  <c:v>2642457.5414545396</c:v>
                </c:pt>
                <c:pt idx="276">
                  <c:v>2656428.8531374186</c:v>
                </c:pt>
                <c:pt idx="277">
                  <c:v>2670475.8427585796</c:v>
                </c:pt>
                <c:pt idx="278">
                  <c:v>2684598.9202401889</c:v>
                </c:pt>
                <c:pt idx="279">
                  <c:v>2698798.4977248227</c:v>
                </c:pt>
                <c:pt idx="280">
                  <c:v>2713074.9895874988</c:v>
                </c:pt>
                <c:pt idx="281">
                  <c:v>2727428.8124477644</c:v>
                </c:pt>
                <c:pt idx="282">
                  <c:v>2741860.3851818563</c:v>
                </c:pt>
                <c:pt idx="283">
                  <c:v>2756370.128934925</c:v>
                </c:pt>
                <c:pt idx="284">
                  <c:v>2770958.4671333218</c:v>
                </c:pt>
                <c:pt idx="285">
                  <c:v>2785625.8254969614</c:v>
                </c:pt>
                <c:pt idx="286">
                  <c:v>2800372.6320517366</c:v>
                </c:pt>
                <c:pt idx="287">
                  <c:v>2815199.3171420163</c:v>
                </c:pt>
                <c:pt idx="288">
                  <c:v>2830106.3134432025</c:v>
                </c:pt>
                <c:pt idx="289">
                  <c:v>2845094.0559743531</c:v>
                </c:pt>
                <c:pt idx="290">
                  <c:v>2860162.9821108808</c:v>
                </c:pt>
                <c:pt idx="291">
                  <c:v>2875313.5315973144</c:v>
                </c:pt>
                <c:pt idx="292">
                  <c:v>2890546.1465601344</c:v>
                </c:pt>
                <c:pt idx="293">
                  <c:v>2905861.2715206677</c:v>
                </c:pt>
                <c:pt idx="294">
                  <c:v>2921259.3534080712</c:v>
                </c:pt>
                <c:pt idx="295">
                  <c:v>2936740.8415723648</c:v>
                </c:pt>
                <c:pt idx="296">
                  <c:v>2952306.1877975482</c:v>
                </c:pt>
                <c:pt idx="297">
                  <c:v>2967955.8463147851</c:v>
                </c:pt>
                <c:pt idx="298">
                  <c:v>2983690.273815657</c:v>
                </c:pt>
                <c:pt idx="299">
                  <c:v>2999509.9294654923</c:v>
                </c:pt>
                <c:pt idx="300">
                  <c:v>3015415.2749167634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Data!$CE$13</c:f>
              <c:strCache>
                <c:ptCount val="1"/>
                <c:pt idx="0">
                  <c:v>Target Series (based on 3 month running 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Data!$C$14:$C$315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</c:numCache>
            </c:numRef>
          </c:cat>
          <c:val>
            <c:numRef>
              <c:f>Data!$CE$18:$CE$315</c:f>
              <c:numCache>
                <c:formatCode>#,##0.00_);[Red]\(#,##0.00\)</c:formatCode>
                <c:ptCount val="298"/>
                <c:pt idx="2">
                  <c:v>1400000</c:v>
                </c:pt>
                <c:pt idx="3">
                  <c:v>1400000</c:v>
                </c:pt>
                <c:pt idx="4">
                  <c:v>1400000</c:v>
                </c:pt>
                <c:pt idx="5">
                  <c:v>1400000</c:v>
                </c:pt>
                <c:pt idx="6">
                  <c:v>1400000</c:v>
                </c:pt>
                <c:pt idx="7">
                  <c:v>1400000</c:v>
                </c:pt>
                <c:pt idx="8">
                  <c:v>1400000</c:v>
                </c:pt>
                <c:pt idx="9">
                  <c:v>1400000</c:v>
                </c:pt>
                <c:pt idx="10">
                  <c:v>1400000</c:v>
                </c:pt>
                <c:pt idx="11">
                  <c:v>1400000</c:v>
                </c:pt>
                <c:pt idx="12">
                  <c:v>1400000</c:v>
                </c:pt>
                <c:pt idx="13">
                  <c:v>1400000</c:v>
                </c:pt>
                <c:pt idx="14">
                  <c:v>1400000</c:v>
                </c:pt>
                <c:pt idx="15">
                  <c:v>1400000</c:v>
                </c:pt>
                <c:pt idx="16">
                  <c:v>1400000</c:v>
                </c:pt>
                <c:pt idx="17">
                  <c:v>1400000</c:v>
                </c:pt>
                <c:pt idx="18">
                  <c:v>1400000</c:v>
                </c:pt>
                <c:pt idx="19">
                  <c:v>1400000</c:v>
                </c:pt>
                <c:pt idx="20">
                  <c:v>1400000</c:v>
                </c:pt>
                <c:pt idx="21">
                  <c:v>1400000</c:v>
                </c:pt>
                <c:pt idx="22">
                  <c:v>1400000</c:v>
                </c:pt>
                <c:pt idx="23">
                  <c:v>1400000</c:v>
                </c:pt>
                <c:pt idx="24">
                  <c:v>1400000</c:v>
                </c:pt>
                <c:pt idx="25">
                  <c:v>1400000</c:v>
                </c:pt>
                <c:pt idx="26">
                  <c:v>1400000</c:v>
                </c:pt>
                <c:pt idx="27">
                  <c:v>1400000</c:v>
                </c:pt>
                <c:pt idx="28">
                  <c:v>1400000</c:v>
                </c:pt>
                <c:pt idx="29">
                  <c:v>1400000</c:v>
                </c:pt>
                <c:pt idx="30">
                  <c:v>1400000</c:v>
                </c:pt>
                <c:pt idx="31">
                  <c:v>1400000</c:v>
                </c:pt>
                <c:pt idx="32">
                  <c:v>1400000</c:v>
                </c:pt>
                <c:pt idx="33">
                  <c:v>1400000</c:v>
                </c:pt>
                <c:pt idx="34">
                  <c:v>1400000</c:v>
                </c:pt>
                <c:pt idx="35">
                  <c:v>1400000</c:v>
                </c:pt>
                <c:pt idx="36">
                  <c:v>1400000</c:v>
                </c:pt>
                <c:pt idx="37">
                  <c:v>1400000</c:v>
                </c:pt>
                <c:pt idx="38">
                  <c:v>1400000</c:v>
                </c:pt>
                <c:pt idx="39">
                  <c:v>1400000</c:v>
                </c:pt>
                <c:pt idx="40">
                  <c:v>1400000</c:v>
                </c:pt>
                <c:pt idx="41">
                  <c:v>1400000</c:v>
                </c:pt>
                <c:pt idx="42">
                  <c:v>1400000</c:v>
                </c:pt>
                <c:pt idx="43">
                  <c:v>1400000</c:v>
                </c:pt>
                <c:pt idx="44">
                  <c:v>1400000</c:v>
                </c:pt>
                <c:pt idx="45">
                  <c:v>1400000</c:v>
                </c:pt>
                <c:pt idx="46">
                  <c:v>1400000</c:v>
                </c:pt>
                <c:pt idx="47">
                  <c:v>1400000</c:v>
                </c:pt>
                <c:pt idx="48">
                  <c:v>1400000</c:v>
                </c:pt>
                <c:pt idx="49">
                  <c:v>1400000</c:v>
                </c:pt>
                <c:pt idx="50">
                  <c:v>1400000</c:v>
                </c:pt>
                <c:pt idx="51">
                  <c:v>1400000</c:v>
                </c:pt>
                <c:pt idx="52">
                  <c:v>1400000</c:v>
                </c:pt>
                <c:pt idx="53">
                  <c:v>1400000</c:v>
                </c:pt>
                <c:pt idx="54">
                  <c:v>1400000</c:v>
                </c:pt>
                <c:pt idx="55">
                  <c:v>1400000</c:v>
                </c:pt>
                <c:pt idx="56">
                  <c:v>1400000</c:v>
                </c:pt>
                <c:pt idx="57">
                  <c:v>1400000</c:v>
                </c:pt>
                <c:pt idx="58">
                  <c:v>1400000</c:v>
                </c:pt>
                <c:pt idx="59">
                  <c:v>1400000</c:v>
                </c:pt>
                <c:pt idx="60">
                  <c:v>1400000</c:v>
                </c:pt>
                <c:pt idx="61">
                  <c:v>1400000</c:v>
                </c:pt>
                <c:pt idx="62">
                  <c:v>1400000</c:v>
                </c:pt>
                <c:pt idx="63">
                  <c:v>1400000</c:v>
                </c:pt>
                <c:pt idx="64">
                  <c:v>1400000</c:v>
                </c:pt>
                <c:pt idx="65">
                  <c:v>1400000</c:v>
                </c:pt>
                <c:pt idx="66">
                  <c:v>1400000</c:v>
                </c:pt>
                <c:pt idx="67">
                  <c:v>1400000</c:v>
                </c:pt>
                <c:pt idx="68">
                  <c:v>1400000</c:v>
                </c:pt>
                <c:pt idx="69">
                  <c:v>1400000</c:v>
                </c:pt>
                <c:pt idx="70">
                  <c:v>1400000</c:v>
                </c:pt>
                <c:pt idx="71">
                  <c:v>1400000</c:v>
                </c:pt>
                <c:pt idx="72">
                  <c:v>1400000</c:v>
                </c:pt>
                <c:pt idx="73">
                  <c:v>1400000</c:v>
                </c:pt>
                <c:pt idx="74">
                  <c:v>1400000</c:v>
                </c:pt>
                <c:pt idx="75">
                  <c:v>1400000</c:v>
                </c:pt>
                <c:pt idx="76">
                  <c:v>1400000</c:v>
                </c:pt>
                <c:pt idx="77">
                  <c:v>1400000</c:v>
                </c:pt>
                <c:pt idx="78">
                  <c:v>1400000</c:v>
                </c:pt>
                <c:pt idx="79">
                  <c:v>1400000</c:v>
                </c:pt>
                <c:pt idx="80">
                  <c:v>1400000</c:v>
                </c:pt>
                <c:pt idx="81">
                  <c:v>1400000</c:v>
                </c:pt>
                <c:pt idx="82">
                  <c:v>1400000</c:v>
                </c:pt>
                <c:pt idx="83">
                  <c:v>1400000</c:v>
                </c:pt>
                <c:pt idx="84">
                  <c:v>1400000</c:v>
                </c:pt>
                <c:pt idx="85">
                  <c:v>1400000</c:v>
                </c:pt>
                <c:pt idx="86">
                  <c:v>1400000</c:v>
                </c:pt>
                <c:pt idx="87">
                  <c:v>1400000</c:v>
                </c:pt>
                <c:pt idx="88">
                  <c:v>1400000</c:v>
                </c:pt>
                <c:pt idx="89">
                  <c:v>1400000</c:v>
                </c:pt>
                <c:pt idx="90">
                  <c:v>1400000</c:v>
                </c:pt>
                <c:pt idx="91">
                  <c:v>1400000</c:v>
                </c:pt>
                <c:pt idx="92">
                  <c:v>1400000</c:v>
                </c:pt>
                <c:pt idx="93">
                  <c:v>1400000</c:v>
                </c:pt>
                <c:pt idx="94">
                  <c:v>1400000</c:v>
                </c:pt>
                <c:pt idx="95">
                  <c:v>1400000</c:v>
                </c:pt>
                <c:pt idx="96">
                  <c:v>1400000</c:v>
                </c:pt>
                <c:pt idx="97">
                  <c:v>1400000</c:v>
                </c:pt>
                <c:pt idx="98">
                  <c:v>1400000</c:v>
                </c:pt>
                <c:pt idx="99">
                  <c:v>1400000</c:v>
                </c:pt>
                <c:pt idx="100">
                  <c:v>1400000</c:v>
                </c:pt>
                <c:pt idx="101">
                  <c:v>1400000</c:v>
                </c:pt>
                <c:pt idx="102">
                  <c:v>1400000</c:v>
                </c:pt>
                <c:pt idx="103">
                  <c:v>1400000</c:v>
                </c:pt>
                <c:pt idx="104">
                  <c:v>1400000</c:v>
                </c:pt>
                <c:pt idx="105">
                  <c:v>1400000</c:v>
                </c:pt>
                <c:pt idx="106">
                  <c:v>1400000</c:v>
                </c:pt>
                <c:pt idx="107">
                  <c:v>1400000</c:v>
                </c:pt>
                <c:pt idx="108">
                  <c:v>1400000</c:v>
                </c:pt>
                <c:pt idx="109">
                  <c:v>1400000</c:v>
                </c:pt>
                <c:pt idx="110">
                  <c:v>1400000</c:v>
                </c:pt>
                <c:pt idx="111">
                  <c:v>1400000</c:v>
                </c:pt>
                <c:pt idx="112">
                  <c:v>1400000</c:v>
                </c:pt>
                <c:pt idx="113">
                  <c:v>1400000</c:v>
                </c:pt>
                <c:pt idx="114">
                  <c:v>1400000</c:v>
                </c:pt>
                <c:pt idx="115">
                  <c:v>1400000</c:v>
                </c:pt>
                <c:pt idx="116">
                  <c:v>1400000</c:v>
                </c:pt>
                <c:pt idx="117">
                  <c:v>1400000</c:v>
                </c:pt>
                <c:pt idx="118">
                  <c:v>1400000</c:v>
                </c:pt>
                <c:pt idx="119">
                  <c:v>1400000</c:v>
                </c:pt>
                <c:pt idx="120">
                  <c:v>1400000</c:v>
                </c:pt>
                <c:pt idx="121">
                  <c:v>1400000</c:v>
                </c:pt>
                <c:pt idx="122">
                  <c:v>1400000</c:v>
                </c:pt>
                <c:pt idx="123">
                  <c:v>1400000</c:v>
                </c:pt>
                <c:pt idx="124">
                  <c:v>1400000</c:v>
                </c:pt>
                <c:pt idx="125">
                  <c:v>1400000</c:v>
                </c:pt>
                <c:pt idx="126">
                  <c:v>1400000</c:v>
                </c:pt>
                <c:pt idx="127">
                  <c:v>1400000</c:v>
                </c:pt>
                <c:pt idx="128">
                  <c:v>1400000</c:v>
                </c:pt>
                <c:pt idx="129">
                  <c:v>1400000</c:v>
                </c:pt>
                <c:pt idx="130">
                  <c:v>1400000</c:v>
                </c:pt>
                <c:pt idx="131">
                  <c:v>1400000</c:v>
                </c:pt>
                <c:pt idx="132">
                  <c:v>1400000</c:v>
                </c:pt>
                <c:pt idx="133">
                  <c:v>1400000</c:v>
                </c:pt>
                <c:pt idx="134">
                  <c:v>1400000</c:v>
                </c:pt>
                <c:pt idx="135">
                  <c:v>1400000</c:v>
                </c:pt>
                <c:pt idx="136">
                  <c:v>1400000</c:v>
                </c:pt>
                <c:pt idx="137">
                  <c:v>1400000</c:v>
                </c:pt>
                <c:pt idx="138">
                  <c:v>1400000</c:v>
                </c:pt>
                <c:pt idx="139">
                  <c:v>1400000</c:v>
                </c:pt>
                <c:pt idx="140">
                  <c:v>1400000</c:v>
                </c:pt>
                <c:pt idx="141">
                  <c:v>1400000</c:v>
                </c:pt>
                <c:pt idx="142">
                  <c:v>1400000</c:v>
                </c:pt>
                <c:pt idx="143">
                  <c:v>1400000</c:v>
                </c:pt>
                <c:pt idx="144">
                  <c:v>1400000</c:v>
                </c:pt>
                <c:pt idx="145">
                  <c:v>1400000</c:v>
                </c:pt>
                <c:pt idx="146">
                  <c:v>1400000</c:v>
                </c:pt>
                <c:pt idx="147">
                  <c:v>1400000</c:v>
                </c:pt>
                <c:pt idx="148">
                  <c:v>1400000</c:v>
                </c:pt>
                <c:pt idx="149">
                  <c:v>1400000</c:v>
                </c:pt>
                <c:pt idx="150">
                  <c:v>1400000</c:v>
                </c:pt>
                <c:pt idx="151">
                  <c:v>1400000</c:v>
                </c:pt>
                <c:pt idx="152">
                  <c:v>1400000</c:v>
                </c:pt>
                <c:pt idx="153">
                  <c:v>1400000</c:v>
                </c:pt>
                <c:pt idx="154">
                  <c:v>1400000</c:v>
                </c:pt>
                <c:pt idx="155">
                  <c:v>1400000</c:v>
                </c:pt>
                <c:pt idx="156">
                  <c:v>1400000</c:v>
                </c:pt>
                <c:pt idx="157">
                  <c:v>1400000</c:v>
                </c:pt>
                <c:pt idx="158">
                  <c:v>1400000</c:v>
                </c:pt>
                <c:pt idx="159">
                  <c:v>1400000</c:v>
                </c:pt>
                <c:pt idx="160">
                  <c:v>1400000</c:v>
                </c:pt>
                <c:pt idx="161">
                  <c:v>1400000</c:v>
                </c:pt>
                <c:pt idx="162">
                  <c:v>1400000</c:v>
                </c:pt>
                <c:pt idx="163">
                  <c:v>1400000</c:v>
                </c:pt>
                <c:pt idx="164">
                  <c:v>1400000</c:v>
                </c:pt>
                <c:pt idx="165">
                  <c:v>1400000</c:v>
                </c:pt>
                <c:pt idx="166">
                  <c:v>1400000</c:v>
                </c:pt>
                <c:pt idx="167">
                  <c:v>1400000</c:v>
                </c:pt>
                <c:pt idx="168">
                  <c:v>1400000</c:v>
                </c:pt>
                <c:pt idx="169">
                  <c:v>1400000</c:v>
                </c:pt>
                <c:pt idx="170">
                  <c:v>1400000</c:v>
                </c:pt>
                <c:pt idx="171">
                  <c:v>1400000</c:v>
                </c:pt>
                <c:pt idx="172">
                  <c:v>1400000</c:v>
                </c:pt>
                <c:pt idx="173">
                  <c:v>1400000</c:v>
                </c:pt>
                <c:pt idx="174">
                  <c:v>1400000</c:v>
                </c:pt>
                <c:pt idx="175">
                  <c:v>1400000</c:v>
                </c:pt>
                <c:pt idx="176">
                  <c:v>1400000</c:v>
                </c:pt>
                <c:pt idx="177">
                  <c:v>1400000</c:v>
                </c:pt>
                <c:pt idx="178">
                  <c:v>1400000</c:v>
                </c:pt>
                <c:pt idx="179">
                  <c:v>1400000</c:v>
                </c:pt>
                <c:pt idx="180">
                  <c:v>1400000</c:v>
                </c:pt>
                <c:pt idx="181">
                  <c:v>1400000</c:v>
                </c:pt>
                <c:pt idx="182">
                  <c:v>1400000</c:v>
                </c:pt>
                <c:pt idx="183">
                  <c:v>1400000</c:v>
                </c:pt>
                <c:pt idx="184">
                  <c:v>1400000</c:v>
                </c:pt>
                <c:pt idx="185">
                  <c:v>1400000</c:v>
                </c:pt>
                <c:pt idx="186">
                  <c:v>1400000</c:v>
                </c:pt>
                <c:pt idx="187">
                  <c:v>1400000</c:v>
                </c:pt>
                <c:pt idx="188">
                  <c:v>1400000</c:v>
                </c:pt>
                <c:pt idx="189">
                  <c:v>1400000</c:v>
                </c:pt>
                <c:pt idx="190">
                  <c:v>1400000</c:v>
                </c:pt>
                <c:pt idx="191">
                  <c:v>1400000</c:v>
                </c:pt>
                <c:pt idx="192">
                  <c:v>1400000</c:v>
                </c:pt>
                <c:pt idx="193">
                  <c:v>1400000</c:v>
                </c:pt>
                <c:pt idx="194">
                  <c:v>1400000</c:v>
                </c:pt>
                <c:pt idx="195">
                  <c:v>1400000</c:v>
                </c:pt>
                <c:pt idx="196">
                  <c:v>1400000</c:v>
                </c:pt>
                <c:pt idx="197">
                  <c:v>1400000</c:v>
                </c:pt>
                <c:pt idx="198">
                  <c:v>1400000</c:v>
                </c:pt>
                <c:pt idx="199">
                  <c:v>1400000</c:v>
                </c:pt>
                <c:pt idx="200">
                  <c:v>1400000</c:v>
                </c:pt>
                <c:pt idx="201">
                  <c:v>1400000</c:v>
                </c:pt>
                <c:pt idx="202">
                  <c:v>1400000</c:v>
                </c:pt>
                <c:pt idx="203">
                  <c:v>1400000</c:v>
                </c:pt>
                <c:pt idx="204">
                  <c:v>1400000</c:v>
                </c:pt>
                <c:pt idx="205">
                  <c:v>1400000</c:v>
                </c:pt>
                <c:pt idx="206">
                  <c:v>1400000</c:v>
                </c:pt>
                <c:pt idx="207">
                  <c:v>1400000</c:v>
                </c:pt>
                <c:pt idx="208">
                  <c:v>1400000</c:v>
                </c:pt>
                <c:pt idx="209">
                  <c:v>1400000</c:v>
                </c:pt>
                <c:pt idx="210">
                  <c:v>1400000</c:v>
                </c:pt>
                <c:pt idx="211">
                  <c:v>1400000</c:v>
                </c:pt>
                <c:pt idx="212">
                  <c:v>1400000</c:v>
                </c:pt>
                <c:pt idx="213">
                  <c:v>1400000</c:v>
                </c:pt>
                <c:pt idx="214">
                  <c:v>1400000</c:v>
                </c:pt>
                <c:pt idx="215">
                  <c:v>1400000</c:v>
                </c:pt>
                <c:pt idx="216">
                  <c:v>1400000</c:v>
                </c:pt>
                <c:pt idx="217">
                  <c:v>1400000</c:v>
                </c:pt>
                <c:pt idx="218">
                  <c:v>1400000</c:v>
                </c:pt>
                <c:pt idx="219">
                  <c:v>1400000</c:v>
                </c:pt>
                <c:pt idx="220">
                  <c:v>1400000</c:v>
                </c:pt>
                <c:pt idx="221">
                  <c:v>1400000</c:v>
                </c:pt>
                <c:pt idx="222">
                  <c:v>1400000</c:v>
                </c:pt>
                <c:pt idx="223">
                  <c:v>1400000</c:v>
                </c:pt>
                <c:pt idx="224">
                  <c:v>1400000</c:v>
                </c:pt>
                <c:pt idx="225">
                  <c:v>1400000</c:v>
                </c:pt>
                <c:pt idx="226">
                  <c:v>1400000</c:v>
                </c:pt>
                <c:pt idx="227">
                  <c:v>1400000</c:v>
                </c:pt>
                <c:pt idx="228">
                  <c:v>1400000</c:v>
                </c:pt>
                <c:pt idx="229">
                  <c:v>1400000</c:v>
                </c:pt>
                <c:pt idx="230">
                  <c:v>1400000</c:v>
                </c:pt>
                <c:pt idx="231">
                  <c:v>1400000</c:v>
                </c:pt>
                <c:pt idx="232">
                  <c:v>1400000</c:v>
                </c:pt>
                <c:pt idx="233">
                  <c:v>1400000</c:v>
                </c:pt>
                <c:pt idx="234">
                  <c:v>1400000</c:v>
                </c:pt>
                <c:pt idx="235">
                  <c:v>1400000</c:v>
                </c:pt>
                <c:pt idx="236">
                  <c:v>1400000</c:v>
                </c:pt>
                <c:pt idx="237">
                  <c:v>1400000</c:v>
                </c:pt>
                <c:pt idx="238">
                  <c:v>1400000</c:v>
                </c:pt>
                <c:pt idx="239">
                  <c:v>1400000</c:v>
                </c:pt>
                <c:pt idx="240">
                  <c:v>1400000</c:v>
                </c:pt>
                <c:pt idx="241">
                  <c:v>1400000</c:v>
                </c:pt>
                <c:pt idx="242">
                  <c:v>1400000</c:v>
                </c:pt>
                <c:pt idx="243">
                  <c:v>1400000</c:v>
                </c:pt>
                <c:pt idx="244">
                  <c:v>1400000</c:v>
                </c:pt>
                <c:pt idx="245">
                  <c:v>1400000</c:v>
                </c:pt>
                <c:pt idx="246">
                  <c:v>1400000</c:v>
                </c:pt>
                <c:pt idx="247">
                  <c:v>1400000</c:v>
                </c:pt>
                <c:pt idx="248">
                  <c:v>1400000</c:v>
                </c:pt>
                <c:pt idx="249">
                  <c:v>1400000</c:v>
                </c:pt>
                <c:pt idx="250">
                  <c:v>1400000</c:v>
                </c:pt>
                <c:pt idx="251">
                  <c:v>1400000</c:v>
                </c:pt>
                <c:pt idx="252">
                  <c:v>1400000</c:v>
                </c:pt>
                <c:pt idx="253">
                  <c:v>1400000</c:v>
                </c:pt>
                <c:pt idx="254">
                  <c:v>1400000</c:v>
                </c:pt>
                <c:pt idx="255">
                  <c:v>1400000</c:v>
                </c:pt>
                <c:pt idx="256">
                  <c:v>1400000</c:v>
                </c:pt>
                <c:pt idx="257">
                  <c:v>1400000</c:v>
                </c:pt>
                <c:pt idx="258">
                  <c:v>1400000</c:v>
                </c:pt>
                <c:pt idx="259">
                  <c:v>1400000</c:v>
                </c:pt>
                <c:pt idx="260">
                  <c:v>1400000</c:v>
                </c:pt>
                <c:pt idx="261">
                  <c:v>1400000</c:v>
                </c:pt>
                <c:pt idx="262">
                  <c:v>1400000</c:v>
                </c:pt>
                <c:pt idx="263">
                  <c:v>1400000</c:v>
                </c:pt>
                <c:pt idx="264">
                  <c:v>1400000</c:v>
                </c:pt>
                <c:pt idx="265">
                  <c:v>1400000</c:v>
                </c:pt>
                <c:pt idx="266">
                  <c:v>1400000</c:v>
                </c:pt>
                <c:pt idx="267">
                  <c:v>1400000</c:v>
                </c:pt>
                <c:pt idx="268">
                  <c:v>1400000</c:v>
                </c:pt>
                <c:pt idx="269">
                  <c:v>1400000</c:v>
                </c:pt>
                <c:pt idx="270">
                  <c:v>1400000</c:v>
                </c:pt>
                <c:pt idx="271">
                  <c:v>1400000</c:v>
                </c:pt>
                <c:pt idx="272">
                  <c:v>1400000</c:v>
                </c:pt>
                <c:pt idx="273">
                  <c:v>1400000</c:v>
                </c:pt>
                <c:pt idx="274">
                  <c:v>1400000</c:v>
                </c:pt>
                <c:pt idx="275">
                  <c:v>1400000</c:v>
                </c:pt>
                <c:pt idx="276">
                  <c:v>1400000</c:v>
                </c:pt>
                <c:pt idx="277">
                  <c:v>1400000</c:v>
                </c:pt>
                <c:pt idx="278">
                  <c:v>1400000</c:v>
                </c:pt>
                <c:pt idx="279">
                  <c:v>1400000</c:v>
                </c:pt>
                <c:pt idx="280">
                  <c:v>1400000</c:v>
                </c:pt>
                <c:pt idx="281">
                  <c:v>1400000</c:v>
                </c:pt>
                <c:pt idx="282">
                  <c:v>1400000</c:v>
                </c:pt>
                <c:pt idx="283">
                  <c:v>1400000</c:v>
                </c:pt>
                <c:pt idx="284">
                  <c:v>1400000</c:v>
                </c:pt>
                <c:pt idx="285">
                  <c:v>1400000</c:v>
                </c:pt>
                <c:pt idx="286">
                  <c:v>1400000</c:v>
                </c:pt>
                <c:pt idx="287">
                  <c:v>1400000</c:v>
                </c:pt>
                <c:pt idx="288">
                  <c:v>1400000</c:v>
                </c:pt>
                <c:pt idx="289">
                  <c:v>1400000</c:v>
                </c:pt>
                <c:pt idx="290">
                  <c:v>1400000</c:v>
                </c:pt>
                <c:pt idx="291">
                  <c:v>1400000</c:v>
                </c:pt>
                <c:pt idx="292">
                  <c:v>1400000</c:v>
                </c:pt>
                <c:pt idx="293">
                  <c:v>1400000</c:v>
                </c:pt>
                <c:pt idx="294">
                  <c:v>1400000</c:v>
                </c:pt>
                <c:pt idx="295">
                  <c:v>1400000</c:v>
                </c:pt>
                <c:pt idx="296">
                  <c:v>1400000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21392"/>
        <c:axId val="471117864"/>
      </c:lineChart>
      <c:scatterChart>
        <c:scatterStyle val="lineMarker"/>
        <c:varyColors val="0"/>
        <c:ser>
          <c:idx val="2"/>
          <c:order val="2"/>
          <c:tx>
            <c:strRef>
              <c:f>Charts!$BF$2</c:f>
              <c:strCache>
                <c:ptCount val="1"/>
                <c:pt idx="0">
                  <c:v>Current Date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Charts!$BG$2:$BG$3</c:f>
              <c:numCache>
                <c:formatCode>m/d/yyyy</c:formatCode>
                <c:ptCount val="2"/>
                <c:pt idx="0">
                  <c:v>43168</c:v>
                </c:pt>
                <c:pt idx="1">
                  <c:v>43168</c:v>
                </c:pt>
              </c:numCache>
            </c:numRef>
          </c:xVal>
          <c:yVal>
            <c:numRef>
              <c:f>Charts!$BH$2:$BH$3</c:f>
              <c:numCache>
                <c:formatCode>General</c:formatCode>
                <c:ptCount val="2"/>
                <c:pt idx="0">
                  <c:v>0</c:v>
                </c:pt>
                <c:pt idx="1">
                  <c:v>5000000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21392"/>
        <c:axId val="471117864"/>
      </c:scatterChart>
      <c:dateAx>
        <c:axId val="471121392"/>
        <c:scaling>
          <c:orientation val="minMax"/>
          <c:max val="485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7864"/>
        <c:crosses val="autoZero"/>
        <c:auto val="1"/>
        <c:lblOffset val="100"/>
        <c:baseTimeUnit val="months"/>
      </c:dateAx>
      <c:valAx>
        <c:axId val="471117864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Data!$AU$13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Data!$AU$14:$AU$315</c:f>
              <c:numCache>
                <c:formatCode>#,##0.00_);[Red]\(#,##0.00\)</c:formatCode>
                <c:ptCount val="302"/>
                <c:pt idx="0">
                  <c:v>3468.83</c:v>
                </c:pt>
                <c:pt idx="1">
                  <c:v>1387.22</c:v>
                </c:pt>
                <c:pt idx="2">
                  <c:v>1325.67</c:v>
                </c:pt>
                <c:pt idx="3">
                  <c:v>2697.3</c:v>
                </c:pt>
                <c:pt idx="4">
                  <c:v>3455.39</c:v>
                </c:pt>
                <c:pt idx="5">
                  <c:v>1059.0900000000001</c:v>
                </c:pt>
                <c:pt idx="6">
                  <c:v>2893.73</c:v>
                </c:pt>
                <c:pt idx="7">
                  <c:v>1973.96</c:v>
                </c:pt>
                <c:pt idx="8">
                  <c:v>3019.61</c:v>
                </c:pt>
                <c:pt idx="9">
                  <c:v>4752.0200000000004</c:v>
                </c:pt>
                <c:pt idx="10">
                  <c:v>5406.63</c:v>
                </c:pt>
                <c:pt idx="11">
                  <c:v>5955.16</c:v>
                </c:pt>
                <c:pt idx="12">
                  <c:v>5878.0599999999995</c:v>
                </c:pt>
                <c:pt idx="13">
                  <c:v>6630.87</c:v>
                </c:pt>
                <c:pt idx="14">
                  <c:v>5434.3399999999992</c:v>
                </c:pt>
                <c:pt idx="15">
                  <c:v>4542.2800000000007</c:v>
                </c:pt>
                <c:pt idx="16">
                  <c:v>5116.6400000000003</c:v>
                </c:pt>
                <c:pt idx="17">
                  <c:v>4424.6741666666667</c:v>
                </c:pt>
                <c:pt idx="18">
                  <c:v>4750.9553472222224</c:v>
                </c:pt>
                <c:pt idx="19">
                  <c:v>4754.2316261574069</c:v>
                </c:pt>
                <c:pt idx="20">
                  <c:v>4755.5967616705248</c:v>
                </c:pt>
                <c:pt idx="21">
                  <c:v>4753.5098251430682</c:v>
                </c:pt>
                <c:pt idx="22">
                  <c:v>4759.2848105716575</c:v>
                </c:pt>
                <c:pt idx="23">
                  <c:v>4771.3968781192962</c:v>
                </c:pt>
                <c:pt idx="24">
                  <c:v>4765.8549512959034</c:v>
                </c:pt>
                <c:pt idx="25">
                  <c:v>4761.186197237229</c:v>
                </c:pt>
                <c:pt idx="26">
                  <c:v>4764.3133803403307</c:v>
                </c:pt>
                <c:pt idx="27">
                  <c:v>4766.320328702026</c:v>
                </c:pt>
                <c:pt idx="28">
                  <c:v>4757.0670227605278</c:v>
                </c:pt>
                <c:pt idx="29">
                  <c:v>4758.9167746572384</c:v>
                </c:pt>
                <c:pt idx="30">
                  <c:v>4759.8861586564526</c:v>
                </c:pt>
                <c:pt idx="31">
                  <c:v>4760.6303929426385</c:v>
                </c:pt>
                <c:pt idx="32">
                  <c:v>4761.163623508075</c:v>
                </c:pt>
                <c:pt idx="33">
                  <c:v>4761.6275286612035</c:v>
                </c:pt>
                <c:pt idx="34">
                  <c:v>4762.3040039543812</c:v>
                </c:pt>
                <c:pt idx="35">
                  <c:v>4762.5556034029414</c:v>
                </c:pt>
                <c:pt idx="36">
                  <c:v>4761.818830509912</c:v>
                </c:pt>
                <c:pt idx="37">
                  <c:v>4761.4824871110795</c:v>
                </c:pt>
                <c:pt idx="38">
                  <c:v>4761.5071779339005</c:v>
                </c:pt>
                <c:pt idx="39">
                  <c:v>4761.2733277333646</c:v>
                </c:pt>
                <c:pt idx="40">
                  <c:v>4760.8527443193097</c:v>
                </c:pt>
                <c:pt idx="41">
                  <c:v>4761.168221115875</c:v>
                </c:pt>
                <c:pt idx="42">
                  <c:v>4761.3558416540945</c:v>
                </c:pt>
                <c:pt idx="43">
                  <c:v>4761.4783152372311</c:v>
                </c:pt>
                <c:pt idx="44">
                  <c:v>4761.5489754284472</c:v>
                </c:pt>
                <c:pt idx="45">
                  <c:v>4761.5810880884783</c:v>
                </c:pt>
                <c:pt idx="46">
                  <c:v>4761.5772180407512</c:v>
                </c:pt>
                <c:pt idx="47">
                  <c:v>4761.516652547949</c:v>
                </c:pt>
                <c:pt idx="48">
                  <c:v>4761.4300733100326</c:v>
                </c:pt>
                <c:pt idx="49">
                  <c:v>4761.3976768767097</c:v>
                </c:pt>
                <c:pt idx="50">
                  <c:v>4761.3906093571786</c:v>
                </c:pt>
                <c:pt idx="51">
                  <c:v>4761.3808953091184</c:v>
                </c:pt>
                <c:pt idx="52">
                  <c:v>4761.3898592737642</c:v>
                </c:pt>
                <c:pt idx="53">
                  <c:v>4761.4346188533027</c:v>
                </c:pt>
                <c:pt idx="54">
                  <c:v>4761.4568186647548</c:v>
                </c:pt>
                <c:pt idx="55">
                  <c:v>4761.4652334156435</c:v>
                </c:pt>
                <c:pt idx="56">
                  <c:v>4761.4641432638437</c:v>
                </c:pt>
                <c:pt idx="57">
                  <c:v>4761.4570739167939</c:v>
                </c:pt>
                <c:pt idx="58">
                  <c:v>4761.4467394024869</c:v>
                </c:pt>
                <c:pt idx="59">
                  <c:v>4761.4358661826318</c:v>
                </c:pt>
                <c:pt idx="60">
                  <c:v>4761.4291339855217</c:v>
                </c:pt>
                <c:pt idx="61">
                  <c:v>4761.4290557084787</c:v>
                </c:pt>
                <c:pt idx="62">
                  <c:v>4761.4316706111267</c:v>
                </c:pt>
                <c:pt idx="63">
                  <c:v>4761.4350923822894</c:v>
                </c:pt>
                <c:pt idx="64">
                  <c:v>4761.4396088050526</c:v>
                </c:pt>
                <c:pt idx="65">
                  <c:v>4761.4437545993278</c:v>
                </c:pt>
                <c:pt idx="66">
                  <c:v>4761.4445159114966</c:v>
                </c:pt>
                <c:pt idx="67">
                  <c:v>4761.4434906820579</c:v>
                </c:pt>
                <c:pt idx="68">
                  <c:v>4761.4416787875925</c:v>
                </c:pt>
                <c:pt idx="69">
                  <c:v>4761.4398067479051</c:v>
                </c:pt>
                <c:pt idx="70">
                  <c:v>4761.4383678171635</c:v>
                </c:pt>
                <c:pt idx="71">
                  <c:v>4761.4376701850542</c:v>
                </c:pt>
                <c:pt idx="72">
                  <c:v>4761.4378205185894</c:v>
                </c:pt>
                <c:pt idx="73">
                  <c:v>4761.4385443963438</c:v>
                </c:pt>
                <c:pt idx="74">
                  <c:v>4761.4393351203325</c:v>
                </c:pt>
                <c:pt idx="75">
                  <c:v>4761.4399738294342</c:v>
                </c:pt>
                <c:pt idx="76">
                  <c:v>4761.4403806166956</c:v>
                </c:pt>
                <c:pt idx="77">
                  <c:v>4761.4404449343328</c:v>
                </c:pt>
                <c:pt idx="78">
                  <c:v>4761.4401691289168</c:v>
                </c:pt>
                <c:pt idx="79">
                  <c:v>4761.4398068970349</c:v>
                </c:pt>
                <c:pt idx="80">
                  <c:v>4761.4394999149499</c:v>
                </c:pt>
                <c:pt idx="81">
                  <c:v>4761.4393183422289</c:v>
                </c:pt>
                <c:pt idx="82">
                  <c:v>4761.4392776417562</c:v>
                </c:pt>
                <c:pt idx="83">
                  <c:v>4761.4393534604724</c:v>
                </c:pt>
                <c:pt idx="84">
                  <c:v>4761.4394937334237</c:v>
                </c:pt>
                <c:pt idx="85">
                  <c:v>4761.4396331679936</c:v>
                </c:pt>
                <c:pt idx="86">
                  <c:v>4761.4397238989641</c:v>
                </c:pt>
                <c:pt idx="87">
                  <c:v>4761.4397562971835</c:v>
                </c:pt>
                <c:pt idx="88">
                  <c:v>4761.4397381694962</c:v>
                </c:pt>
                <c:pt idx="89">
                  <c:v>4761.4396846322288</c:v>
                </c:pt>
                <c:pt idx="90">
                  <c:v>4761.4396212737211</c:v>
                </c:pt>
                <c:pt idx="91">
                  <c:v>4761.4395756191207</c:v>
                </c:pt>
                <c:pt idx="92">
                  <c:v>4761.439556345962</c:v>
                </c:pt>
                <c:pt idx="93">
                  <c:v>4761.4395610485462</c:v>
                </c:pt>
                <c:pt idx="94">
                  <c:v>4761.4395812740722</c:v>
                </c:pt>
                <c:pt idx="95">
                  <c:v>4761.4396065767651</c:v>
                </c:pt>
                <c:pt idx="96">
                  <c:v>4761.4396276697898</c:v>
                </c:pt>
                <c:pt idx="97">
                  <c:v>4761.4396388311534</c:v>
                </c:pt>
                <c:pt idx="98">
                  <c:v>4761.4396393030838</c:v>
                </c:pt>
                <c:pt idx="99">
                  <c:v>4761.4396322534267</c:v>
                </c:pt>
                <c:pt idx="100">
                  <c:v>4761.4396219164473</c:v>
                </c:pt>
                <c:pt idx="101">
                  <c:v>4761.4396122286926</c:v>
                </c:pt>
                <c:pt idx="102">
                  <c:v>4761.4396061950647</c:v>
                </c:pt>
                <c:pt idx="103">
                  <c:v>4761.4396049385105</c:v>
                </c:pt>
                <c:pt idx="104">
                  <c:v>4761.4396073817934</c:v>
                </c:pt>
                <c:pt idx="105">
                  <c:v>4761.4396116347789</c:v>
                </c:pt>
                <c:pt idx="106">
                  <c:v>4761.4396158502987</c:v>
                </c:pt>
                <c:pt idx="107">
                  <c:v>4761.4396187316506</c:v>
                </c:pt>
                <c:pt idx="108">
                  <c:v>4761.4396197445576</c:v>
                </c:pt>
                <c:pt idx="109">
                  <c:v>4761.4396190841217</c:v>
                </c:pt>
                <c:pt idx="110">
                  <c:v>4761.4396174385356</c:v>
                </c:pt>
                <c:pt idx="111">
                  <c:v>4761.4396156164894</c:v>
                </c:pt>
                <c:pt idx="112">
                  <c:v>4761.4396142300784</c:v>
                </c:pt>
                <c:pt idx="113">
                  <c:v>4761.4396135895477</c:v>
                </c:pt>
                <c:pt idx="114">
                  <c:v>4761.4396137029526</c:v>
                </c:pt>
                <c:pt idx="115">
                  <c:v>4761.4396143286094</c:v>
                </c:pt>
                <c:pt idx="116">
                  <c:v>4761.4396151111177</c:v>
                </c:pt>
                <c:pt idx="117">
                  <c:v>4761.4396157552283</c:v>
                </c:pt>
                <c:pt idx="118">
                  <c:v>4761.4396160985989</c:v>
                </c:pt>
                <c:pt idx="119">
                  <c:v>4761.4396161192908</c:v>
                </c:pt>
                <c:pt idx="120">
                  <c:v>4761.4396159015942</c:v>
                </c:pt>
                <c:pt idx="121">
                  <c:v>4761.4396155813465</c:v>
                </c:pt>
                <c:pt idx="122">
                  <c:v>4761.4396152894496</c:v>
                </c:pt>
                <c:pt idx="123">
                  <c:v>4761.4396151103592</c:v>
                </c:pt>
                <c:pt idx="124">
                  <c:v>4761.4396150681805</c:v>
                </c:pt>
                <c:pt idx="125">
                  <c:v>4761.4396151380224</c:v>
                </c:pt>
                <c:pt idx="126">
                  <c:v>4761.4396152670624</c:v>
                </c:pt>
                <c:pt idx="127">
                  <c:v>4761.4396153974049</c:v>
                </c:pt>
                <c:pt idx="128">
                  <c:v>4761.4396154864717</c:v>
                </c:pt>
                <c:pt idx="129">
                  <c:v>4761.439615517751</c:v>
                </c:pt>
                <c:pt idx="130">
                  <c:v>4761.4396154979604</c:v>
                </c:pt>
                <c:pt idx="131">
                  <c:v>4761.4396154479073</c:v>
                </c:pt>
                <c:pt idx="132">
                  <c:v>4761.4396153919588</c:v>
                </c:pt>
                <c:pt idx="133">
                  <c:v>4761.439615349489</c:v>
                </c:pt>
                <c:pt idx="134">
                  <c:v>4761.4396153301677</c:v>
                </c:pt>
                <c:pt idx="135">
                  <c:v>4761.439615333562</c:v>
                </c:pt>
                <c:pt idx="136">
                  <c:v>4761.4396153521611</c:v>
                </c:pt>
                <c:pt idx="137">
                  <c:v>4761.4396153758262</c:v>
                </c:pt>
                <c:pt idx="138">
                  <c:v>4761.4396153956441</c:v>
                </c:pt>
                <c:pt idx="139">
                  <c:v>4761.4396154063588</c:v>
                </c:pt>
                <c:pt idx="140">
                  <c:v>4761.4396154071055</c:v>
                </c:pt>
                <c:pt idx="141">
                  <c:v>4761.4396154004917</c:v>
                </c:pt>
                <c:pt idx="142">
                  <c:v>4761.4396153907201</c:v>
                </c:pt>
                <c:pt idx="143">
                  <c:v>4761.4396153817834</c:v>
                </c:pt>
                <c:pt idx="144">
                  <c:v>4761.4396153762718</c:v>
                </c:pt>
                <c:pt idx="145">
                  <c:v>4761.4396153749649</c:v>
                </c:pt>
                <c:pt idx="146">
                  <c:v>4761.4396153770886</c:v>
                </c:pt>
                <c:pt idx="147">
                  <c:v>4761.4396153809976</c:v>
                </c:pt>
                <c:pt idx="148">
                  <c:v>4761.4396153849511</c:v>
                </c:pt>
                <c:pt idx="149">
                  <c:v>4761.4396153876842</c:v>
                </c:pt>
                <c:pt idx="150">
                  <c:v>4761.4396153886719</c:v>
                </c:pt>
                <c:pt idx="151">
                  <c:v>4761.4396153880907</c:v>
                </c:pt>
                <c:pt idx="152">
                  <c:v>4761.4396153865682</c:v>
                </c:pt>
                <c:pt idx="153">
                  <c:v>4761.4396153848575</c:v>
                </c:pt>
                <c:pt idx="154">
                  <c:v>4761.4396153835542</c:v>
                </c:pt>
                <c:pt idx="155">
                  <c:v>4761.4396153829566</c:v>
                </c:pt>
                <c:pt idx="156">
                  <c:v>4761.4396153830548</c:v>
                </c:pt>
                <c:pt idx="157">
                  <c:v>4761.4396153836205</c:v>
                </c:pt>
                <c:pt idx="158">
                  <c:v>4761.4396153843409</c:v>
                </c:pt>
                <c:pt idx="159">
                  <c:v>4761.4396153849457</c:v>
                </c:pt>
                <c:pt idx="160">
                  <c:v>4761.439615385274</c:v>
                </c:pt>
                <c:pt idx="161">
                  <c:v>4761.4396153853013</c:v>
                </c:pt>
                <c:pt idx="162">
                  <c:v>4761.439615385103</c:v>
                </c:pt>
                <c:pt idx="163">
                  <c:v>4761.4396153848056</c:v>
                </c:pt>
                <c:pt idx="164">
                  <c:v>4761.4396153845319</c:v>
                </c:pt>
                <c:pt idx="165">
                  <c:v>4761.4396153843627</c:v>
                </c:pt>
                <c:pt idx="166">
                  <c:v>4761.4396153843209</c:v>
                </c:pt>
                <c:pt idx="167">
                  <c:v>4761.4396153843845</c:v>
                </c:pt>
                <c:pt idx="168">
                  <c:v>4761.4396153845037</c:v>
                </c:pt>
                <c:pt idx="169">
                  <c:v>4761.4396153846246</c:v>
                </c:pt>
                <c:pt idx="170">
                  <c:v>4761.4396153847083</c:v>
                </c:pt>
                <c:pt idx="171">
                  <c:v>4761.4396153847392</c:v>
                </c:pt>
                <c:pt idx="172">
                  <c:v>4761.439615384721</c:v>
                </c:pt>
                <c:pt idx="173">
                  <c:v>4761.4396153846756</c:v>
                </c:pt>
                <c:pt idx="174">
                  <c:v>4761.4396153846228</c:v>
                </c:pt>
                <c:pt idx="175">
                  <c:v>4761.4396153845828</c:v>
                </c:pt>
                <c:pt idx="176">
                  <c:v>4761.4396153845646</c:v>
                </c:pt>
                <c:pt idx="177">
                  <c:v>4761.4396153845682</c:v>
                </c:pt>
                <c:pt idx="178">
                  <c:v>4761.4396153845846</c:v>
                </c:pt>
                <c:pt idx="179">
                  <c:v>4761.4396153846064</c:v>
                </c:pt>
                <c:pt idx="180">
                  <c:v>4761.4396153846255</c:v>
                </c:pt>
                <c:pt idx="181">
                  <c:v>4761.4396153846355</c:v>
                </c:pt>
                <c:pt idx="182">
                  <c:v>4761.4396153846365</c:v>
                </c:pt>
                <c:pt idx="183">
                  <c:v>4761.4396153846301</c:v>
                </c:pt>
                <c:pt idx="184">
                  <c:v>4761.439615384621</c:v>
                </c:pt>
                <c:pt idx="185">
                  <c:v>4761.4396153846128</c:v>
                </c:pt>
                <c:pt idx="186">
                  <c:v>4761.4396153846083</c:v>
                </c:pt>
                <c:pt idx="187">
                  <c:v>4761.4396153846064</c:v>
                </c:pt>
                <c:pt idx="188">
                  <c:v>4761.4396153846083</c:v>
                </c:pt>
                <c:pt idx="189">
                  <c:v>4761.4396153846119</c:v>
                </c:pt>
                <c:pt idx="190">
                  <c:v>4761.4396153846155</c:v>
                </c:pt>
                <c:pt idx="191">
                  <c:v>4761.4396153846183</c:v>
                </c:pt>
                <c:pt idx="192">
                  <c:v>4761.4396153846192</c:v>
                </c:pt>
                <c:pt idx="193">
                  <c:v>4761.4396153846192</c:v>
                </c:pt>
                <c:pt idx="194">
                  <c:v>4761.4396153846174</c:v>
                </c:pt>
                <c:pt idx="195">
                  <c:v>4761.4396153846155</c:v>
                </c:pt>
                <c:pt idx="196">
                  <c:v>4761.4396153846146</c:v>
                </c:pt>
                <c:pt idx="197">
                  <c:v>4761.4396153846137</c:v>
                </c:pt>
                <c:pt idx="198">
                  <c:v>4761.4396153846137</c:v>
                </c:pt>
                <c:pt idx="199">
                  <c:v>4761.4396153846146</c:v>
                </c:pt>
                <c:pt idx="200">
                  <c:v>4761.4396153846155</c:v>
                </c:pt>
                <c:pt idx="201">
                  <c:v>4761.4396153846155</c:v>
                </c:pt>
                <c:pt idx="202">
                  <c:v>4761.4396153846155</c:v>
                </c:pt>
                <c:pt idx="203">
                  <c:v>4761.4396153846155</c:v>
                </c:pt>
                <c:pt idx="204">
                  <c:v>4761.4396153846155</c:v>
                </c:pt>
                <c:pt idx="205">
                  <c:v>4761.4396153846155</c:v>
                </c:pt>
                <c:pt idx="206">
                  <c:v>4761.4396153846155</c:v>
                </c:pt>
                <c:pt idx="207">
                  <c:v>4761.4396153846155</c:v>
                </c:pt>
                <c:pt idx="208">
                  <c:v>4761.4396153846155</c:v>
                </c:pt>
                <c:pt idx="209">
                  <c:v>4761.4396153846155</c:v>
                </c:pt>
                <c:pt idx="210">
                  <c:v>4761.4396153846155</c:v>
                </c:pt>
                <c:pt idx="211">
                  <c:v>4761.4396153846155</c:v>
                </c:pt>
                <c:pt idx="212">
                  <c:v>4761.4396153846155</c:v>
                </c:pt>
                <c:pt idx="213">
                  <c:v>4761.4396153846155</c:v>
                </c:pt>
                <c:pt idx="214">
                  <c:v>4761.4396153846155</c:v>
                </c:pt>
                <c:pt idx="215">
                  <c:v>4761.4396153846155</c:v>
                </c:pt>
                <c:pt idx="216">
                  <c:v>4761.4396153846155</c:v>
                </c:pt>
                <c:pt idx="217">
                  <c:v>4761.4396153846155</c:v>
                </c:pt>
                <c:pt idx="218">
                  <c:v>4761.4396153846155</c:v>
                </c:pt>
                <c:pt idx="219">
                  <c:v>4761.4396153846155</c:v>
                </c:pt>
                <c:pt idx="220">
                  <c:v>4761.4396153846155</c:v>
                </c:pt>
                <c:pt idx="221">
                  <c:v>4761.4396153846155</c:v>
                </c:pt>
                <c:pt idx="222">
                  <c:v>4761.4396153846155</c:v>
                </c:pt>
                <c:pt idx="223">
                  <c:v>4761.4396153846155</c:v>
                </c:pt>
                <c:pt idx="224">
                  <c:v>4761.4396153846155</c:v>
                </c:pt>
                <c:pt idx="225">
                  <c:v>4761.4396153846155</c:v>
                </c:pt>
                <c:pt idx="226">
                  <c:v>4761.4396153846155</c:v>
                </c:pt>
                <c:pt idx="227">
                  <c:v>4761.4396153846155</c:v>
                </c:pt>
                <c:pt idx="228">
                  <c:v>4761.4396153846155</c:v>
                </c:pt>
                <c:pt idx="229">
                  <c:v>4761.4396153846155</c:v>
                </c:pt>
                <c:pt idx="230">
                  <c:v>4761.4396153846155</c:v>
                </c:pt>
                <c:pt idx="231">
                  <c:v>4761.4396153846155</c:v>
                </c:pt>
                <c:pt idx="232">
                  <c:v>4761.4396153846155</c:v>
                </c:pt>
                <c:pt idx="233">
                  <c:v>4761.4396153846155</c:v>
                </c:pt>
                <c:pt idx="234">
                  <c:v>4761.4396153846155</c:v>
                </c:pt>
                <c:pt idx="235">
                  <c:v>4761.4396153846155</c:v>
                </c:pt>
                <c:pt idx="236">
                  <c:v>4761.4396153846155</c:v>
                </c:pt>
                <c:pt idx="237">
                  <c:v>4761.4396153846155</c:v>
                </c:pt>
                <c:pt idx="238">
                  <c:v>4761.4396153846155</c:v>
                </c:pt>
                <c:pt idx="239">
                  <c:v>4761.4396153846155</c:v>
                </c:pt>
                <c:pt idx="240">
                  <c:v>4761.4396153846155</c:v>
                </c:pt>
                <c:pt idx="241">
                  <c:v>4761.4396153846155</c:v>
                </c:pt>
                <c:pt idx="242">
                  <c:v>4761.4396153846155</c:v>
                </c:pt>
                <c:pt idx="243">
                  <c:v>4761.4396153846155</c:v>
                </c:pt>
                <c:pt idx="244">
                  <c:v>4761.4396153846155</c:v>
                </c:pt>
                <c:pt idx="245">
                  <c:v>4761.4396153846155</c:v>
                </c:pt>
                <c:pt idx="246">
                  <c:v>4761.4396153846155</c:v>
                </c:pt>
                <c:pt idx="247">
                  <c:v>4761.4396153846155</c:v>
                </c:pt>
                <c:pt idx="248">
                  <c:v>4761.4396153846155</c:v>
                </c:pt>
                <c:pt idx="249">
                  <c:v>4761.4396153846155</c:v>
                </c:pt>
                <c:pt idx="250">
                  <c:v>4761.4396153846155</c:v>
                </c:pt>
                <c:pt idx="251">
                  <c:v>4761.4396153846155</c:v>
                </c:pt>
                <c:pt idx="252">
                  <c:v>4761.4396153846155</c:v>
                </c:pt>
                <c:pt idx="253">
                  <c:v>4761.4396153846155</c:v>
                </c:pt>
                <c:pt idx="254">
                  <c:v>4761.4396153846155</c:v>
                </c:pt>
                <c:pt idx="255">
                  <c:v>4761.4396153846155</c:v>
                </c:pt>
                <c:pt idx="256">
                  <c:v>4761.4396153846155</c:v>
                </c:pt>
                <c:pt idx="257">
                  <c:v>4761.4396153846155</c:v>
                </c:pt>
                <c:pt idx="258">
                  <c:v>4761.4396153846155</c:v>
                </c:pt>
                <c:pt idx="259">
                  <c:v>4761.4396153846155</c:v>
                </c:pt>
                <c:pt idx="260">
                  <c:v>4761.4396153846155</c:v>
                </c:pt>
                <c:pt idx="261">
                  <c:v>4761.4396153846155</c:v>
                </c:pt>
                <c:pt idx="262">
                  <c:v>4761.4396153846155</c:v>
                </c:pt>
                <c:pt idx="263">
                  <c:v>4761.4396153846155</c:v>
                </c:pt>
                <c:pt idx="264">
                  <c:v>4761.4396153846155</c:v>
                </c:pt>
                <c:pt idx="265">
                  <c:v>4761.4396153846155</c:v>
                </c:pt>
                <c:pt idx="266">
                  <c:v>4761.4396153846155</c:v>
                </c:pt>
                <c:pt idx="267">
                  <c:v>4761.4396153846155</c:v>
                </c:pt>
                <c:pt idx="268">
                  <c:v>4761.4396153846155</c:v>
                </c:pt>
                <c:pt idx="269">
                  <c:v>4761.4396153846155</c:v>
                </c:pt>
                <c:pt idx="270">
                  <c:v>4761.4396153846155</c:v>
                </c:pt>
                <c:pt idx="271">
                  <c:v>4761.4396153846155</c:v>
                </c:pt>
                <c:pt idx="272">
                  <c:v>4761.4396153846155</c:v>
                </c:pt>
                <c:pt idx="273">
                  <c:v>4761.4396153846155</c:v>
                </c:pt>
                <c:pt idx="274">
                  <c:v>4761.4396153846155</c:v>
                </c:pt>
                <c:pt idx="275">
                  <c:v>4761.4396153846155</c:v>
                </c:pt>
                <c:pt idx="276">
                  <c:v>4761.4396153846155</c:v>
                </c:pt>
                <c:pt idx="277">
                  <c:v>4761.4396153846155</c:v>
                </c:pt>
                <c:pt idx="278">
                  <c:v>4761.4396153846155</c:v>
                </c:pt>
                <c:pt idx="279">
                  <c:v>4761.4396153846155</c:v>
                </c:pt>
                <c:pt idx="280">
                  <c:v>4761.4396153846155</c:v>
                </c:pt>
                <c:pt idx="281">
                  <c:v>4761.4396153846155</c:v>
                </c:pt>
                <c:pt idx="282">
                  <c:v>4761.4396153846155</c:v>
                </c:pt>
                <c:pt idx="283">
                  <c:v>4761.4396153846155</c:v>
                </c:pt>
                <c:pt idx="284">
                  <c:v>4761.4396153846155</c:v>
                </c:pt>
                <c:pt idx="285">
                  <c:v>4761.4396153846155</c:v>
                </c:pt>
                <c:pt idx="286">
                  <c:v>4761.4396153846155</c:v>
                </c:pt>
                <c:pt idx="287">
                  <c:v>4761.4396153846155</c:v>
                </c:pt>
                <c:pt idx="288">
                  <c:v>4761.4396153846155</c:v>
                </c:pt>
                <c:pt idx="289">
                  <c:v>4761.4396153846155</c:v>
                </c:pt>
                <c:pt idx="290">
                  <c:v>4761.4396153846155</c:v>
                </c:pt>
                <c:pt idx="291">
                  <c:v>4761.4396153846155</c:v>
                </c:pt>
                <c:pt idx="292">
                  <c:v>4761.4396153846155</c:v>
                </c:pt>
                <c:pt idx="293">
                  <c:v>4761.4396153846155</c:v>
                </c:pt>
                <c:pt idx="294">
                  <c:v>4761.4396153846155</c:v>
                </c:pt>
                <c:pt idx="295">
                  <c:v>4761.4396153846155</c:v>
                </c:pt>
                <c:pt idx="296">
                  <c:v>4761.4396153846155</c:v>
                </c:pt>
                <c:pt idx="297">
                  <c:v>4761.4396153846155</c:v>
                </c:pt>
                <c:pt idx="298">
                  <c:v>4761.4396153846155</c:v>
                </c:pt>
                <c:pt idx="299">
                  <c:v>4761.4396153846155</c:v>
                </c:pt>
                <c:pt idx="300">
                  <c:v>4761.4396153846155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1118648"/>
        <c:axId val="471119824"/>
      </c:barChart>
      <c:dateAx>
        <c:axId val="471118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9824"/>
        <c:crosses val="autoZero"/>
        <c:auto val="1"/>
        <c:lblOffset val="100"/>
        <c:baseTimeUnit val="months"/>
      </c:dateAx>
      <c:valAx>
        <c:axId val="4711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Use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0"/>
          <c:tx>
            <c:strRef>
              <c:f>Data!$AF$13</c:f>
              <c:strCache>
                <c:ptCount val="1"/>
                <c:pt idx="0">
                  <c:v>Chevron Visa 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Data!$AF$14:$AF$315</c:f>
              <c:numCache>
                <c:formatCode>#,##0.00_);[Red]\(#,##0.00\)</c:formatCode>
                <c:ptCount val="302"/>
                <c:pt idx="0">
                  <c:v>158.06</c:v>
                </c:pt>
                <c:pt idx="1">
                  <c:v>167.43</c:v>
                </c:pt>
                <c:pt idx="2">
                  <c:v>189.22</c:v>
                </c:pt>
                <c:pt idx="3">
                  <c:v>276.79000000000002</c:v>
                </c:pt>
                <c:pt idx="4">
                  <c:v>274.62</c:v>
                </c:pt>
                <c:pt idx="5">
                  <c:v>203.23</c:v>
                </c:pt>
                <c:pt idx="6">
                  <c:v>211.64</c:v>
                </c:pt>
                <c:pt idx="7">
                  <c:v>237.85</c:v>
                </c:pt>
                <c:pt idx="8">
                  <c:v>280.64</c:v>
                </c:pt>
                <c:pt idx="9">
                  <c:v>184.21</c:v>
                </c:pt>
                <c:pt idx="10">
                  <c:v>113.94</c:v>
                </c:pt>
                <c:pt idx="11">
                  <c:v>337.9</c:v>
                </c:pt>
                <c:pt idx="12">
                  <c:v>321.88</c:v>
                </c:pt>
                <c:pt idx="13">
                  <c:v>223.66</c:v>
                </c:pt>
                <c:pt idx="14">
                  <c:v>240.23</c:v>
                </c:pt>
                <c:pt idx="15">
                  <c:v>377.36</c:v>
                </c:pt>
                <c:pt idx="16">
                  <c:v>234.87</c:v>
                </c:pt>
                <c:pt idx="17">
                  <c:v>247.28416666666666</c:v>
                </c:pt>
                <c:pt idx="18">
                  <c:v>250.95534722222223</c:v>
                </c:pt>
                <c:pt idx="19">
                  <c:v>254.23162615740742</c:v>
                </c:pt>
                <c:pt idx="20">
                  <c:v>255.59676167052473</c:v>
                </c:pt>
                <c:pt idx="21">
                  <c:v>253.50982514306841</c:v>
                </c:pt>
                <c:pt idx="22">
                  <c:v>259.28481057165749</c:v>
                </c:pt>
                <c:pt idx="23">
                  <c:v>271.39687811929554</c:v>
                </c:pt>
                <c:pt idx="24">
                  <c:v>265.85495129590356</c:v>
                </c:pt>
                <c:pt idx="25">
                  <c:v>261.18619723722884</c:v>
                </c:pt>
                <c:pt idx="26">
                  <c:v>264.31338034033126</c:v>
                </c:pt>
                <c:pt idx="27">
                  <c:v>266.32032870202551</c:v>
                </c:pt>
                <c:pt idx="28">
                  <c:v>257.06702276052766</c:v>
                </c:pt>
                <c:pt idx="29">
                  <c:v>258.91677465723831</c:v>
                </c:pt>
                <c:pt idx="30">
                  <c:v>259.88615865645261</c:v>
                </c:pt>
                <c:pt idx="31">
                  <c:v>260.63039294263848</c:v>
                </c:pt>
                <c:pt idx="32">
                  <c:v>261.16362350807441</c:v>
                </c:pt>
                <c:pt idx="33">
                  <c:v>261.62752866120354</c:v>
                </c:pt>
                <c:pt idx="34">
                  <c:v>262.30400395438147</c:v>
                </c:pt>
                <c:pt idx="35">
                  <c:v>262.55560340294181</c:v>
                </c:pt>
                <c:pt idx="36">
                  <c:v>261.81883050991229</c:v>
                </c:pt>
                <c:pt idx="37">
                  <c:v>261.48248711107971</c:v>
                </c:pt>
                <c:pt idx="38">
                  <c:v>261.50717793390061</c:v>
                </c:pt>
                <c:pt idx="39">
                  <c:v>261.27332773336468</c:v>
                </c:pt>
                <c:pt idx="40">
                  <c:v>260.85274431930958</c:v>
                </c:pt>
                <c:pt idx="41">
                  <c:v>261.16822111587476</c:v>
                </c:pt>
                <c:pt idx="42">
                  <c:v>261.35584165409449</c:v>
                </c:pt>
                <c:pt idx="43">
                  <c:v>261.4783152372313</c:v>
                </c:pt>
                <c:pt idx="44">
                  <c:v>261.54897542844736</c:v>
                </c:pt>
                <c:pt idx="45">
                  <c:v>261.58108808847845</c:v>
                </c:pt>
                <c:pt idx="46">
                  <c:v>261.57721804075135</c:v>
                </c:pt>
                <c:pt idx="47">
                  <c:v>261.51665254794881</c:v>
                </c:pt>
                <c:pt idx="48">
                  <c:v>261.43007331003275</c:v>
                </c:pt>
                <c:pt idx="49">
                  <c:v>261.39767687670945</c:v>
                </c:pt>
                <c:pt idx="50">
                  <c:v>261.39060935717862</c:v>
                </c:pt>
                <c:pt idx="51">
                  <c:v>261.38089530911844</c:v>
                </c:pt>
                <c:pt idx="52">
                  <c:v>261.38985927376461</c:v>
                </c:pt>
                <c:pt idx="53">
                  <c:v>261.43461885330254</c:v>
                </c:pt>
                <c:pt idx="54">
                  <c:v>261.45681866475485</c:v>
                </c:pt>
                <c:pt idx="55">
                  <c:v>261.46523341564324</c:v>
                </c:pt>
                <c:pt idx="56">
                  <c:v>261.46414326384422</c:v>
                </c:pt>
                <c:pt idx="57">
                  <c:v>261.45707391679395</c:v>
                </c:pt>
                <c:pt idx="58">
                  <c:v>261.44673940248686</c:v>
                </c:pt>
                <c:pt idx="59">
                  <c:v>261.43586618263151</c:v>
                </c:pt>
                <c:pt idx="60">
                  <c:v>261.42913398552167</c:v>
                </c:pt>
                <c:pt idx="61">
                  <c:v>261.42905570847915</c:v>
                </c:pt>
                <c:pt idx="62">
                  <c:v>261.43167061112661</c:v>
                </c:pt>
                <c:pt idx="63">
                  <c:v>261.43509238228893</c:v>
                </c:pt>
                <c:pt idx="64">
                  <c:v>261.43960880505318</c:v>
                </c:pt>
                <c:pt idx="65">
                  <c:v>261.44375459932718</c:v>
                </c:pt>
                <c:pt idx="66">
                  <c:v>261.44451591149601</c:v>
                </c:pt>
                <c:pt idx="67">
                  <c:v>261.44349068205776</c:v>
                </c:pt>
                <c:pt idx="68">
                  <c:v>261.44167878759231</c:v>
                </c:pt>
                <c:pt idx="69">
                  <c:v>261.43980674790464</c:v>
                </c:pt>
                <c:pt idx="70">
                  <c:v>261.43836781716385</c:v>
                </c:pt>
                <c:pt idx="71">
                  <c:v>261.43767018505361</c:v>
                </c:pt>
                <c:pt idx="72">
                  <c:v>261.43782051858881</c:v>
                </c:pt>
                <c:pt idx="73">
                  <c:v>261.43854439634435</c:v>
                </c:pt>
                <c:pt idx="74">
                  <c:v>261.43933512033311</c:v>
                </c:pt>
                <c:pt idx="75">
                  <c:v>261.43997382943365</c:v>
                </c:pt>
                <c:pt idx="76">
                  <c:v>261.44038061669568</c:v>
                </c:pt>
                <c:pt idx="77">
                  <c:v>261.44044493433256</c:v>
                </c:pt>
                <c:pt idx="78">
                  <c:v>261.44016912891635</c:v>
                </c:pt>
                <c:pt idx="79">
                  <c:v>261.43980689703466</c:v>
                </c:pt>
                <c:pt idx="80">
                  <c:v>261.43949991494941</c:v>
                </c:pt>
                <c:pt idx="81">
                  <c:v>261.43931834222917</c:v>
                </c:pt>
                <c:pt idx="82">
                  <c:v>261.43927764175623</c:v>
                </c:pt>
                <c:pt idx="83">
                  <c:v>261.43935346047232</c:v>
                </c:pt>
                <c:pt idx="84">
                  <c:v>261.43949373342389</c:v>
                </c:pt>
                <c:pt idx="85">
                  <c:v>261.43963316799341</c:v>
                </c:pt>
                <c:pt idx="86">
                  <c:v>261.43972389896425</c:v>
                </c:pt>
                <c:pt idx="87">
                  <c:v>261.43975629718346</c:v>
                </c:pt>
                <c:pt idx="88">
                  <c:v>261.43973816949597</c:v>
                </c:pt>
                <c:pt idx="89">
                  <c:v>261.43968463222933</c:v>
                </c:pt>
                <c:pt idx="90">
                  <c:v>261.43962127372072</c:v>
                </c:pt>
                <c:pt idx="91">
                  <c:v>261.43957561912106</c:v>
                </c:pt>
                <c:pt idx="92">
                  <c:v>261.43955634596165</c:v>
                </c:pt>
                <c:pt idx="93">
                  <c:v>261.43956104854595</c:v>
                </c:pt>
                <c:pt idx="94">
                  <c:v>261.43958127407234</c:v>
                </c:pt>
                <c:pt idx="95">
                  <c:v>261.43960657676536</c:v>
                </c:pt>
                <c:pt idx="96">
                  <c:v>261.43962766978979</c:v>
                </c:pt>
                <c:pt idx="97">
                  <c:v>261.43963883115362</c:v>
                </c:pt>
                <c:pt idx="98">
                  <c:v>261.4396393030836</c:v>
                </c:pt>
                <c:pt idx="99">
                  <c:v>261.43963225342696</c:v>
                </c:pt>
                <c:pt idx="100">
                  <c:v>261.43962191644721</c:v>
                </c:pt>
                <c:pt idx="101">
                  <c:v>261.43961222869314</c:v>
                </c:pt>
                <c:pt idx="102">
                  <c:v>261.43960619506515</c:v>
                </c:pt>
                <c:pt idx="103">
                  <c:v>261.43960493851051</c:v>
                </c:pt>
                <c:pt idx="104">
                  <c:v>261.43960738179294</c:v>
                </c:pt>
                <c:pt idx="105">
                  <c:v>261.43961163477883</c:v>
                </c:pt>
                <c:pt idx="106">
                  <c:v>261.43961585029825</c:v>
                </c:pt>
                <c:pt idx="107">
                  <c:v>261.43961873165046</c:v>
                </c:pt>
                <c:pt idx="108">
                  <c:v>261.43961974455755</c:v>
                </c:pt>
                <c:pt idx="109">
                  <c:v>261.43961908412149</c:v>
                </c:pt>
                <c:pt idx="110">
                  <c:v>261.43961743853555</c:v>
                </c:pt>
                <c:pt idx="111">
                  <c:v>261.4396156164899</c:v>
                </c:pt>
                <c:pt idx="112">
                  <c:v>261.43961423007846</c:v>
                </c:pt>
                <c:pt idx="113">
                  <c:v>261.43961358954772</c:v>
                </c:pt>
                <c:pt idx="114">
                  <c:v>261.43961370295222</c:v>
                </c:pt>
                <c:pt idx="115">
                  <c:v>261.43961432860948</c:v>
                </c:pt>
                <c:pt idx="116">
                  <c:v>261.43961511111769</c:v>
                </c:pt>
                <c:pt idx="117">
                  <c:v>261.43961575522809</c:v>
                </c:pt>
                <c:pt idx="118">
                  <c:v>261.43961609859889</c:v>
                </c:pt>
                <c:pt idx="119">
                  <c:v>261.43961611929063</c:v>
                </c:pt>
                <c:pt idx="120">
                  <c:v>261.43961590159398</c:v>
                </c:pt>
                <c:pt idx="121">
                  <c:v>261.43961558134703</c:v>
                </c:pt>
                <c:pt idx="122">
                  <c:v>261.43961528944914</c:v>
                </c:pt>
                <c:pt idx="123">
                  <c:v>261.4396151103586</c:v>
                </c:pt>
                <c:pt idx="124">
                  <c:v>261.43961506818101</c:v>
                </c:pt>
                <c:pt idx="125">
                  <c:v>261.43961513802287</c:v>
                </c:pt>
                <c:pt idx="126">
                  <c:v>261.43961526706249</c:v>
                </c:pt>
                <c:pt idx="127">
                  <c:v>261.43961539740496</c:v>
                </c:pt>
                <c:pt idx="128">
                  <c:v>261.43961548647127</c:v>
                </c:pt>
                <c:pt idx="129">
                  <c:v>261.43961551775072</c:v>
                </c:pt>
                <c:pt idx="130">
                  <c:v>261.43961549796092</c:v>
                </c:pt>
                <c:pt idx="131">
                  <c:v>261.43961544790778</c:v>
                </c:pt>
                <c:pt idx="132">
                  <c:v>261.43961539195919</c:v>
                </c:pt>
                <c:pt idx="133">
                  <c:v>261.43961534948966</c:v>
                </c:pt>
                <c:pt idx="134">
                  <c:v>261.43961533016818</c:v>
                </c:pt>
                <c:pt idx="135">
                  <c:v>261.43961533356145</c:v>
                </c:pt>
                <c:pt idx="136">
                  <c:v>261.4396153521617</c:v>
                </c:pt>
                <c:pt idx="137">
                  <c:v>261.43961537582675</c:v>
                </c:pt>
                <c:pt idx="138">
                  <c:v>261.43961539564373</c:v>
                </c:pt>
                <c:pt idx="139">
                  <c:v>261.43961540635883</c:v>
                </c:pt>
                <c:pt idx="140">
                  <c:v>261.43961540710501</c:v>
                </c:pt>
                <c:pt idx="141">
                  <c:v>261.43961540049116</c:v>
                </c:pt>
                <c:pt idx="142">
                  <c:v>261.43961539071955</c:v>
                </c:pt>
                <c:pt idx="143">
                  <c:v>261.43961538178274</c:v>
                </c:pt>
                <c:pt idx="144">
                  <c:v>261.43961537627234</c:v>
                </c:pt>
                <c:pt idx="145">
                  <c:v>261.43961537496511</c:v>
                </c:pt>
                <c:pt idx="146">
                  <c:v>261.4396153770881</c:v>
                </c:pt>
                <c:pt idx="147">
                  <c:v>261.43961538099808</c:v>
                </c:pt>
                <c:pt idx="148">
                  <c:v>261.43961538495114</c:v>
                </c:pt>
                <c:pt idx="149">
                  <c:v>261.43961538768355</c:v>
                </c:pt>
                <c:pt idx="150">
                  <c:v>261.4396153886716</c:v>
                </c:pt>
                <c:pt idx="151">
                  <c:v>261.4396153880906</c:v>
                </c:pt>
                <c:pt idx="152">
                  <c:v>261.43961538656828</c:v>
                </c:pt>
                <c:pt idx="153">
                  <c:v>261.43961538485684</c:v>
                </c:pt>
                <c:pt idx="154">
                  <c:v>261.43961538355398</c:v>
                </c:pt>
                <c:pt idx="155">
                  <c:v>261.4396153829569</c:v>
                </c:pt>
                <c:pt idx="156">
                  <c:v>261.43961538305473</c:v>
                </c:pt>
                <c:pt idx="157">
                  <c:v>261.43961538361992</c:v>
                </c:pt>
                <c:pt idx="158">
                  <c:v>261.43961538434121</c:v>
                </c:pt>
                <c:pt idx="159">
                  <c:v>261.43961538494563</c:v>
                </c:pt>
                <c:pt idx="160">
                  <c:v>261.43961538527458</c:v>
                </c:pt>
                <c:pt idx="161">
                  <c:v>261.43961538530147</c:v>
                </c:pt>
                <c:pt idx="162">
                  <c:v>261.43961538510297</c:v>
                </c:pt>
                <c:pt idx="163">
                  <c:v>261.43961538480556</c:v>
                </c:pt>
                <c:pt idx="164">
                  <c:v>261.43961538453181</c:v>
                </c:pt>
                <c:pt idx="165">
                  <c:v>261.43961538436213</c:v>
                </c:pt>
                <c:pt idx="166">
                  <c:v>261.43961538432092</c:v>
                </c:pt>
                <c:pt idx="167">
                  <c:v>261.43961538438481</c:v>
                </c:pt>
                <c:pt idx="168">
                  <c:v>261.43961538450384</c:v>
                </c:pt>
                <c:pt idx="169">
                  <c:v>261.43961538462457</c:v>
                </c:pt>
                <c:pt idx="170">
                  <c:v>261.4396153847083</c:v>
                </c:pt>
                <c:pt idx="171">
                  <c:v>261.43961538473889</c:v>
                </c:pt>
                <c:pt idx="172">
                  <c:v>261.43961538472166</c:v>
                </c:pt>
                <c:pt idx="173">
                  <c:v>261.43961538467556</c:v>
                </c:pt>
                <c:pt idx="174">
                  <c:v>261.43961538462338</c:v>
                </c:pt>
                <c:pt idx="175">
                  <c:v>261.43961538458342</c:v>
                </c:pt>
                <c:pt idx="176">
                  <c:v>261.43961538456489</c:v>
                </c:pt>
                <c:pt idx="177">
                  <c:v>261.43961538456767</c:v>
                </c:pt>
                <c:pt idx="178">
                  <c:v>261.43961538458484</c:v>
                </c:pt>
                <c:pt idx="179">
                  <c:v>261.43961538460684</c:v>
                </c:pt>
                <c:pt idx="180">
                  <c:v>261.43961538462537</c:v>
                </c:pt>
                <c:pt idx="181">
                  <c:v>261.43961538463549</c:v>
                </c:pt>
                <c:pt idx="182">
                  <c:v>261.4396153846364</c:v>
                </c:pt>
                <c:pt idx="183">
                  <c:v>261.43961538463043</c:v>
                </c:pt>
                <c:pt idx="184">
                  <c:v>261.43961538462133</c:v>
                </c:pt>
                <c:pt idx="185">
                  <c:v>261.43961538461298</c:v>
                </c:pt>
                <c:pt idx="186">
                  <c:v>261.43961538460775</c:v>
                </c:pt>
                <c:pt idx="187">
                  <c:v>261.43961538460644</c:v>
                </c:pt>
                <c:pt idx="188">
                  <c:v>261.43961538460837</c:v>
                </c:pt>
                <c:pt idx="189">
                  <c:v>261.43961538461195</c:v>
                </c:pt>
                <c:pt idx="190">
                  <c:v>261.43961538461571</c:v>
                </c:pt>
                <c:pt idx="191">
                  <c:v>261.43961538461821</c:v>
                </c:pt>
                <c:pt idx="192">
                  <c:v>261.43961538461917</c:v>
                </c:pt>
                <c:pt idx="193">
                  <c:v>261.43961538461866</c:v>
                </c:pt>
                <c:pt idx="194">
                  <c:v>261.4396153846173</c:v>
                </c:pt>
                <c:pt idx="195">
                  <c:v>261.43961538461571</c:v>
                </c:pt>
                <c:pt idx="196">
                  <c:v>261.43961538461446</c:v>
                </c:pt>
                <c:pt idx="197">
                  <c:v>261.43961538461389</c:v>
                </c:pt>
                <c:pt idx="198">
                  <c:v>261.439615384614</c:v>
                </c:pt>
                <c:pt idx="199">
                  <c:v>261.43961538461451</c:v>
                </c:pt>
                <c:pt idx="200">
                  <c:v>261.43961538461519</c:v>
                </c:pt>
                <c:pt idx="201">
                  <c:v>261.43961538461576</c:v>
                </c:pt>
                <c:pt idx="202">
                  <c:v>261.43961538461605</c:v>
                </c:pt>
                <c:pt idx="203">
                  <c:v>261.4396153846161</c:v>
                </c:pt>
                <c:pt idx="204">
                  <c:v>261.43961538461593</c:v>
                </c:pt>
                <c:pt idx="205">
                  <c:v>261.43961538461559</c:v>
                </c:pt>
                <c:pt idx="206">
                  <c:v>261.43961538461537</c:v>
                </c:pt>
                <c:pt idx="207">
                  <c:v>261.43961538461525</c:v>
                </c:pt>
                <c:pt idx="208">
                  <c:v>261.43961538461514</c:v>
                </c:pt>
                <c:pt idx="209">
                  <c:v>261.43961538461525</c:v>
                </c:pt>
                <c:pt idx="210">
                  <c:v>261.43961538461531</c:v>
                </c:pt>
                <c:pt idx="211">
                  <c:v>261.43961538461548</c:v>
                </c:pt>
                <c:pt idx="212">
                  <c:v>261.43961538461554</c:v>
                </c:pt>
                <c:pt idx="213">
                  <c:v>261.43961538461554</c:v>
                </c:pt>
                <c:pt idx="214">
                  <c:v>261.43961538461554</c:v>
                </c:pt>
                <c:pt idx="215">
                  <c:v>261.43961538461548</c:v>
                </c:pt>
                <c:pt idx="216">
                  <c:v>261.43961538461548</c:v>
                </c:pt>
                <c:pt idx="217">
                  <c:v>261.43961538461542</c:v>
                </c:pt>
                <c:pt idx="218">
                  <c:v>261.43961538461542</c:v>
                </c:pt>
                <c:pt idx="219">
                  <c:v>261.43961538461548</c:v>
                </c:pt>
                <c:pt idx="220">
                  <c:v>261.43961538461548</c:v>
                </c:pt>
                <c:pt idx="221">
                  <c:v>261.43961538461548</c:v>
                </c:pt>
                <c:pt idx="222">
                  <c:v>261.43961538461548</c:v>
                </c:pt>
                <c:pt idx="223">
                  <c:v>261.43961538461554</c:v>
                </c:pt>
                <c:pt idx="224">
                  <c:v>261.43961538461554</c:v>
                </c:pt>
                <c:pt idx="225">
                  <c:v>261.43961538461554</c:v>
                </c:pt>
                <c:pt idx="226">
                  <c:v>261.43961538461554</c:v>
                </c:pt>
                <c:pt idx="227">
                  <c:v>261.43961538461548</c:v>
                </c:pt>
                <c:pt idx="228">
                  <c:v>261.43961538461548</c:v>
                </c:pt>
                <c:pt idx="229">
                  <c:v>261.43961538461554</c:v>
                </c:pt>
                <c:pt idx="230">
                  <c:v>261.43961538461554</c:v>
                </c:pt>
                <c:pt idx="231">
                  <c:v>261.43961538461554</c:v>
                </c:pt>
                <c:pt idx="232">
                  <c:v>261.43961538461548</c:v>
                </c:pt>
                <c:pt idx="233">
                  <c:v>261.43961538461554</c:v>
                </c:pt>
                <c:pt idx="234">
                  <c:v>261.43961538461554</c:v>
                </c:pt>
                <c:pt idx="235">
                  <c:v>261.43961538461554</c:v>
                </c:pt>
                <c:pt idx="236">
                  <c:v>261.43961538461554</c:v>
                </c:pt>
                <c:pt idx="237">
                  <c:v>261.43961538461554</c:v>
                </c:pt>
                <c:pt idx="238">
                  <c:v>261.43961538461554</c:v>
                </c:pt>
                <c:pt idx="239">
                  <c:v>261.43961538461554</c:v>
                </c:pt>
                <c:pt idx="240">
                  <c:v>261.43961538461554</c:v>
                </c:pt>
                <c:pt idx="241">
                  <c:v>261.43961538461554</c:v>
                </c:pt>
                <c:pt idx="242">
                  <c:v>261.43961538461554</c:v>
                </c:pt>
                <c:pt idx="243">
                  <c:v>261.43961538461554</c:v>
                </c:pt>
                <c:pt idx="244">
                  <c:v>261.43961538461554</c:v>
                </c:pt>
                <c:pt idx="245">
                  <c:v>261.43961538461554</c:v>
                </c:pt>
                <c:pt idx="246">
                  <c:v>261.43961538461554</c:v>
                </c:pt>
                <c:pt idx="247">
                  <c:v>261.43961538461554</c:v>
                </c:pt>
                <c:pt idx="248">
                  <c:v>261.43961538461554</c:v>
                </c:pt>
                <c:pt idx="249">
                  <c:v>261.43961538461554</c:v>
                </c:pt>
                <c:pt idx="250">
                  <c:v>261.43961538461554</c:v>
                </c:pt>
                <c:pt idx="251">
                  <c:v>261.43961538461554</c:v>
                </c:pt>
                <c:pt idx="252">
                  <c:v>261.43961538461554</c:v>
                </c:pt>
                <c:pt idx="253">
                  <c:v>261.43961538461554</c:v>
                </c:pt>
                <c:pt idx="254">
                  <c:v>261.43961538461554</c:v>
                </c:pt>
                <c:pt idx="255">
                  <c:v>261.43961538461554</c:v>
                </c:pt>
                <c:pt idx="256">
                  <c:v>261.43961538461554</c:v>
                </c:pt>
                <c:pt idx="257">
                  <c:v>261.43961538461554</c:v>
                </c:pt>
                <c:pt idx="258">
                  <c:v>261.43961538461554</c:v>
                </c:pt>
                <c:pt idx="259">
                  <c:v>261.43961538461554</c:v>
                </c:pt>
                <c:pt idx="260">
                  <c:v>261.43961538461554</c:v>
                </c:pt>
                <c:pt idx="261">
                  <c:v>261.43961538461554</c:v>
                </c:pt>
                <c:pt idx="262">
                  <c:v>261.43961538461554</c:v>
                </c:pt>
                <c:pt idx="263">
                  <c:v>261.43961538461554</c:v>
                </c:pt>
                <c:pt idx="264">
                  <c:v>261.43961538461554</c:v>
                </c:pt>
                <c:pt idx="265">
                  <c:v>261.43961538461554</c:v>
                </c:pt>
                <c:pt idx="266">
                  <c:v>261.43961538461554</c:v>
                </c:pt>
                <c:pt idx="267">
                  <c:v>261.43961538461554</c:v>
                </c:pt>
                <c:pt idx="268">
                  <c:v>261.43961538461554</c:v>
                </c:pt>
                <c:pt idx="269">
                  <c:v>261.43961538461554</c:v>
                </c:pt>
                <c:pt idx="270">
                  <c:v>261.43961538461554</c:v>
                </c:pt>
                <c:pt idx="271">
                  <c:v>261.43961538461554</c:v>
                </c:pt>
                <c:pt idx="272">
                  <c:v>261.43961538461554</c:v>
                </c:pt>
                <c:pt idx="273">
                  <c:v>261.43961538461554</c:v>
                </c:pt>
                <c:pt idx="274">
                  <c:v>261.43961538461554</c:v>
                </c:pt>
                <c:pt idx="275">
                  <c:v>261.43961538461554</c:v>
                </c:pt>
                <c:pt idx="276">
                  <c:v>261.43961538461554</c:v>
                </c:pt>
                <c:pt idx="277">
                  <c:v>261.43961538461554</c:v>
                </c:pt>
                <c:pt idx="278">
                  <c:v>261.43961538461554</c:v>
                </c:pt>
                <c:pt idx="279">
                  <c:v>261.43961538461554</c:v>
                </c:pt>
                <c:pt idx="280">
                  <c:v>261.43961538461554</c:v>
                </c:pt>
                <c:pt idx="281">
                  <c:v>261.43961538461554</c:v>
                </c:pt>
                <c:pt idx="282">
                  <c:v>261.43961538461554</c:v>
                </c:pt>
                <c:pt idx="283">
                  <c:v>261.43961538461554</c:v>
                </c:pt>
                <c:pt idx="284">
                  <c:v>261.43961538461554</c:v>
                </c:pt>
                <c:pt idx="285">
                  <c:v>261.43961538461554</c:v>
                </c:pt>
                <c:pt idx="286">
                  <c:v>261.43961538461554</c:v>
                </c:pt>
                <c:pt idx="287">
                  <c:v>261.43961538461554</c:v>
                </c:pt>
                <c:pt idx="288">
                  <c:v>261.43961538461554</c:v>
                </c:pt>
                <c:pt idx="289">
                  <c:v>261.43961538461554</c:v>
                </c:pt>
                <c:pt idx="290">
                  <c:v>261.43961538461554</c:v>
                </c:pt>
                <c:pt idx="291">
                  <c:v>261.43961538461554</c:v>
                </c:pt>
                <c:pt idx="292">
                  <c:v>261.43961538461554</c:v>
                </c:pt>
                <c:pt idx="293">
                  <c:v>261.43961538461554</c:v>
                </c:pt>
                <c:pt idx="294">
                  <c:v>261.43961538461554</c:v>
                </c:pt>
                <c:pt idx="295">
                  <c:v>261.43961538461554</c:v>
                </c:pt>
                <c:pt idx="296">
                  <c:v>261.43961538461554</c:v>
                </c:pt>
                <c:pt idx="297">
                  <c:v>261.43961538461554</c:v>
                </c:pt>
                <c:pt idx="298">
                  <c:v>261.43961538461554</c:v>
                </c:pt>
                <c:pt idx="299">
                  <c:v>261.43961538461554</c:v>
                </c:pt>
                <c:pt idx="300">
                  <c:v>261.43961538461554</c:v>
                </c:pt>
              </c:numCache>
            </c:numRef>
          </c:val>
        </c:ser>
        <c:ser>
          <c:idx val="0"/>
          <c:order val="1"/>
          <c:tx>
            <c:strRef>
              <c:f>Data!$AB$13</c:f>
              <c:strCache>
                <c:ptCount val="1"/>
                <c:pt idx="0">
                  <c:v>Discover 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Data!$AB$14:$AB$315</c:f>
              <c:numCache>
                <c:formatCode>#,##0.00_);[Red]\(#,##0.00\)</c:formatCode>
                <c:ptCount val="302"/>
                <c:pt idx="0">
                  <c:v>2560.77</c:v>
                </c:pt>
                <c:pt idx="1">
                  <c:v>469.79</c:v>
                </c:pt>
                <c:pt idx="2">
                  <c:v>386.45</c:v>
                </c:pt>
                <c:pt idx="3">
                  <c:v>2420.5100000000002</c:v>
                </c:pt>
                <c:pt idx="4">
                  <c:v>2430.77</c:v>
                </c:pt>
                <c:pt idx="5">
                  <c:v>35.71</c:v>
                </c:pt>
                <c:pt idx="6">
                  <c:v>4.3600000000000003</c:v>
                </c:pt>
                <c:pt idx="7">
                  <c:v>0</c:v>
                </c:pt>
                <c:pt idx="8">
                  <c:v>149.36000000000001</c:v>
                </c:pt>
                <c:pt idx="9">
                  <c:v>0</c:v>
                </c:pt>
                <c:pt idx="10">
                  <c:v>117.47</c:v>
                </c:pt>
                <c:pt idx="11">
                  <c:v>108.68</c:v>
                </c:pt>
                <c:pt idx="12">
                  <c:v>56.17</c:v>
                </c:pt>
                <c:pt idx="13">
                  <c:v>0</c:v>
                </c:pt>
                <c:pt idx="14">
                  <c:v>19.329999999999998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1"/>
          <c:order val="2"/>
          <c:tx>
            <c:strRef>
              <c:f>Data!$AC$13</c:f>
              <c:strCache>
                <c:ptCount val="1"/>
                <c:pt idx="0">
                  <c:v>Chase SP CC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Data!$AC$14:$AC$315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70.150000000000006</c:v>
                </c:pt>
                <c:pt idx="6">
                  <c:v>1927.73</c:v>
                </c:pt>
                <c:pt idx="7">
                  <c:v>770.74</c:v>
                </c:pt>
                <c:pt idx="8">
                  <c:v>1360.7</c:v>
                </c:pt>
                <c:pt idx="9">
                  <c:v>1407.15</c:v>
                </c:pt>
                <c:pt idx="10">
                  <c:v>1221.72</c:v>
                </c:pt>
                <c:pt idx="11">
                  <c:v>983.27</c:v>
                </c:pt>
                <c:pt idx="12">
                  <c:v>565.94000000000005</c:v>
                </c:pt>
                <c:pt idx="13">
                  <c:v>1723.47</c:v>
                </c:pt>
                <c:pt idx="14">
                  <c:v>1912.66</c:v>
                </c:pt>
                <c:pt idx="15">
                  <c:v>1611.28</c:v>
                </c:pt>
                <c:pt idx="16">
                  <c:v>1744.9</c:v>
                </c:pt>
                <c:pt idx="17">
                  <c:v>1716.38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2"/>
          <c:order val="3"/>
          <c:tx>
            <c:strRef>
              <c:f>Data!$AD$13</c:f>
              <c:strCache>
                <c:ptCount val="1"/>
                <c:pt idx="0">
                  <c:v>USAA 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Data!$AD$14:$AD$315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215.37</c:v>
                </c:pt>
                <c:pt idx="8">
                  <c:v>478.91</c:v>
                </c:pt>
                <c:pt idx="9">
                  <c:v>2410.66</c:v>
                </c:pt>
                <c:pt idx="10">
                  <c:v>3203.5</c:v>
                </c:pt>
                <c:pt idx="11">
                  <c:v>3775.31</c:v>
                </c:pt>
                <c:pt idx="12">
                  <c:v>4184.07</c:v>
                </c:pt>
                <c:pt idx="13">
                  <c:v>2956.19</c:v>
                </c:pt>
                <c:pt idx="14">
                  <c:v>1876.97</c:v>
                </c:pt>
                <c:pt idx="15">
                  <c:v>1131.1600000000001</c:v>
                </c:pt>
                <c:pt idx="16">
                  <c:v>1520.5</c:v>
                </c:pt>
                <c:pt idx="17">
                  <c:v>908.45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3"/>
          <c:order val="4"/>
          <c:tx>
            <c:strRef>
              <c:f>Data!$AE$13</c:f>
              <c:strCache>
                <c:ptCount val="1"/>
                <c:pt idx="0">
                  <c:v>AmEx BCP 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Data!$AE$14:$AE$315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977.55</c:v>
                </c:pt>
                <c:pt idx="14">
                  <c:v>635.15</c:v>
                </c:pt>
                <c:pt idx="15">
                  <c:v>672.48</c:v>
                </c:pt>
                <c:pt idx="16">
                  <c:v>866.37</c:v>
                </c:pt>
                <c:pt idx="17">
                  <c:v>802.56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5"/>
          <c:order val="5"/>
          <c:tx>
            <c:strRef>
              <c:f>Data!$AG$13</c:f>
              <c:strCache>
                <c:ptCount val="1"/>
                <c:pt idx="0">
                  <c:v>United 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Data!$D$14:$D$315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Data!$AG$14:$AG$315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25600"/>
        <c:axId val="580470376"/>
      </c:areaChart>
      <c:dateAx>
        <c:axId val="58772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70376"/>
        <c:crosses val="autoZero"/>
        <c:auto val="1"/>
        <c:lblOffset val="100"/>
        <c:baseTimeUnit val="months"/>
      </c:dateAx>
      <c:valAx>
        <c:axId val="5804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Sheet3!$C$5</c:f>
              <c:strCache>
                <c:ptCount val="1"/>
                <c:pt idx="0">
                  <c:v>Contributed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Sheet3!$A$6:$A$2053</c:f>
              <c:numCache>
                <c:formatCode>m/d/yyyy</c:formatCode>
                <c:ptCount val="2048"/>
                <c:pt idx="0">
                  <c:v>42650</c:v>
                </c:pt>
                <c:pt idx="1">
                  <c:v>42664</c:v>
                </c:pt>
                <c:pt idx="2">
                  <c:v>42678</c:v>
                </c:pt>
                <c:pt idx="3">
                  <c:v>42692</c:v>
                </c:pt>
                <c:pt idx="4">
                  <c:v>42706</c:v>
                </c:pt>
                <c:pt idx="5">
                  <c:v>42720</c:v>
                </c:pt>
                <c:pt idx="6">
                  <c:v>42734</c:v>
                </c:pt>
                <c:pt idx="7">
                  <c:v>42748</c:v>
                </c:pt>
                <c:pt idx="8">
                  <c:v>42762</c:v>
                </c:pt>
                <c:pt idx="9">
                  <c:v>42776</c:v>
                </c:pt>
                <c:pt idx="10">
                  <c:v>42790</c:v>
                </c:pt>
                <c:pt idx="11">
                  <c:v>42804</c:v>
                </c:pt>
                <c:pt idx="12">
                  <c:v>42818</c:v>
                </c:pt>
                <c:pt idx="13">
                  <c:v>42832</c:v>
                </c:pt>
                <c:pt idx="14">
                  <c:v>42846</c:v>
                </c:pt>
                <c:pt idx="15">
                  <c:v>42860</c:v>
                </c:pt>
                <c:pt idx="16">
                  <c:v>42874</c:v>
                </c:pt>
                <c:pt idx="17">
                  <c:v>42888</c:v>
                </c:pt>
                <c:pt idx="18">
                  <c:v>42902</c:v>
                </c:pt>
                <c:pt idx="19">
                  <c:v>42916</c:v>
                </c:pt>
                <c:pt idx="20">
                  <c:v>42930</c:v>
                </c:pt>
                <c:pt idx="21">
                  <c:v>42944</c:v>
                </c:pt>
                <c:pt idx="22">
                  <c:v>42958</c:v>
                </c:pt>
                <c:pt idx="23">
                  <c:v>42972</c:v>
                </c:pt>
                <c:pt idx="24">
                  <c:v>42986</c:v>
                </c:pt>
                <c:pt idx="25">
                  <c:v>43000</c:v>
                </c:pt>
                <c:pt idx="26">
                  <c:v>43014</c:v>
                </c:pt>
                <c:pt idx="27">
                  <c:v>43028</c:v>
                </c:pt>
                <c:pt idx="28">
                  <c:v>43042</c:v>
                </c:pt>
                <c:pt idx="29">
                  <c:v>43056</c:v>
                </c:pt>
                <c:pt idx="30">
                  <c:v>43070</c:v>
                </c:pt>
                <c:pt idx="31">
                  <c:v>43084</c:v>
                </c:pt>
                <c:pt idx="32">
                  <c:v>43098</c:v>
                </c:pt>
                <c:pt idx="33">
                  <c:v>43112</c:v>
                </c:pt>
                <c:pt idx="34">
                  <c:v>43126</c:v>
                </c:pt>
                <c:pt idx="35">
                  <c:v>43140</c:v>
                </c:pt>
                <c:pt idx="36">
                  <c:v>43154</c:v>
                </c:pt>
                <c:pt idx="37">
                  <c:v>43168</c:v>
                </c:pt>
                <c:pt idx="38">
                  <c:v>43182</c:v>
                </c:pt>
                <c:pt idx="39">
                  <c:v>43196</c:v>
                </c:pt>
                <c:pt idx="40">
                  <c:v>43210</c:v>
                </c:pt>
                <c:pt idx="41">
                  <c:v>43224</c:v>
                </c:pt>
                <c:pt idx="42">
                  <c:v>43238</c:v>
                </c:pt>
                <c:pt idx="43">
                  <c:v>43252</c:v>
                </c:pt>
                <c:pt idx="44">
                  <c:v>43266</c:v>
                </c:pt>
                <c:pt idx="45">
                  <c:v>43280</c:v>
                </c:pt>
                <c:pt idx="46">
                  <c:v>43294</c:v>
                </c:pt>
                <c:pt idx="47">
                  <c:v>43308</c:v>
                </c:pt>
                <c:pt idx="48">
                  <c:v>43322</c:v>
                </c:pt>
                <c:pt idx="49">
                  <c:v>43336</c:v>
                </c:pt>
                <c:pt idx="50">
                  <c:v>43350</c:v>
                </c:pt>
                <c:pt idx="51">
                  <c:v>43364</c:v>
                </c:pt>
                <c:pt idx="52">
                  <c:v>43378</c:v>
                </c:pt>
                <c:pt idx="53">
                  <c:v>43392</c:v>
                </c:pt>
                <c:pt idx="54">
                  <c:v>43406</c:v>
                </c:pt>
                <c:pt idx="55">
                  <c:v>43420</c:v>
                </c:pt>
                <c:pt idx="56">
                  <c:v>43434</c:v>
                </c:pt>
                <c:pt idx="57">
                  <c:v>43448</c:v>
                </c:pt>
                <c:pt idx="58">
                  <c:v>43462</c:v>
                </c:pt>
                <c:pt idx="59">
                  <c:v>43476</c:v>
                </c:pt>
                <c:pt idx="60">
                  <c:v>43490</c:v>
                </c:pt>
                <c:pt idx="61">
                  <c:v>43504</c:v>
                </c:pt>
                <c:pt idx="62">
                  <c:v>43518</c:v>
                </c:pt>
                <c:pt idx="63">
                  <c:v>43532</c:v>
                </c:pt>
                <c:pt idx="64">
                  <c:v>43546</c:v>
                </c:pt>
                <c:pt idx="65">
                  <c:v>43560</c:v>
                </c:pt>
                <c:pt idx="66">
                  <c:v>43574</c:v>
                </c:pt>
                <c:pt idx="67">
                  <c:v>43588</c:v>
                </c:pt>
                <c:pt idx="68">
                  <c:v>43602</c:v>
                </c:pt>
                <c:pt idx="69">
                  <c:v>43616</c:v>
                </c:pt>
                <c:pt idx="70">
                  <c:v>43630</c:v>
                </c:pt>
                <c:pt idx="71">
                  <c:v>43644</c:v>
                </c:pt>
                <c:pt idx="72">
                  <c:v>43658</c:v>
                </c:pt>
                <c:pt idx="73">
                  <c:v>43672</c:v>
                </c:pt>
                <c:pt idx="74">
                  <c:v>43686</c:v>
                </c:pt>
                <c:pt idx="75">
                  <c:v>43700</c:v>
                </c:pt>
                <c:pt idx="76">
                  <c:v>43714</c:v>
                </c:pt>
                <c:pt idx="77">
                  <c:v>43728</c:v>
                </c:pt>
                <c:pt idx="78">
                  <c:v>43742</c:v>
                </c:pt>
                <c:pt idx="79">
                  <c:v>43756</c:v>
                </c:pt>
                <c:pt idx="80">
                  <c:v>43770</c:v>
                </c:pt>
                <c:pt idx="81">
                  <c:v>43784</c:v>
                </c:pt>
                <c:pt idx="82">
                  <c:v>43798</c:v>
                </c:pt>
                <c:pt idx="83">
                  <c:v>43812</c:v>
                </c:pt>
                <c:pt idx="84">
                  <c:v>43826</c:v>
                </c:pt>
                <c:pt idx="85">
                  <c:v>43840</c:v>
                </c:pt>
                <c:pt idx="86">
                  <c:v>43854</c:v>
                </c:pt>
                <c:pt idx="87">
                  <c:v>43868</c:v>
                </c:pt>
                <c:pt idx="88">
                  <c:v>43882</c:v>
                </c:pt>
                <c:pt idx="89">
                  <c:v>43896</c:v>
                </c:pt>
                <c:pt idx="90">
                  <c:v>43910</c:v>
                </c:pt>
                <c:pt idx="91">
                  <c:v>43924</c:v>
                </c:pt>
                <c:pt idx="92">
                  <c:v>43938</c:v>
                </c:pt>
                <c:pt idx="93">
                  <c:v>43952</c:v>
                </c:pt>
                <c:pt idx="94">
                  <c:v>43966</c:v>
                </c:pt>
                <c:pt idx="95">
                  <c:v>43980</c:v>
                </c:pt>
                <c:pt idx="96">
                  <c:v>43994</c:v>
                </c:pt>
                <c:pt idx="97">
                  <c:v>44008</c:v>
                </c:pt>
                <c:pt idx="98">
                  <c:v>44022</c:v>
                </c:pt>
                <c:pt idx="99">
                  <c:v>44036</c:v>
                </c:pt>
                <c:pt idx="100">
                  <c:v>44050</c:v>
                </c:pt>
                <c:pt idx="101">
                  <c:v>44064</c:v>
                </c:pt>
                <c:pt idx="102">
                  <c:v>44078</c:v>
                </c:pt>
                <c:pt idx="103">
                  <c:v>44092</c:v>
                </c:pt>
                <c:pt idx="104">
                  <c:v>44106</c:v>
                </c:pt>
                <c:pt idx="105">
                  <c:v>44120</c:v>
                </c:pt>
                <c:pt idx="106">
                  <c:v>44134</c:v>
                </c:pt>
                <c:pt idx="107">
                  <c:v>44148</c:v>
                </c:pt>
                <c:pt idx="108">
                  <c:v>44162</c:v>
                </c:pt>
                <c:pt idx="109">
                  <c:v>44176</c:v>
                </c:pt>
                <c:pt idx="110">
                  <c:v>44190</c:v>
                </c:pt>
                <c:pt idx="111">
                  <c:v>44204</c:v>
                </c:pt>
                <c:pt idx="112">
                  <c:v>44218</c:v>
                </c:pt>
                <c:pt idx="113">
                  <c:v>44232</c:v>
                </c:pt>
                <c:pt idx="114">
                  <c:v>44246</c:v>
                </c:pt>
                <c:pt idx="115">
                  <c:v>44260</c:v>
                </c:pt>
                <c:pt idx="116">
                  <c:v>44274</c:v>
                </c:pt>
                <c:pt idx="117">
                  <c:v>44288</c:v>
                </c:pt>
                <c:pt idx="118">
                  <c:v>44302</c:v>
                </c:pt>
                <c:pt idx="119">
                  <c:v>44316</c:v>
                </c:pt>
                <c:pt idx="120">
                  <c:v>44330</c:v>
                </c:pt>
                <c:pt idx="121">
                  <c:v>44344</c:v>
                </c:pt>
                <c:pt idx="122">
                  <c:v>44358</c:v>
                </c:pt>
                <c:pt idx="123">
                  <c:v>44372</c:v>
                </c:pt>
                <c:pt idx="124">
                  <c:v>44386</c:v>
                </c:pt>
                <c:pt idx="125">
                  <c:v>44400</c:v>
                </c:pt>
                <c:pt idx="126">
                  <c:v>44414</c:v>
                </c:pt>
                <c:pt idx="127">
                  <c:v>44428</c:v>
                </c:pt>
                <c:pt idx="128">
                  <c:v>44442</c:v>
                </c:pt>
                <c:pt idx="129">
                  <c:v>44456</c:v>
                </c:pt>
                <c:pt idx="130">
                  <c:v>44470</c:v>
                </c:pt>
                <c:pt idx="131">
                  <c:v>44484</c:v>
                </c:pt>
                <c:pt idx="132">
                  <c:v>44498</c:v>
                </c:pt>
                <c:pt idx="133">
                  <c:v>44512</c:v>
                </c:pt>
                <c:pt idx="134">
                  <c:v>44526</c:v>
                </c:pt>
                <c:pt idx="135">
                  <c:v>44540</c:v>
                </c:pt>
                <c:pt idx="136">
                  <c:v>44554</c:v>
                </c:pt>
                <c:pt idx="137">
                  <c:v>44568</c:v>
                </c:pt>
                <c:pt idx="138">
                  <c:v>44582</c:v>
                </c:pt>
                <c:pt idx="139">
                  <c:v>44596</c:v>
                </c:pt>
                <c:pt idx="140">
                  <c:v>44610</c:v>
                </c:pt>
                <c:pt idx="141">
                  <c:v>44624</c:v>
                </c:pt>
                <c:pt idx="142">
                  <c:v>44638</c:v>
                </c:pt>
                <c:pt idx="143">
                  <c:v>44652</c:v>
                </c:pt>
                <c:pt idx="144">
                  <c:v>44666</c:v>
                </c:pt>
                <c:pt idx="145">
                  <c:v>44680</c:v>
                </c:pt>
                <c:pt idx="146">
                  <c:v>44694</c:v>
                </c:pt>
                <c:pt idx="147">
                  <c:v>44708</c:v>
                </c:pt>
                <c:pt idx="148">
                  <c:v>44722</c:v>
                </c:pt>
                <c:pt idx="149">
                  <c:v>44736</c:v>
                </c:pt>
                <c:pt idx="150">
                  <c:v>44750</c:v>
                </c:pt>
                <c:pt idx="151">
                  <c:v>44764</c:v>
                </c:pt>
                <c:pt idx="152">
                  <c:v>44778</c:v>
                </c:pt>
                <c:pt idx="153">
                  <c:v>44792</c:v>
                </c:pt>
                <c:pt idx="154">
                  <c:v>44806</c:v>
                </c:pt>
                <c:pt idx="155">
                  <c:v>44820</c:v>
                </c:pt>
                <c:pt idx="156">
                  <c:v>44834</c:v>
                </c:pt>
                <c:pt idx="157">
                  <c:v>44848</c:v>
                </c:pt>
                <c:pt idx="158">
                  <c:v>44862</c:v>
                </c:pt>
                <c:pt idx="159">
                  <c:v>44876</c:v>
                </c:pt>
                <c:pt idx="160">
                  <c:v>44890</c:v>
                </c:pt>
                <c:pt idx="161">
                  <c:v>44904</c:v>
                </c:pt>
                <c:pt idx="162">
                  <c:v>44918</c:v>
                </c:pt>
                <c:pt idx="163">
                  <c:v>44932</c:v>
                </c:pt>
                <c:pt idx="164">
                  <c:v>44946</c:v>
                </c:pt>
                <c:pt idx="165">
                  <c:v>44960</c:v>
                </c:pt>
                <c:pt idx="166">
                  <c:v>44974</c:v>
                </c:pt>
                <c:pt idx="167">
                  <c:v>44988</c:v>
                </c:pt>
                <c:pt idx="168">
                  <c:v>45002</c:v>
                </c:pt>
                <c:pt idx="169">
                  <c:v>45016</c:v>
                </c:pt>
                <c:pt idx="170">
                  <c:v>45030</c:v>
                </c:pt>
                <c:pt idx="171">
                  <c:v>45044</c:v>
                </c:pt>
                <c:pt idx="172">
                  <c:v>45058</c:v>
                </c:pt>
                <c:pt idx="173">
                  <c:v>45072</c:v>
                </c:pt>
                <c:pt idx="174">
                  <c:v>45086</c:v>
                </c:pt>
                <c:pt idx="175">
                  <c:v>45100</c:v>
                </c:pt>
                <c:pt idx="176">
                  <c:v>45114</c:v>
                </c:pt>
                <c:pt idx="177">
                  <c:v>45128</c:v>
                </c:pt>
                <c:pt idx="178">
                  <c:v>45142</c:v>
                </c:pt>
                <c:pt idx="179">
                  <c:v>45156</c:v>
                </c:pt>
                <c:pt idx="180">
                  <c:v>45170</c:v>
                </c:pt>
                <c:pt idx="181">
                  <c:v>45184</c:v>
                </c:pt>
                <c:pt idx="182">
                  <c:v>45198</c:v>
                </c:pt>
                <c:pt idx="183">
                  <c:v>45212</c:v>
                </c:pt>
                <c:pt idx="184">
                  <c:v>45226</c:v>
                </c:pt>
                <c:pt idx="185">
                  <c:v>45240</c:v>
                </c:pt>
                <c:pt idx="186">
                  <c:v>45254</c:v>
                </c:pt>
                <c:pt idx="187">
                  <c:v>45268</c:v>
                </c:pt>
                <c:pt idx="188">
                  <c:v>45282</c:v>
                </c:pt>
                <c:pt idx="189">
                  <c:v>45296</c:v>
                </c:pt>
                <c:pt idx="190">
                  <c:v>45310</c:v>
                </c:pt>
                <c:pt idx="191">
                  <c:v>45324</c:v>
                </c:pt>
                <c:pt idx="192">
                  <c:v>45338</c:v>
                </c:pt>
                <c:pt idx="193">
                  <c:v>45352</c:v>
                </c:pt>
                <c:pt idx="194">
                  <c:v>45366</c:v>
                </c:pt>
                <c:pt idx="195">
                  <c:v>45380</c:v>
                </c:pt>
                <c:pt idx="196">
                  <c:v>45394</c:v>
                </c:pt>
                <c:pt idx="197">
                  <c:v>45408</c:v>
                </c:pt>
                <c:pt idx="198">
                  <c:v>45422</c:v>
                </c:pt>
                <c:pt idx="199">
                  <c:v>45436</c:v>
                </c:pt>
                <c:pt idx="200">
                  <c:v>45450</c:v>
                </c:pt>
                <c:pt idx="201">
                  <c:v>45464</c:v>
                </c:pt>
                <c:pt idx="202">
                  <c:v>45478</c:v>
                </c:pt>
                <c:pt idx="203">
                  <c:v>45492</c:v>
                </c:pt>
                <c:pt idx="204">
                  <c:v>45506</c:v>
                </c:pt>
                <c:pt idx="205">
                  <c:v>45520</c:v>
                </c:pt>
                <c:pt idx="206">
                  <c:v>45534</c:v>
                </c:pt>
                <c:pt idx="207">
                  <c:v>45548</c:v>
                </c:pt>
                <c:pt idx="208">
                  <c:v>45562</c:v>
                </c:pt>
                <c:pt idx="209">
                  <c:v>45576</c:v>
                </c:pt>
                <c:pt idx="210">
                  <c:v>45590</c:v>
                </c:pt>
                <c:pt idx="211">
                  <c:v>45604</c:v>
                </c:pt>
                <c:pt idx="212">
                  <c:v>45618</c:v>
                </c:pt>
                <c:pt idx="213">
                  <c:v>45632</c:v>
                </c:pt>
                <c:pt idx="214">
                  <c:v>45646</c:v>
                </c:pt>
                <c:pt idx="215">
                  <c:v>45660</c:v>
                </c:pt>
                <c:pt idx="216">
                  <c:v>45674</c:v>
                </c:pt>
                <c:pt idx="217">
                  <c:v>45688</c:v>
                </c:pt>
                <c:pt idx="218">
                  <c:v>45702</c:v>
                </c:pt>
                <c:pt idx="219">
                  <c:v>45716</c:v>
                </c:pt>
                <c:pt idx="220">
                  <c:v>45730</c:v>
                </c:pt>
                <c:pt idx="221">
                  <c:v>45744</c:v>
                </c:pt>
                <c:pt idx="222">
                  <c:v>45758</c:v>
                </c:pt>
                <c:pt idx="223">
                  <c:v>45772</c:v>
                </c:pt>
                <c:pt idx="224">
                  <c:v>45786</c:v>
                </c:pt>
                <c:pt idx="225">
                  <c:v>45800</c:v>
                </c:pt>
                <c:pt idx="226">
                  <c:v>45814</c:v>
                </c:pt>
                <c:pt idx="227">
                  <c:v>45828</c:v>
                </c:pt>
                <c:pt idx="228">
                  <c:v>45842</c:v>
                </c:pt>
                <c:pt idx="229">
                  <c:v>45856</c:v>
                </c:pt>
                <c:pt idx="230">
                  <c:v>45870</c:v>
                </c:pt>
                <c:pt idx="231">
                  <c:v>45884</c:v>
                </c:pt>
                <c:pt idx="232">
                  <c:v>45898</c:v>
                </c:pt>
                <c:pt idx="233">
                  <c:v>45912</c:v>
                </c:pt>
                <c:pt idx="234">
                  <c:v>45926</c:v>
                </c:pt>
                <c:pt idx="235">
                  <c:v>45940</c:v>
                </c:pt>
                <c:pt idx="236">
                  <c:v>45954</c:v>
                </c:pt>
                <c:pt idx="237">
                  <c:v>45968</c:v>
                </c:pt>
                <c:pt idx="238">
                  <c:v>45982</c:v>
                </c:pt>
                <c:pt idx="239">
                  <c:v>45996</c:v>
                </c:pt>
                <c:pt idx="240">
                  <c:v>46010</c:v>
                </c:pt>
                <c:pt idx="241">
                  <c:v>46024</c:v>
                </c:pt>
                <c:pt idx="242">
                  <c:v>46038</c:v>
                </c:pt>
                <c:pt idx="243">
                  <c:v>46052</c:v>
                </c:pt>
                <c:pt idx="244">
                  <c:v>46066</c:v>
                </c:pt>
                <c:pt idx="245">
                  <c:v>46080</c:v>
                </c:pt>
                <c:pt idx="246">
                  <c:v>46094</c:v>
                </c:pt>
                <c:pt idx="247">
                  <c:v>46108</c:v>
                </c:pt>
                <c:pt idx="248">
                  <c:v>46122</c:v>
                </c:pt>
                <c:pt idx="249">
                  <c:v>46136</c:v>
                </c:pt>
                <c:pt idx="250">
                  <c:v>46150</c:v>
                </c:pt>
                <c:pt idx="251">
                  <c:v>46164</c:v>
                </c:pt>
                <c:pt idx="252">
                  <c:v>46178</c:v>
                </c:pt>
                <c:pt idx="253">
                  <c:v>46192</c:v>
                </c:pt>
                <c:pt idx="254">
                  <c:v>46206</c:v>
                </c:pt>
                <c:pt idx="255">
                  <c:v>46220</c:v>
                </c:pt>
                <c:pt idx="256">
                  <c:v>46234</c:v>
                </c:pt>
                <c:pt idx="257">
                  <c:v>46248</c:v>
                </c:pt>
                <c:pt idx="258">
                  <c:v>46262</c:v>
                </c:pt>
                <c:pt idx="259">
                  <c:v>46276</c:v>
                </c:pt>
                <c:pt idx="260">
                  <c:v>46290</c:v>
                </c:pt>
                <c:pt idx="261">
                  <c:v>46304</c:v>
                </c:pt>
                <c:pt idx="262">
                  <c:v>46318</c:v>
                </c:pt>
                <c:pt idx="263">
                  <c:v>46332</c:v>
                </c:pt>
                <c:pt idx="264">
                  <c:v>46346</c:v>
                </c:pt>
                <c:pt idx="265">
                  <c:v>46360</c:v>
                </c:pt>
                <c:pt idx="266">
                  <c:v>46374</c:v>
                </c:pt>
                <c:pt idx="267">
                  <c:v>46388</c:v>
                </c:pt>
                <c:pt idx="268">
                  <c:v>46402</c:v>
                </c:pt>
                <c:pt idx="269">
                  <c:v>46416</c:v>
                </c:pt>
                <c:pt idx="270">
                  <c:v>46430</c:v>
                </c:pt>
                <c:pt idx="271">
                  <c:v>46444</c:v>
                </c:pt>
                <c:pt idx="272">
                  <c:v>46458</c:v>
                </c:pt>
                <c:pt idx="273">
                  <c:v>46472</c:v>
                </c:pt>
                <c:pt idx="274">
                  <c:v>46486</c:v>
                </c:pt>
                <c:pt idx="275">
                  <c:v>46500</c:v>
                </c:pt>
                <c:pt idx="276">
                  <c:v>46514</c:v>
                </c:pt>
                <c:pt idx="277">
                  <c:v>46528</c:v>
                </c:pt>
                <c:pt idx="278">
                  <c:v>46542</c:v>
                </c:pt>
                <c:pt idx="279">
                  <c:v>46556</c:v>
                </c:pt>
                <c:pt idx="280">
                  <c:v>46570</c:v>
                </c:pt>
                <c:pt idx="281">
                  <c:v>46584</c:v>
                </c:pt>
                <c:pt idx="282">
                  <c:v>46598</c:v>
                </c:pt>
                <c:pt idx="283">
                  <c:v>46612</c:v>
                </c:pt>
                <c:pt idx="284">
                  <c:v>46626</c:v>
                </c:pt>
                <c:pt idx="285">
                  <c:v>46640</c:v>
                </c:pt>
                <c:pt idx="286">
                  <c:v>46654</c:v>
                </c:pt>
                <c:pt idx="287">
                  <c:v>46668</c:v>
                </c:pt>
                <c:pt idx="288">
                  <c:v>46682</c:v>
                </c:pt>
                <c:pt idx="289">
                  <c:v>46696</c:v>
                </c:pt>
                <c:pt idx="290">
                  <c:v>46710</c:v>
                </c:pt>
                <c:pt idx="291">
                  <c:v>46724</c:v>
                </c:pt>
                <c:pt idx="292">
                  <c:v>46738</c:v>
                </c:pt>
                <c:pt idx="293">
                  <c:v>46752</c:v>
                </c:pt>
                <c:pt idx="294">
                  <c:v>46766</c:v>
                </c:pt>
                <c:pt idx="295">
                  <c:v>46780</c:v>
                </c:pt>
                <c:pt idx="296">
                  <c:v>46794</c:v>
                </c:pt>
                <c:pt idx="297">
                  <c:v>46808</c:v>
                </c:pt>
                <c:pt idx="298">
                  <c:v>46822</c:v>
                </c:pt>
                <c:pt idx="299">
                  <c:v>46836</c:v>
                </c:pt>
                <c:pt idx="300">
                  <c:v>46850</c:v>
                </c:pt>
                <c:pt idx="301">
                  <c:v>46864</c:v>
                </c:pt>
                <c:pt idx="302">
                  <c:v>46878</c:v>
                </c:pt>
                <c:pt idx="303">
                  <c:v>46892</c:v>
                </c:pt>
                <c:pt idx="304">
                  <c:v>46906</c:v>
                </c:pt>
                <c:pt idx="305">
                  <c:v>46920</c:v>
                </c:pt>
                <c:pt idx="306">
                  <c:v>46934</c:v>
                </c:pt>
                <c:pt idx="307">
                  <c:v>46948</c:v>
                </c:pt>
                <c:pt idx="308">
                  <c:v>46962</c:v>
                </c:pt>
                <c:pt idx="309">
                  <c:v>46976</c:v>
                </c:pt>
                <c:pt idx="310">
                  <c:v>46990</c:v>
                </c:pt>
                <c:pt idx="311">
                  <c:v>47004</c:v>
                </c:pt>
                <c:pt idx="312">
                  <c:v>47018</c:v>
                </c:pt>
                <c:pt idx="313">
                  <c:v>47032</c:v>
                </c:pt>
                <c:pt idx="314">
                  <c:v>47046</c:v>
                </c:pt>
                <c:pt idx="315">
                  <c:v>47060</c:v>
                </c:pt>
                <c:pt idx="316">
                  <c:v>47074</c:v>
                </c:pt>
                <c:pt idx="317">
                  <c:v>47088</c:v>
                </c:pt>
                <c:pt idx="318">
                  <c:v>47102</c:v>
                </c:pt>
                <c:pt idx="319">
                  <c:v>47116</c:v>
                </c:pt>
                <c:pt idx="320">
                  <c:v>47130</c:v>
                </c:pt>
                <c:pt idx="321">
                  <c:v>47144</c:v>
                </c:pt>
                <c:pt idx="322">
                  <c:v>47158</c:v>
                </c:pt>
                <c:pt idx="323">
                  <c:v>47172</c:v>
                </c:pt>
                <c:pt idx="324">
                  <c:v>47186</c:v>
                </c:pt>
                <c:pt idx="325">
                  <c:v>47200</c:v>
                </c:pt>
                <c:pt idx="326">
                  <c:v>47214</c:v>
                </c:pt>
                <c:pt idx="327">
                  <c:v>47228</c:v>
                </c:pt>
                <c:pt idx="328">
                  <c:v>47242</c:v>
                </c:pt>
                <c:pt idx="329">
                  <c:v>47256</c:v>
                </c:pt>
                <c:pt idx="330">
                  <c:v>47270</c:v>
                </c:pt>
                <c:pt idx="331">
                  <c:v>47284</c:v>
                </c:pt>
                <c:pt idx="332">
                  <c:v>47298</c:v>
                </c:pt>
                <c:pt idx="333">
                  <c:v>47312</c:v>
                </c:pt>
                <c:pt idx="334">
                  <c:v>47326</c:v>
                </c:pt>
                <c:pt idx="335">
                  <c:v>47340</c:v>
                </c:pt>
                <c:pt idx="336">
                  <c:v>47354</c:v>
                </c:pt>
                <c:pt idx="337">
                  <c:v>47368</c:v>
                </c:pt>
                <c:pt idx="338">
                  <c:v>47382</c:v>
                </c:pt>
                <c:pt idx="339">
                  <c:v>47396</c:v>
                </c:pt>
                <c:pt idx="340">
                  <c:v>47410</c:v>
                </c:pt>
                <c:pt idx="341">
                  <c:v>47424</c:v>
                </c:pt>
                <c:pt idx="342">
                  <c:v>47438</c:v>
                </c:pt>
                <c:pt idx="343">
                  <c:v>47452</c:v>
                </c:pt>
                <c:pt idx="344">
                  <c:v>47466</c:v>
                </c:pt>
                <c:pt idx="345">
                  <c:v>47480</c:v>
                </c:pt>
                <c:pt idx="346">
                  <c:v>47494</c:v>
                </c:pt>
                <c:pt idx="347">
                  <c:v>47508</c:v>
                </c:pt>
                <c:pt idx="348">
                  <c:v>47522</c:v>
                </c:pt>
                <c:pt idx="349">
                  <c:v>47536</c:v>
                </c:pt>
                <c:pt idx="350">
                  <c:v>47550</c:v>
                </c:pt>
                <c:pt idx="351">
                  <c:v>47564</c:v>
                </c:pt>
                <c:pt idx="352">
                  <c:v>47578</c:v>
                </c:pt>
                <c:pt idx="353">
                  <c:v>47592</c:v>
                </c:pt>
                <c:pt idx="354">
                  <c:v>47606</c:v>
                </c:pt>
                <c:pt idx="355">
                  <c:v>47620</c:v>
                </c:pt>
                <c:pt idx="356">
                  <c:v>47634</c:v>
                </c:pt>
                <c:pt idx="357">
                  <c:v>47648</c:v>
                </c:pt>
                <c:pt idx="358">
                  <c:v>47662</c:v>
                </c:pt>
                <c:pt idx="359">
                  <c:v>47676</c:v>
                </c:pt>
                <c:pt idx="360">
                  <c:v>47690</c:v>
                </c:pt>
                <c:pt idx="361">
                  <c:v>47704</c:v>
                </c:pt>
                <c:pt idx="362">
                  <c:v>47718</c:v>
                </c:pt>
                <c:pt idx="363">
                  <c:v>47732</c:v>
                </c:pt>
                <c:pt idx="364">
                  <c:v>47746</c:v>
                </c:pt>
                <c:pt idx="365">
                  <c:v>47760</c:v>
                </c:pt>
                <c:pt idx="366">
                  <c:v>47774</c:v>
                </c:pt>
                <c:pt idx="367">
                  <c:v>47788</c:v>
                </c:pt>
                <c:pt idx="368">
                  <c:v>47802</c:v>
                </c:pt>
                <c:pt idx="369">
                  <c:v>47816</c:v>
                </c:pt>
                <c:pt idx="370">
                  <c:v>47830</c:v>
                </c:pt>
                <c:pt idx="371">
                  <c:v>47844</c:v>
                </c:pt>
                <c:pt idx="372">
                  <c:v>47858</c:v>
                </c:pt>
                <c:pt idx="373">
                  <c:v>47872</c:v>
                </c:pt>
                <c:pt idx="374">
                  <c:v>47886</c:v>
                </c:pt>
                <c:pt idx="375">
                  <c:v>47900</c:v>
                </c:pt>
                <c:pt idx="376">
                  <c:v>47914</c:v>
                </c:pt>
                <c:pt idx="377">
                  <c:v>47928</c:v>
                </c:pt>
                <c:pt idx="378">
                  <c:v>47942</c:v>
                </c:pt>
                <c:pt idx="379">
                  <c:v>47956</c:v>
                </c:pt>
                <c:pt idx="380">
                  <c:v>47970</c:v>
                </c:pt>
                <c:pt idx="381">
                  <c:v>47984</c:v>
                </c:pt>
                <c:pt idx="382">
                  <c:v>47998</c:v>
                </c:pt>
                <c:pt idx="383">
                  <c:v>48012</c:v>
                </c:pt>
                <c:pt idx="384">
                  <c:v>48026</c:v>
                </c:pt>
                <c:pt idx="385">
                  <c:v>48040</c:v>
                </c:pt>
                <c:pt idx="386">
                  <c:v>48054</c:v>
                </c:pt>
                <c:pt idx="387">
                  <c:v>48068</c:v>
                </c:pt>
                <c:pt idx="388">
                  <c:v>48082</c:v>
                </c:pt>
                <c:pt idx="389">
                  <c:v>48096</c:v>
                </c:pt>
                <c:pt idx="390">
                  <c:v>48110</c:v>
                </c:pt>
                <c:pt idx="391">
                  <c:v>48124</c:v>
                </c:pt>
                <c:pt idx="392">
                  <c:v>48138</c:v>
                </c:pt>
                <c:pt idx="393">
                  <c:v>48152</c:v>
                </c:pt>
                <c:pt idx="394">
                  <c:v>48166</c:v>
                </c:pt>
                <c:pt idx="395">
                  <c:v>48180</c:v>
                </c:pt>
                <c:pt idx="396">
                  <c:v>48194</c:v>
                </c:pt>
                <c:pt idx="397">
                  <c:v>48208</c:v>
                </c:pt>
                <c:pt idx="398">
                  <c:v>48222</c:v>
                </c:pt>
                <c:pt idx="399">
                  <c:v>48236</c:v>
                </c:pt>
                <c:pt idx="400">
                  <c:v>48250</c:v>
                </c:pt>
                <c:pt idx="401">
                  <c:v>48264</c:v>
                </c:pt>
                <c:pt idx="402">
                  <c:v>48278</c:v>
                </c:pt>
                <c:pt idx="403">
                  <c:v>48292</c:v>
                </c:pt>
                <c:pt idx="404">
                  <c:v>48306</c:v>
                </c:pt>
                <c:pt idx="405">
                  <c:v>48320</c:v>
                </c:pt>
                <c:pt idx="406">
                  <c:v>48334</c:v>
                </c:pt>
                <c:pt idx="407">
                  <c:v>48348</c:v>
                </c:pt>
                <c:pt idx="408">
                  <c:v>48362</c:v>
                </c:pt>
                <c:pt idx="409">
                  <c:v>48376</c:v>
                </c:pt>
                <c:pt idx="410">
                  <c:v>48390</c:v>
                </c:pt>
                <c:pt idx="411">
                  <c:v>48404</c:v>
                </c:pt>
                <c:pt idx="412">
                  <c:v>48418</c:v>
                </c:pt>
                <c:pt idx="413">
                  <c:v>48432</c:v>
                </c:pt>
                <c:pt idx="414">
                  <c:v>48446</c:v>
                </c:pt>
                <c:pt idx="415">
                  <c:v>48460</c:v>
                </c:pt>
                <c:pt idx="416">
                  <c:v>48474</c:v>
                </c:pt>
                <c:pt idx="417">
                  <c:v>48488</c:v>
                </c:pt>
                <c:pt idx="418">
                  <c:v>48502</c:v>
                </c:pt>
                <c:pt idx="419">
                  <c:v>48516</c:v>
                </c:pt>
                <c:pt idx="420">
                  <c:v>48530</c:v>
                </c:pt>
                <c:pt idx="421">
                  <c:v>48544</c:v>
                </c:pt>
                <c:pt idx="422">
                  <c:v>48558</c:v>
                </c:pt>
                <c:pt idx="423">
                  <c:v>48572</c:v>
                </c:pt>
                <c:pt idx="424">
                  <c:v>48586</c:v>
                </c:pt>
                <c:pt idx="425">
                  <c:v>48600</c:v>
                </c:pt>
                <c:pt idx="426">
                  <c:v>48614</c:v>
                </c:pt>
                <c:pt idx="427">
                  <c:v>48628</c:v>
                </c:pt>
                <c:pt idx="428">
                  <c:v>48642</c:v>
                </c:pt>
                <c:pt idx="429">
                  <c:v>48656</c:v>
                </c:pt>
                <c:pt idx="430">
                  <c:v>48670</c:v>
                </c:pt>
                <c:pt idx="431">
                  <c:v>48684</c:v>
                </c:pt>
                <c:pt idx="432">
                  <c:v>48698</c:v>
                </c:pt>
                <c:pt idx="433">
                  <c:v>48712</c:v>
                </c:pt>
                <c:pt idx="434">
                  <c:v>48726</c:v>
                </c:pt>
                <c:pt idx="435">
                  <c:v>48740</c:v>
                </c:pt>
                <c:pt idx="436">
                  <c:v>48754</c:v>
                </c:pt>
                <c:pt idx="437">
                  <c:v>48768</c:v>
                </c:pt>
                <c:pt idx="438">
                  <c:v>48782</c:v>
                </c:pt>
                <c:pt idx="439">
                  <c:v>48796</c:v>
                </c:pt>
                <c:pt idx="440">
                  <c:v>48810</c:v>
                </c:pt>
                <c:pt idx="441">
                  <c:v>48824</c:v>
                </c:pt>
                <c:pt idx="442">
                  <c:v>48838</c:v>
                </c:pt>
                <c:pt idx="443">
                  <c:v>48852</c:v>
                </c:pt>
                <c:pt idx="444">
                  <c:v>48866</c:v>
                </c:pt>
                <c:pt idx="445">
                  <c:v>48880</c:v>
                </c:pt>
                <c:pt idx="446">
                  <c:v>48894</c:v>
                </c:pt>
                <c:pt idx="447">
                  <c:v>48908</c:v>
                </c:pt>
                <c:pt idx="448">
                  <c:v>48922</c:v>
                </c:pt>
                <c:pt idx="449">
                  <c:v>48936</c:v>
                </c:pt>
                <c:pt idx="450">
                  <c:v>48950</c:v>
                </c:pt>
                <c:pt idx="451">
                  <c:v>48964</c:v>
                </c:pt>
                <c:pt idx="452">
                  <c:v>48978</c:v>
                </c:pt>
                <c:pt idx="453">
                  <c:v>48992</c:v>
                </c:pt>
                <c:pt idx="454">
                  <c:v>49006</c:v>
                </c:pt>
                <c:pt idx="455">
                  <c:v>49020</c:v>
                </c:pt>
                <c:pt idx="456">
                  <c:v>49034</c:v>
                </c:pt>
                <c:pt idx="457">
                  <c:v>49048</c:v>
                </c:pt>
                <c:pt idx="458">
                  <c:v>49062</c:v>
                </c:pt>
                <c:pt idx="459">
                  <c:v>49076</c:v>
                </c:pt>
                <c:pt idx="460">
                  <c:v>49090</c:v>
                </c:pt>
                <c:pt idx="461">
                  <c:v>49104</c:v>
                </c:pt>
                <c:pt idx="462">
                  <c:v>49118</c:v>
                </c:pt>
                <c:pt idx="463">
                  <c:v>49132</c:v>
                </c:pt>
                <c:pt idx="464">
                  <c:v>49146</c:v>
                </c:pt>
                <c:pt idx="465">
                  <c:v>49160</c:v>
                </c:pt>
                <c:pt idx="466">
                  <c:v>49174</c:v>
                </c:pt>
                <c:pt idx="467">
                  <c:v>49188</c:v>
                </c:pt>
                <c:pt idx="468">
                  <c:v>49202</c:v>
                </c:pt>
                <c:pt idx="469">
                  <c:v>49216</c:v>
                </c:pt>
                <c:pt idx="470">
                  <c:v>49230</c:v>
                </c:pt>
                <c:pt idx="471">
                  <c:v>49244</c:v>
                </c:pt>
                <c:pt idx="472">
                  <c:v>49258</c:v>
                </c:pt>
                <c:pt idx="473">
                  <c:v>49272</c:v>
                </c:pt>
                <c:pt idx="474">
                  <c:v>49286</c:v>
                </c:pt>
                <c:pt idx="475">
                  <c:v>49300</c:v>
                </c:pt>
                <c:pt idx="476">
                  <c:v>49314</c:v>
                </c:pt>
                <c:pt idx="477">
                  <c:v>49328</c:v>
                </c:pt>
                <c:pt idx="478">
                  <c:v>49342</c:v>
                </c:pt>
                <c:pt idx="479">
                  <c:v>49356</c:v>
                </c:pt>
                <c:pt idx="480">
                  <c:v>49370</c:v>
                </c:pt>
                <c:pt idx="481">
                  <c:v>49384</c:v>
                </c:pt>
                <c:pt idx="482">
                  <c:v>49398</c:v>
                </c:pt>
                <c:pt idx="483">
                  <c:v>49412</c:v>
                </c:pt>
                <c:pt idx="484">
                  <c:v>49426</c:v>
                </c:pt>
                <c:pt idx="485">
                  <c:v>49440</c:v>
                </c:pt>
                <c:pt idx="486">
                  <c:v>49454</c:v>
                </c:pt>
                <c:pt idx="487">
                  <c:v>49468</c:v>
                </c:pt>
                <c:pt idx="488">
                  <c:v>49482</c:v>
                </c:pt>
                <c:pt idx="489">
                  <c:v>49496</c:v>
                </c:pt>
                <c:pt idx="490">
                  <c:v>49510</c:v>
                </c:pt>
                <c:pt idx="491">
                  <c:v>49524</c:v>
                </c:pt>
                <c:pt idx="492">
                  <c:v>49538</c:v>
                </c:pt>
                <c:pt idx="493">
                  <c:v>49552</c:v>
                </c:pt>
                <c:pt idx="494">
                  <c:v>49566</c:v>
                </c:pt>
                <c:pt idx="495">
                  <c:v>49580</c:v>
                </c:pt>
                <c:pt idx="496">
                  <c:v>49594</c:v>
                </c:pt>
                <c:pt idx="497">
                  <c:v>49608</c:v>
                </c:pt>
                <c:pt idx="498">
                  <c:v>49622</c:v>
                </c:pt>
                <c:pt idx="499">
                  <c:v>49636</c:v>
                </c:pt>
                <c:pt idx="500">
                  <c:v>49650</c:v>
                </c:pt>
                <c:pt idx="501">
                  <c:v>49664</c:v>
                </c:pt>
                <c:pt idx="502">
                  <c:v>49678</c:v>
                </c:pt>
                <c:pt idx="503">
                  <c:v>49692</c:v>
                </c:pt>
                <c:pt idx="504">
                  <c:v>49706</c:v>
                </c:pt>
                <c:pt idx="505">
                  <c:v>49720</c:v>
                </c:pt>
                <c:pt idx="506">
                  <c:v>49734</c:v>
                </c:pt>
                <c:pt idx="507">
                  <c:v>49748</c:v>
                </c:pt>
                <c:pt idx="508">
                  <c:v>49762</c:v>
                </c:pt>
                <c:pt idx="509">
                  <c:v>49776</c:v>
                </c:pt>
                <c:pt idx="510">
                  <c:v>49790</c:v>
                </c:pt>
                <c:pt idx="511">
                  <c:v>49804</c:v>
                </c:pt>
                <c:pt idx="512">
                  <c:v>49818</c:v>
                </c:pt>
                <c:pt idx="513">
                  <c:v>49832</c:v>
                </c:pt>
                <c:pt idx="514">
                  <c:v>49846</c:v>
                </c:pt>
                <c:pt idx="515">
                  <c:v>49860</c:v>
                </c:pt>
                <c:pt idx="516">
                  <c:v>49874</c:v>
                </c:pt>
                <c:pt idx="517">
                  <c:v>49888</c:v>
                </c:pt>
                <c:pt idx="518">
                  <c:v>49902</c:v>
                </c:pt>
                <c:pt idx="519">
                  <c:v>49916</c:v>
                </c:pt>
                <c:pt idx="520">
                  <c:v>49930</c:v>
                </c:pt>
                <c:pt idx="521">
                  <c:v>49944</c:v>
                </c:pt>
                <c:pt idx="522">
                  <c:v>49958</c:v>
                </c:pt>
                <c:pt idx="523">
                  <c:v>49972</c:v>
                </c:pt>
                <c:pt idx="524">
                  <c:v>49986</c:v>
                </c:pt>
                <c:pt idx="525">
                  <c:v>50000</c:v>
                </c:pt>
                <c:pt idx="526">
                  <c:v>50014</c:v>
                </c:pt>
                <c:pt idx="527">
                  <c:v>50028</c:v>
                </c:pt>
                <c:pt idx="528">
                  <c:v>50042</c:v>
                </c:pt>
                <c:pt idx="529">
                  <c:v>50056</c:v>
                </c:pt>
                <c:pt idx="530">
                  <c:v>50070</c:v>
                </c:pt>
                <c:pt idx="531">
                  <c:v>50084</c:v>
                </c:pt>
                <c:pt idx="532">
                  <c:v>50098</c:v>
                </c:pt>
                <c:pt idx="533">
                  <c:v>50112</c:v>
                </c:pt>
                <c:pt idx="534">
                  <c:v>50126</c:v>
                </c:pt>
                <c:pt idx="535">
                  <c:v>50140</c:v>
                </c:pt>
                <c:pt idx="536">
                  <c:v>50154</c:v>
                </c:pt>
                <c:pt idx="537">
                  <c:v>50168</c:v>
                </c:pt>
                <c:pt idx="538">
                  <c:v>50182</c:v>
                </c:pt>
                <c:pt idx="539">
                  <c:v>50196</c:v>
                </c:pt>
                <c:pt idx="540">
                  <c:v>50210</c:v>
                </c:pt>
                <c:pt idx="541">
                  <c:v>50224</c:v>
                </c:pt>
                <c:pt idx="542">
                  <c:v>50238</c:v>
                </c:pt>
                <c:pt idx="543">
                  <c:v>50252</c:v>
                </c:pt>
                <c:pt idx="544">
                  <c:v>50266</c:v>
                </c:pt>
                <c:pt idx="545">
                  <c:v>50280</c:v>
                </c:pt>
                <c:pt idx="546">
                  <c:v>50294</c:v>
                </c:pt>
                <c:pt idx="547">
                  <c:v>50308</c:v>
                </c:pt>
                <c:pt idx="548">
                  <c:v>50322</c:v>
                </c:pt>
                <c:pt idx="549">
                  <c:v>50336</c:v>
                </c:pt>
                <c:pt idx="550">
                  <c:v>50350</c:v>
                </c:pt>
                <c:pt idx="551">
                  <c:v>50364</c:v>
                </c:pt>
                <c:pt idx="552">
                  <c:v>50378</c:v>
                </c:pt>
                <c:pt idx="553">
                  <c:v>50392</c:v>
                </c:pt>
                <c:pt idx="554">
                  <c:v>50406</c:v>
                </c:pt>
                <c:pt idx="555">
                  <c:v>50420</c:v>
                </c:pt>
                <c:pt idx="556">
                  <c:v>50434</c:v>
                </c:pt>
                <c:pt idx="557">
                  <c:v>50448</c:v>
                </c:pt>
                <c:pt idx="558">
                  <c:v>50462</c:v>
                </c:pt>
                <c:pt idx="559">
                  <c:v>50476</c:v>
                </c:pt>
                <c:pt idx="560">
                  <c:v>50490</c:v>
                </c:pt>
                <c:pt idx="561">
                  <c:v>50504</c:v>
                </c:pt>
                <c:pt idx="562">
                  <c:v>50518</c:v>
                </c:pt>
                <c:pt idx="563">
                  <c:v>50532</c:v>
                </c:pt>
                <c:pt idx="564">
                  <c:v>50546</c:v>
                </c:pt>
                <c:pt idx="565">
                  <c:v>50560</c:v>
                </c:pt>
                <c:pt idx="566">
                  <c:v>50574</c:v>
                </c:pt>
                <c:pt idx="567">
                  <c:v>50588</c:v>
                </c:pt>
                <c:pt idx="568">
                  <c:v>50602</c:v>
                </c:pt>
                <c:pt idx="569">
                  <c:v>50616</c:v>
                </c:pt>
                <c:pt idx="570">
                  <c:v>50630</c:v>
                </c:pt>
                <c:pt idx="571">
                  <c:v>50644</c:v>
                </c:pt>
                <c:pt idx="572">
                  <c:v>50658</c:v>
                </c:pt>
                <c:pt idx="573">
                  <c:v>50672</c:v>
                </c:pt>
                <c:pt idx="574">
                  <c:v>50686</c:v>
                </c:pt>
                <c:pt idx="575">
                  <c:v>50700</c:v>
                </c:pt>
                <c:pt idx="576">
                  <c:v>50714</c:v>
                </c:pt>
                <c:pt idx="577">
                  <c:v>50728</c:v>
                </c:pt>
                <c:pt idx="578">
                  <c:v>50742</c:v>
                </c:pt>
                <c:pt idx="579">
                  <c:v>50756</c:v>
                </c:pt>
                <c:pt idx="580">
                  <c:v>50770</c:v>
                </c:pt>
                <c:pt idx="581">
                  <c:v>50784</c:v>
                </c:pt>
                <c:pt idx="582">
                  <c:v>50798</c:v>
                </c:pt>
                <c:pt idx="583">
                  <c:v>50812</c:v>
                </c:pt>
                <c:pt idx="584">
                  <c:v>50826</c:v>
                </c:pt>
                <c:pt idx="585">
                  <c:v>50840</c:v>
                </c:pt>
                <c:pt idx="586">
                  <c:v>50854</c:v>
                </c:pt>
                <c:pt idx="587">
                  <c:v>50868</c:v>
                </c:pt>
                <c:pt idx="588">
                  <c:v>50882</c:v>
                </c:pt>
                <c:pt idx="589">
                  <c:v>50896</c:v>
                </c:pt>
                <c:pt idx="590">
                  <c:v>50910</c:v>
                </c:pt>
                <c:pt idx="591">
                  <c:v>50924</c:v>
                </c:pt>
                <c:pt idx="592">
                  <c:v>50938</c:v>
                </c:pt>
                <c:pt idx="593">
                  <c:v>50952</c:v>
                </c:pt>
                <c:pt idx="594">
                  <c:v>50966</c:v>
                </c:pt>
                <c:pt idx="595">
                  <c:v>50980</c:v>
                </c:pt>
                <c:pt idx="596">
                  <c:v>50994</c:v>
                </c:pt>
                <c:pt idx="597">
                  <c:v>51008</c:v>
                </c:pt>
                <c:pt idx="598">
                  <c:v>51022</c:v>
                </c:pt>
                <c:pt idx="599">
                  <c:v>51036</c:v>
                </c:pt>
                <c:pt idx="600">
                  <c:v>51050</c:v>
                </c:pt>
                <c:pt idx="601">
                  <c:v>51064</c:v>
                </c:pt>
                <c:pt idx="602">
                  <c:v>51078</c:v>
                </c:pt>
                <c:pt idx="603">
                  <c:v>51092</c:v>
                </c:pt>
                <c:pt idx="604">
                  <c:v>51106</c:v>
                </c:pt>
                <c:pt idx="605">
                  <c:v>51120</c:v>
                </c:pt>
                <c:pt idx="606">
                  <c:v>51134</c:v>
                </c:pt>
                <c:pt idx="607">
                  <c:v>51148</c:v>
                </c:pt>
                <c:pt idx="608">
                  <c:v>51162</c:v>
                </c:pt>
                <c:pt idx="609">
                  <c:v>51176</c:v>
                </c:pt>
                <c:pt idx="610">
                  <c:v>51190</c:v>
                </c:pt>
                <c:pt idx="611">
                  <c:v>51204</c:v>
                </c:pt>
                <c:pt idx="612">
                  <c:v>51218</c:v>
                </c:pt>
                <c:pt idx="613">
                  <c:v>51232</c:v>
                </c:pt>
                <c:pt idx="614">
                  <c:v>51246</c:v>
                </c:pt>
                <c:pt idx="615">
                  <c:v>51260</c:v>
                </c:pt>
                <c:pt idx="616">
                  <c:v>51274</c:v>
                </c:pt>
                <c:pt idx="617">
                  <c:v>51288</c:v>
                </c:pt>
                <c:pt idx="618">
                  <c:v>51302</c:v>
                </c:pt>
                <c:pt idx="619">
                  <c:v>51316</c:v>
                </c:pt>
                <c:pt idx="620">
                  <c:v>51330</c:v>
                </c:pt>
                <c:pt idx="621">
                  <c:v>51344</c:v>
                </c:pt>
                <c:pt idx="622">
                  <c:v>51358</c:v>
                </c:pt>
                <c:pt idx="623">
                  <c:v>51372</c:v>
                </c:pt>
                <c:pt idx="624">
                  <c:v>51386</c:v>
                </c:pt>
                <c:pt idx="625">
                  <c:v>51400</c:v>
                </c:pt>
                <c:pt idx="626">
                  <c:v>51414</c:v>
                </c:pt>
                <c:pt idx="627">
                  <c:v>51428</c:v>
                </c:pt>
                <c:pt idx="628">
                  <c:v>51442</c:v>
                </c:pt>
                <c:pt idx="629">
                  <c:v>51456</c:v>
                </c:pt>
                <c:pt idx="630">
                  <c:v>51470</c:v>
                </c:pt>
                <c:pt idx="631">
                  <c:v>51484</c:v>
                </c:pt>
                <c:pt idx="632">
                  <c:v>51498</c:v>
                </c:pt>
              </c:numCache>
            </c:numRef>
          </c:cat>
          <c:val>
            <c:numRef>
              <c:f>Sheet3!$C$6:$C$2053</c:f>
              <c:numCache>
                <c:formatCode>"$"#,##0.00</c:formatCode>
                <c:ptCount val="2048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  <c:pt idx="336">
                  <c:v>20160</c:v>
                </c:pt>
                <c:pt idx="337">
                  <c:v>20220</c:v>
                </c:pt>
                <c:pt idx="338">
                  <c:v>20280</c:v>
                </c:pt>
                <c:pt idx="339">
                  <c:v>20340</c:v>
                </c:pt>
                <c:pt idx="340">
                  <c:v>20400</c:v>
                </c:pt>
                <c:pt idx="341">
                  <c:v>20460</c:v>
                </c:pt>
                <c:pt idx="342">
                  <c:v>20520</c:v>
                </c:pt>
                <c:pt idx="343">
                  <c:v>20580</c:v>
                </c:pt>
                <c:pt idx="344">
                  <c:v>20640</c:v>
                </c:pt>
                <c:pt idx="345">
                  <c:v>20700</c:v>
                </c:pt>
                <c:pt idx="346">
                  <c:v>20760</c:v>
                </c:pt>
                <c:pt idx="347">
                  <c:v>20820</c:v>
                </c:pt>
                <c:pt idx="348">
                  <c:v>20880</c:v>
                </c:pt>
                <c:pt idx="349">
                  <c:v>20940</c:v>
                </c:pt>
                <c:pt idx="350">
                  <c:v>21000</c:v>
                </c:pt>
                <c:pt idx="351">
                  <c:v>21060</c:v>
                </c:pt>
                <c:pt idx="352">
                  <c:v>21120</c:v>
                </c:pt>
                <c:pt idx="353">
                  <c:v>21180</c:v>
                </c:pt>
                <c:pt idx="354">
                  <c:v>21240</c:v>
                </c:pt>
                <c:pt idx="355">
                  <c:v>21300</c:v>
                </c:pt>
                <c:pt idx="356">
                  <c:v>21360</c:v>
                </c:pt>
                <c:pt idx="357">
                  <c:v>21420</c:v>
                </c:pt>
                <c:pt idx="358">
                  <c:v>21480</c:v>
                </c:pt>
                <c:pt idx="359">
                  <c:v>21540</c:v>
                </c:pt>
                <c:pt idx="360">
                  <c:v>21600</c:v>
                </c:pt>
                <c:pt idx="361">
                  <c:v>21660</c:v>
                </c:pt>
                <c:pt idx="362">
                  <c:v>21720</c:v>
                </c:pt>
                <c:pt idx="363">
                  <c:v>21780</c:v>
                </c:pt>
                <c:pt idx="364">
                  <c:v>21840</c:v>
                </c:pt>
                <c:pt idx="365">
                  <c:v>21900</c:v>
                </c:pt>
                <c:pt idx="366">
                  <c:v>21960</c:v>
                </c:pt>
                <c:pt idx="367">
                  <c:v>22020</c:v>
                </c:pt>
                <c:pt idx="368">
                  <c:v>22080</c:v>
                </c:pt>
                <c:pt idx="369">
                  <c:v>22140</c:v>
                </c:pt>
                <c:pt idx="370">
                  <c:v>22200</c:v>
                </c:pt>
                <c:pt idx="371">
                  <c:v>22260</c:v>
                </c:pt>
                <c:pt idx="372">
                  <c:v>22320</c:v>
                </c:pt>
                <c:pt idx="373">
                  <c:v>22380</c:v>
                </c:pt>
                <c:pt idx="374">
                  <c:v>22440</c:v>
                </c:pt>
                <c:pt idx="375">
                  <c:v>22500</c:v>
                </c:pt>
                <c:pt idx="376">
                  <c:v>22560</c:v>
                </c:pt>
                <c:pt idx="377">
                  <c:v>22620</c:v>
                </c:pt>
                <c:pt idx="378">
                  <c:v>22680</c:v>
                </c:pt>
                <c:pt idx="379">
                  <c:v>22740</c:v>
                </c:pt>
                <c:pt idx="380">
                  <c:v>22800</c:v>
                </c:pt>
                <c:pt idx="381">
                  <c:v>22860</c:v>
                </c:pt>
                <c:pt idx="382">
                  <c:v>22920</c:v>
                </c:pt>
                <c:pt idx="383">
                  <c:v>22980</c:v>
                </c:pt>
                <c:pt idx="384">
                  <c:v>23040</c:v>
                </c:pt>
                <c:pt idx="385">
                  <c:v>23100</c:v>
                </c:pt>
                <c:pt idx="386">
                  <c:v>23160</c:v>
                </c:pt>
                <c:pt idx="387">
                  <c:v>23220</c:v>
                </c:pt>
                <c:pt idx="388">
                  <c:v>23280</c:v>
                </c:pt>
                <c:pt idx="389">
                  <c:v>23340</c:v>
                </c:pt>
                <c:pt idx="390">
                  <c:v>23400</c:v>
                </c:pt>
                <c:pt idx="391">
                  <c:v>23460</c:v>
                </c:pt>
                <c:pt idx="392">
                  <c:v>23520</c:v>
                </c:pt>
                <c:pt idx="393">
                  <c:v>23580</c:v>
                </c:pt>
                <c:pt idx="394">
                  <c:v>23640</c:v>
                </c:pt>
                <c:pt idx="395">
                  <c:v>23700</c:v>
                </c:pt>
                <c:pt idx="396">
                  <c:v>23760</c:v>
                </c:pt>
                <c:pt idx="397">
                  <c:v>23820</c:v>
                </c:pt>
                <c:pt idx="398">
                  <c:v>23880</c:v>
                </c:pt>
                <c:pt idx="399">
                  <c:v>23940</c:v>
                </c:pt>
                <c:pt idx="400">
                  <c:v>24000</c:v>
                </c:pt>
                <c:pt idx="401">
                  <c:v>24060</c:v>
                </c:pt>
                <c:pt idx="402">
                  <c:v>24120</c:v>
                </c:pt>
                <c:pt idx="403">
                  <c:v>24180</c:v>
                </c:pt>
                <c:pt idx="404">
                  <c:v>24240</c:v>
                </c:pt>
                <c:pt idx="405">
                  <c:v>24300</c:v>
                </c:pt>
                <c:pt idx="406">
                  <c:v>24360</c:v>
                </c:pt>
                <c:pt idx="407">
                  <c:v>24420</c:v>
                </c:pt>
                <c:pt idx="408">
                  <c:v>24480</c:v>
                </c:pt>
                <c:pt idx="409">
                  <c:v>24540</c:v>
                </c:pt>
                <c:pt idx="410">
                  <c:v>24600</c:v>
                </c:pt>
                <c:pt idx="411">
                  <c:v>24660</c:v>
                </c:pt>
                <c:pt idx="412">
                  <c:v>24720</c:v>
                </c:pt>
                <c:pt idx="413">
                  <c:v>24780</c:v>
                </c:pt>
                <c:pt idx="414">
                  <c:v>24840</c:v>
                </c:pt>
                <c:pt idx="415">
                  <c:v>24900</c:v>
                </c:pt>
                <c:pt idx="416">
                  <c:v>24960</c:v>
                </c:pt>
                <c:pt idx="417">
                  <c:v>25020</c:v>
                </c:pt>
                <c:pt idx="418">
                  <c:v>25080</c:v>
                </c:pt>
                <c:pt idx="419">
                  <c:v>25140</c:v>
                </c:pt>
                <c:pt idx="420">
                  <c:v>25200</c:v>
                </c:pt>
                <c:pt idx="421">
                  <c:v>25260</c:v>
                </c:pt>
                <c:pt idx="422">
                  <c:v>25320</c:v>
                </c:pt>
                <c:pt idx="423">
                  <c:v>25380</c:v>
                </c:pt>
                <c:pt idx="424">
                  <c:v>25440</c:v>
                </c:pt>
                <c:pt idx="425">
                  <c:v>25500</c:v>
                </c:pt>
                <c:pt idx="426">
                  <c:v>25560</c:v>
                </c:pt>
                <c:pt idx="427">
                  <c:v>25620</c:v>
                </c:pt>
                <c:pt idx="428">
                  <c:v>25680</c:v>
                </c:pt>
                <c:pt idx="429">
                  <c:v>25740</c:v>
                </c:pt>
                <c:pt idx="430">
                  <c:v>25800</c:v>
                </c:pt>
                <c:pt idx="431">
                  <c:v>25860</c:v>
                </c:pt>
                <c:pt idx="432">
                  <c:v>25920</c:v>
                </c:pt>
                <c:pt idx="433">
                  <c:v>25980</c:v>
                </c:pt>
                <c:pt idx="434">
                  <c:v>26040</c:v>
                </c:pt>
                <c:pt idx="435">
                  <c:v>26100</c:v>
                </c:pt>
                <c:pt idx="436">
                  <c:v>26160</c:v>
                </c:pt>
                <c:pt idx="437">
                  <c:v>26220</c:v>
                </c:pt>
                <c:pt idx="438">
                  <c:v>26280</c:v>
                </c:pt>
                <c:pt idx="439">
                  <c:v>26340</c:v>
                </c:pt>
                <c:pt idx="440">
                  <c:v>26400</c:v>
                </c:pt>
                <c:pt idx="441">
                  <c:v>26460</c:v>
                </c:pt>
                <c:pt idx="442">
                  <c:v>26520</c:v>
                </c:pt>
                <c:pt idx="443">
                  <c:v>26580</c:v>
                </c:pt>
                <c:pt idx="444">
                  <c:v>26640</c:v>
                </c:pt>
                <c:pt idx="445">
                  <c:v>26700</c:v>
                </c:pt>
                <c:pt idx="446">
                  <c:v>26760</c:v>
                </c:pt>
                <c:pt idx="447">
                  <c:v>26820</c:v>
                </c:pt>
                <c:pt idx="448">
                  <c:v>26880</c:v>
                </c:pt>
                <c:pt idx="449">
                  <c:v>26940</c:v>
                </c:pt>
                <c:pt idx="450">
                  <c:v>27000</c:v>
                </c:pt>
                <c:pt idx="451">
                  <c:v>27060</c:v>
                </c:pt>
                <c:pt idx="452">
                  <c:v>27120</c:v>
                </c:pt>
                <c:pt idx="453">
                  <c:v>27180</c:v>
                </c:pt>
                <c:pt idx="454">
                  <c:v>27240</c:v>
                </c:pt>
                <c:pt idx="455">
                  <c:v>27300</c:v>
                </c:pt>
                <c:pt idx="456">
                  <c:v>27360</c:v>
                </c:pt>
                <c:pt idx="457">
                  <c:v>27420</c:v>
                </c:pt>
                <c:pt idx="458">
                  <c:v>27480</c:v>
                </c:pt>
                <c:pt idx="459">
                  <c:v>27540</c:v>
                </c:pt>
                <c:pt idx="460">
                  <c:v>27600</c:v>
                </c:pt>
                <c:pt idx="461">
                  <c:v>27660</c:v>
                </c:pt>
                <c:pt idx="462">
                  <c:v>27720</c:v>
                </c:pt>
                <c:pt idx="463">
                  <c:v>27780</c:v>
                </c:pt>
                <c:pt idx="464">
                  <c:v>27840</c:v>
                </c:pt>
                <c:pt idx="465">
                  <c:v>27900</c:v>
                </c:pt>
                <c:pt idx="466">
                  <c:v>27960</c:v>
                </c:pt>
                <c:pt idx="467">
                  <c:v>28020</c:v>
                </c:pt>
                <c:pt idx="468">
                  <c:v>28080</c:v>
                </c:pt>
                <c:pt idx="469">
                  <c:v>28140</c:v>
                </c:pt>
                <c:pt idx="470">
                  <c:v>28200</c:v>
                </c:pt>
                <c:pt idx="471">
                  <c:v>28260</c:v>
                </c:pt>
                <c:pt idx="472">
                  <c:v>28320</c:v>
                </c:pt>
                <c:pt idx="473">
                  <c:v>28380</c:v>
                </c:pt>
                <c:pt idx="474">
                  <c:v>28440</c:v>
                </c:pt>
                <c:pt idx="475">
                  <c:v>28500</c:v>
                </c:pt>
                <c:pt idx="476">
                  <c:v>28560</c:v>
                </c:pt>
                <c:pt idx="477">
                  <c:v>28620</c:v>
                </c:pt>
                <c:pt idx="478">
                  <c:v>28680</c:v>
                </c:pt>
                <c:pt idx="479">
                  <c:v>28740</c:v>
                </c:pt>
                <c:pt idx="480">
                  <c:v>28800</c:v>
                </c:pt>
                <c:pt idx="481">
                  <c:v>28860</c:v>
                </c:pt>
                <c:pt idx="482">
                  <c:v>28920</c:v>
                </c:pt>
                <c:pt idx="483">
                  <c:v>28980</c:v>
                </c:pt>
                <c:pt idx="484">
                  <c:v>29040</c:v>
                </c:pt>
                <c:pt idx="485">
                  <c:v>29100</c:v>
                </c:pt>
                <c:pt idx="486">
                  <c:v>29160</c:v>
                </c:pt>
                <c:pt idx="487">
                  <c:v>29220</c:v>
                </c:pt>
                <c:pt idx="488">
                  <c:v>29280</c:v>
                </c:pt>
                <c:pt idx="489">
                  <c:v>29340</c:v>
                </c:pt>
                <c:pt idx="490">
                  <c:v>29400</c:v>
                </c:pt>
                <c:pt idx="491">
                  <c:v>29460</c:v>
                </c:pt>
                <c:pt idx="492">
                  <c:v>29520</c:v>
                </c:pt>
                <c:pt idx="493">
                  <c:v>29580</c:v>
                </c:pt>
                <c:pt idx="494">
                  <c:v>29640</c:v>
                </c:pt>
                <c:pt idx="495">
                  <c:v>29700</c:v>
                </c:pt>
                <c:pt idx="496">
                  <c:v>29760</c:v>
                </c:pt>
                <c:pt idx="497">
                  <c:v>29820</c:v>
                </c:pt>
                <c:pt idx="498">
                  <c:v>29880</c:v>
                </c:pt>
                <c:pt idx="499">
                  <c:v>29940</c:v>
                </c:pt>
                <c:pt idx="500">
                  <c:v>30000</c:v>
                </c:pt>
                <c:pt idx="501">
                  <c:v>30060</c:v>
                </c:pt>
                <c:pt idx="502">
                  <c:v>30120</c:v>
                </c:pt>
                <c:pt idx="503">
                  <c:v>30180</c:v>
                </c:pt>
                <c:pt idx="504">
                  <c:v>30240</c:v>
                </c:pt>
                <c:pt idx="505">
                  <c:v>30300</c:v>
                </c:pt>
                <c:pt idx="506">
                  <c:v>30360</c:v>
                </c:pt>
                <c:pt idx="507">
                  <c:v>30420</c:v>
                </c:pt>
                <c:pt idx="508">
                  <c:v>30480</c:v>
                </c:pt>
                <c:pt idx="509">
                  <c:v>30540</c:v>
                </c:pt>
                <c:pt idx="510">
                  <c:v>30600</c:v>
                </c:pt>
                <c:pt idx="511">
                  <c:v>30660</c:v>
                </c:pt>
                <c:pt idx="512">
                  <c:v>30720</c:v>
                </c:pt>
                <c:pt idx="513">
                  <c:v>30780</c:v>
                </c:pt>
                <c:pt idx="514">
                  <c:v>30840</c:v>
                </c:pt>
                <c:pt idx="515">
                  <c:v>30900</c:v>
                </c:pt>
                <c:pt idx="516">
                  <c:v>30960</c:v>
                </c:pt>
                <c:pt idx="517">
                  <c:v>31020</c:v>
                </c:pt>
                <c:pt idx="518">
                  <c:v>31080</c:v>
                </c:pt>
                <c:pt idx="519">
                  <c:v>31140</c:v>
                </c:pt>
                <c:pt idx="520">
                  <c:v>31200</c:v>
                </c:pt>
                <c:pt idx="521">
                  <c:v>31260</c:v>
                </c:pt>
                <c:pt idx="522">
                  <c:v>31320</c:v>
                </c:pt>
                <c:pt idx="523">
                  <c:v>31380</c:v>
                </c:pt>
                <c:pt idx="524">
                  <c:v>31440</c:v>
                </c:pt>
                <c:pt idx="525">
                  <c:v>31500</c:v>
                </c:pt>
                <c:pt idx="526">
                  <c:v>31560</c:v>
                </c:pt>
                <c:pt idx="527">
                  <c:v>31620</c:v>
                </c:pt>
                <c:pt idx="528">
                  <c:v>31680</c:v>
                </c:pt>
                <c:pt idx="529">
                  <c:v>31740</c:v>
                </c:pt>
                <c:pt idx="530">
                  <c:v>31800</c:v>
                </c:pt>
                <c:pt idx="531">
                  <c:v>31860</c:v>
                </c:pt>
                <c:pt idx="532">
                  <c:v>31920</c:v>
                </c:pt>
                <c:pt idx="533">
                  <c:v>31980</c:v>
                </c:pt>
                <c:pt idx="534">
                  <c:v>32040</c:v>
                </c:pt>
                <c:pt idx="535">
                  <c:v>32100</c:v>
                </c:pt>
                <c:pt idx="536">
                  <c:v>32160</c:v>
                </c:pt>
                <c:pt idx="537">
                  <c:v>32220</c:v>
                </c:pt>
                <c:pt idx="538">
                  <c:v>32280</c:v>
                </c:pt>
                <c:pt idx="539">
                  <c:v>32340</c:v>
                </c:pt>
                <c:pt idx="540">
                  <c:v>32400</c:v>
                </c:pt>
                <c:pt idx="541">
                  <c:v>32460</c:v>
                </c:pt>
                <c:pt idx="542">
                  <c:v>32520</c:v>
                </c:pt>
                <c:pt idx="543">
                  <c:v>32580</c:v>
                </c:pt>
                <c:pt idx="544">
                  <c:v>32640</c:v>
                </c:pt>
                <c:pt idx="545">
                  <c:v>32700</c:v>
                </c:pt>
                <c:pt idx="546">
                  <c:v>32760</c:v>
                </c:pt>
                <c:pt idx="547">
                  <c:v>32820</c:v>
                </c:pt>
                <c:pt idx="548">
                  <c:v>32880</c:v>
                </c:pt>
                <c:pt idx="549">
                  <c:v>32940</c:v>
                </c:pt>
                <c:pt idx="550">
                  <c:v>33000</c:v>
                </c:pt>
                <c:pt idx="551">
                  <c:v>33060</c:v>
                </c:pt>
                <c:pt idx="552">
                  <c:v>33120</c:v>
                </c:pt>
                <c:pt idx="553">
                  <c:v>33180</c:v>
                </c:pt>
                <c:pt idx="554">
                  <c:v>33240</c:v>
                </c:pt>
                <c:pt idx="555">
                  <c:v>33300</c:v>
                </c:pt>
                <c:pt idx="556">
                  <c:v>33360</c:v>
                </c:pt>
                <c:pt idx="557">
                  <c:v>33420</c:v>
                </c:pt>
                <c:pt idx="558">
                  <c:v>33480</c:v>
                </c:pt>
                <c:pt idx="559">
                  <c:v>33540</c:v>
                </c:pt>
                <c:pt idx="560">
                  <c:v>33600</c:v>
                </c:pt>
                <c:pt idx="561">
                  <c:v>33660</c:v>
                </c:pt>
                <c:pt idx="562">
                  <c:v>33720</c:v>
                </c:pt>
                <c:pt idx="563">
                  <c:v>33780</c:v>
                </c:pt>
                <c:pt idx="564">
                  <c:v>33840</c:v>
                </c:pt>
                <c:pt idx="565">
                  <c:v>33900</c:v>
                </c:pt>
                <c:pt idx="566">
                  <c:v>33960</c:v>
                </c:pt>
                <c:pt idx="567">
                  <c:v>34020</c:v>
                </c:pt>
                <c:pt idx="568">
                  <c:v>34080</c:v>
                </c:pt>
                <c:pt idx="569">
                  <c:v>34140</c:v>
                </c:pt>
                <c:pt idx="570">
                  <c:v>34200</c:v>
                </c:pt>
                <c:pt idx="571">
                  <c:v>34260</c:v>
                </c:pt>
                <c:pt idx="572">
                  <c:v>34320</c:v>
                </c:pt>
                <c:pt idx="573">
                  <c:v>34380</c:v>
                </c:pt>
                <c:pt idx="574">
                  <c:v>34440</c:v>
                </c:pt>
                <c:pt idx="575">
                  <c:v>34500</c:v>
                </c:pt>
                <c:pt idx="576">
                  <c:v>34560</c:v>
                </c:pt>
                <c:pt idx="577">
                  <c:v>34620</c:v>
                </c:pt>
                <c:pt idx="578">
                  <c:v>34680</c:v>
                </c:pt>
                <c:pt idx="579">
                  <c:v>34740</c:v>
                </c:pt>
                <c:pt idx="580">
                  <c:v>34800</c:v>
                </c:pt>
                <c:pt idx="581">
                  <c:v>34860</c:v>
                </c:pt>
                <c:pt idx="582">
                  <c:v>34920</c:v>
                </c:pt>
                <c:pt idx="583">
                  <c:v>34980</c:v>
                </c:pt>
                <c:pt idx="584">
                  <c:v>35040</c:v>
                </c:pt>
                <c:pt idx="585">
                  <c:v>35100</c:v>
                </c:pt>
                <c:pt idx="586">
                  <c:v>35160</c:v>
                </c:pt>
                <c:pt idx="587">
                  <c:v>35220</c:v>
                </c:pt>
                <c:pt idx="588">
                  <c:v>35280</c:v>
                </c:pt>
                <c:pt idx="589">
                  <c:v>35340</c:v>
                </c:pt>
                <c:pt idx="590">
                  <c:v>35400</c:v>
                </c:pt>
                <c:pt idx="591">
                  <c:v>35460</c:v>
                </c:pt>
                <c:pt idx="592">
                  <c:v>35520</c:v>
                </c:pt>
                <c:pt idx="593">
                  <c:v>35580</c:v>
                </c:pt>
                <c:pt idx="594">
                  <c:v>35640</c:v>
                </c:pt>
                <c:pt idx="595">
                  <c:v>35700</c:v>
                </c:pt>
                <c:pt idx="596">
                  <c:v>35760</c:v>
                </c:pt>
                <c:pt idx="597">
                  <c:v>35820</c:v>
                </c:pt>
                <c:pt idx="598">
                  <c:v>35880</c:v>
                </c:pt>
                <c:pt idx="599">
                  <c:v>35940</c:v>
                </c:pt>
                <c:pt idx="600">
                  <c:v>36000</c:v>
                </c:pt>
                <c:pt idx="601">
                  <c:v>36060</c:v>
                </c:pt>
                <c:pt idx="602">
                  <c:v>36120</c:v>
                </c:pt>
                <c:pt idx="603">
                  <c:v>36180</c:v>
                </c:pt>
                <c:pt idx="604">
                  <c:v>36240</c:v>
                </c:pt>
                <c:pt idx="605">
                  <c:v>36300</c:v>
                </c:pt>
                <c:pt idx="606">
                  <c:v>36360</c:v>
                </c:pt>
                <c:pt idx="607">
                  <c:v>36420</c:v>
                </c:pt>
                <c:pt idx="608">
                  <c:v>36480</c:v>
                </c:pt>
                <c:pt idx="609">
                  <c:v>36540</c:v>
                </c:pt>
                <c:pt idx="610">
                  <c:v>36600</c:v>
                </c:pt>
                <c:pt idx="611">
                  <c:v>36660</c:v>
                </c:pt>
                <c:pt idx="612">
                  <c:v>36720</c:v>
                </c:pt>
                <c:pt idx="613">
                  <c:v>36780</c:v>
                </c:pt>
                <c:pt idx="614">
                  <c:v>36840</c:v>
                </c:pt>
                <c:pt idx="615">
                  <c:v>36900</c:v>
                </c:pt>
                <c:pt idx="616">
                  <c:v>36960</c:v>
                </c:pt>
                <c:pt idx="617">
                  <c:v>37020</c:v>
                </c:pt>
                <c:pt idx="618">
                  <c:v>37080</c:v>
                </c:pt>
                <c:pt idx="619">
                  <c:v>37140</c:v>
                </c:pt>
                <c:pt idx="620">
                  <c:v>37200</c:v>
                </c:pt>
                <c:pt idx="621">
                  <c:v>37260</c:v>
                </c:pt>
                <c:pt idx="622">
                  <c:v>37320</c:v>
                </c:pt>
                <c:pt idx="623">
                  <c:v>37380</c:v>
                </c:pt>
                <c:pt idx="624">
                  <c:v>37440</c:v>
                </c:pt>
                <c:pt idx="625">
                  <c:v>37500</c:v>
                </c:pt>
                <c:pt idx="626">
                  <c:v>37560</c:v>
                </c:pt>
                <c:pt idx="627">
                  <c:v>37620</c:v>
                </c:pt>
                <c:pt idx="628">
                  <c:v>37680</c:v>
                </c:pt>
                <c:pt idx="629">
                  <c:v>37740</c:v>
                </c:pt>
                <c:pt idx="630">
                  <c:v>37800</c:v>
                </c:pt>
                <c:pt idx="631">
                  <c:v>37860</c:v>
                </c:pt>
                <c:pt idx="632">
                  <c:v>37920</c:v>
                </c:pt>
              </c:numCache>
            </c:numRef>
          </c:val>
        </c:ser>
        <c:ser>
          <c:idx val="3"/>
          <c:order val="1"/>
          <c:tx>
            <c:strRef>
              <c:f>Sheet3!$E$5</c:f>
              <c:strCache>
                <c:ptCount val="1"/>
                <c:pt idx="0">
                  <c:v>Total Market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Sheet3!$A$6:$A$2053</c:f>
              <c:numCache>
                <c:formatCode>m/d/yyyy</c:formatCode>
                <c:ptCount val="2048"/>
                <c:pt idx="0">
                  <c:v>42650</c:v>
                </c:pt>
                <c:pt idx="1">
                  <c:v>42664</c:v>
                </c:pt>
                <c:pt idx="2">
                  <c:v>42678</c:v>
                </c:pt>
                <c:pt idx="3">
                  <c:v>42692</c:v>
                </c:pt>
                <c:pt idx="4">
                  <c:v>42706</c:v>
                </c:pt>
                <c:pt idx="5">
                  <c:v>42720</c:v>
                </c:pt>
                <c:pt idx="6">
                  <c:v>42734</c:v>
                </c:pt>
                <c:pt idx="7">
                  <c:v>42748</c:v>
                </c:pt>
                <c:pt idx="8">
                  <c:v>42762</c:v>
                </c:pt>
                <c:pt idx="9">
                  <c:v>42776</c:v>
                </c:pt>
                <c:pt idx="10">
                  <c:v>42790</c:v>
                </c:pt>
                <c:pt idx="11">
                  <c:v>42804</c:v>
                </c:pt>
                <c:pt idx="12">
                  <c:v>42818</c:v>
                </c:pt>
                <c:pt idx="13">
                  <c:v>42832</c:v>
                </c:pt>
                <c:pt idx="14">
                  <c:v>42846</c:v>
                </c:pt>
                <c:pt idx="15">
                  <c:v>42860</c:v>
                </c:pt>
                <c:pt idx="16">
                  <c:v>42874</c:v>
                </c:pt>
                <c:pt idx="17">
                  <c:v>42888</c:v>
                </c:pt>
                <c:pt idx="18">
                  <c:v>42902</c:v>
                </c:pt>
                <c:pt idx="19">
                  <c:v>42916</c:v>
                </c:pt>
                <c:pt idx="20">
                  <c:v>42930</c:v>
                </c:pt>
                <c:pt idx="21">
                  <c:v>42944</c:v>
                </c:pt>
                <c:pt idx="22">
                  <c:v>42958</c:v>
                </c:pt>
                <c:pt idx="23">
                  <c:v>42972</c:v>
                </c:pt>
                <c:pt idx="24">
                  <c:v>42986</c:v>
                </c:pt>
                <c:pt idx="25">
                  <c:v>43000</c:v>
                </c:pt>
                <c:pt idx="26">
                  <c:v>43014</c:v>
                </c:pt>
                <c:pt idx="27">
                  <c:v>43028</c:v>
                </c:pt>
                <c:pt idx="28">
                  <c:v>43042</c:v>
                </c:pt>
                <c:pt idx="29">
                  <c:v>43056</c:v>
                </c:pt>
                <c:pt idx="30">
                  <c:v>43070</c:v>
                </c:pt>
                <c:pt idx="31">
                  <c:v>43084</c:v>
                </c:pt>
                <c:pt idx="32">
                  <c:v>43098</c:v>
                </c:pt>
                <c:pt idx="33">
                  <c:v>43112</c:v>
                </c:pt>
                <c:pt idx="34">
                  <c:v>43126</c:v>
                </c:pt>
                <c:pt idx="35">
                  <c:v>43140</c:v>
                </c:pt>
                <c:pt idx="36">
                  <c:v>43154</c:v>
                </c:pt>
                <c:pt idx="37">
                  <c:v>43168</c:v>
                </c:pt>
                <c:pt idx="38">
                  <c:v>43182</c:v>
                </c:pt>
                <c:pt idx="39">
                  <c:v>43196</c:v>
                </c:pt>
                <c:pt idx="40">
                  <c:v>43210</c:v>
                </c:pt>
                <c:pt idx="41">
                  <c:v>43224</c:v>
                </c:pt>
                <c:pt idx="42">
                  <c:v>43238</c:v>
                </c:pt>
                <c:pt idx="43">
                  <c:v>43252</c:v>
                </c:pt>
                <c:pt idx="44">
                  <c:v>43266</c:v>
                </c:pt>
                <c:pt idx="45">
                  <c:v>43280</c:v>
                </c:pt>
                <c:pt idx="46">
                  <c:v>43294</c:v>
                </c:pt>
                <c:pt idx="47">
                  <c:v>43308</c:v>
                </c:pt>
                <c:pt idx="48">
                  <c:v>43322</c:v>
                </c:pt>
                <c:pt idx="49">
                  <c:v>43336</c:v>
                </c:pt>
                <c:pt idx="50">
                  <c:v>43350</c:v>
                </c:pt>
                <c:pt idx="51">
                  <c:v>43364</c:v>
                </c:pt>
                <c:pt idx="52">
                  <c:v>43378</c:v>
                </c:pt>
                <c:pt idx="53">
                  <c:v>43392</c:v>
                </c:pt>
                <c:pt idx="54">
                  <c:v>43406</c:v>
                </c:pt>
                <c:pt idx="55">
                  <c:v>43420</c:v>
                </c:pt>
                <c:pt idx="56">
                  <c:v>43434</c:v>
                </c:pt>
                <c:pt idx="57">
                  <c:v>43448</c:v>
                </c:pt>
                <c:pt idx="58">
                  <c:v>43462</c:v>
                </c:pt>
                <c:pt idx="59">
                  <c:v>43476</c:v>
                </c:pt>
                <c:pt idx="60">
                  <c:v>43490</c:v>
                </c:pt>
                <c:pt idx="61">
                  <c:v>43504</c:v>
                </c:pt>
                <c:pt idx="62">
                  <c:v>43518</c:v>
                </c:pt>
                <c:pt idx="63">
                  <c:v>43532</c:v>
                </c:pt>
                <c:pt idx="64">
                  <c:v>43546</c:v>
                </c:pt>
                <c:pt idx="65">
                  <c:v>43560</c:v>
                </c:pt>
                <c:pt idx="66">
                  <c:v>43574</c:v>
                </c:pt>
                <c:pt idx="67">
                  <c:v>43588</c:v>
                </c:pt>
                <c:pt idx="68">
                  <c:v>43602</c:v>
                </c:pt>
                <c:pt idx="69">
                  <c:v>43616</c:v>
                </c:pt>
                <c:pt idx="70">
                  <c:v>43630</c:v>
                </c:pt>
                <c:pt idx="71">
                  <c:v>43644</c:v>
                </c:pt>
                <c:pt idx="72">
                  <c:v>43658</c:v>
                </c:pt>
                <c:pt idx="73">
                  <c:v>43672</c:v>
                </c:pt>
                <c:pt idx="74">
                  <c:v>43686</c:v>
                </c:pt>
                <c:pt idx="75">
                  <c:v>43700</c:v>
                </c:pt>
                <c:pt idx="76">
                  <c:v>43714</c:v>
                </c:pt>
                <c:pt idx="77">
                  <c:v>43728</c:v>
                </c:pt>
                <c:pt idx="78">
                  <c:v>43742</c:v>
                </c:pt>
                <c:pt idx="79">
                  <c:v>43756</c:v>
                </c:pt>
                <c:pt idx="80">
                  <c:v>43770</c:v>
                </c:pt>
                <c:pt idx="81">
                  <c:v>43784</c:v>
                </c:pt>
                <c:pt idx="82">
                  <c:v>43798</c:v>
                </c:pt>
                <c:pt idx="83">
                  <c:v>43812</c:v>
                </c:pt>
                <c:pt idx="84">
                  <c:v>43826</c:v>
                </c:pt>
                <c:pt idx="85">
                  <c:v>43840</c:v>
                </c:pt>
                <c:pt idx="86">
                  <c:v>43854</c:v>
                </c:pt>
                <c:pt idx="87">
                  <c:v>43868</c:v>
                </c:pt>
                <c:pt idx="88">
                  <c:v>43882</c:v>
                </c:pt>
                <c:pt idx="89">
                  <c:v>43896</c:v>
                </c:pt>
                <c:pt idx="90">
                  <c:v>43910</c:v>
                </c:pt>
                <c:pt idx="91">
                  <c:v>43924</c:v>
                </c:pt>
                <c:pt idx="92">
                  <c:v>43938</c:v>
                </c:pt>
                <c:pt idx="93">
                  <c:v>43952</c:v>
                </c:pt>
                <c:pt idx="94">
                  <c:v>43966</c:v>
                </c:pt>
                <c:pt idx="95">
                  <c:v>43980</c:v>
                </c:pt>
                <c:pt idx="96">
                  <c:v>43994</c:v>
                </c:pt>
                <c:pt idx="97">
                  <c:v>44008</c:v>
                </c:pt>
                <c:pt idx="98">
                  <c:v>44022</c:v>
                </c:pt>
                <c:pt idx="99">
                  <c:v>44036</c:v>
                </c:pt>
                <c:pt idx="100">
                  <c:v>44050</c:v>
                </c:pt>
                <c:pt idx="101">
                  <c:v>44064</c:v>
                </c:pt>
                <c:pt idx="102">
                  <c:v>44078</c:v>
                </c:pt>
                <c:pt idx="103">
                  <c:v>44092</c:v>
                </c:pt>
                <c:pt idx="104">
                  <c:v>44106</c:v>
                </c:pt>
                <c:pt idx="105">
                  <c:v>44120</c:v>
                </c:pt>
                <c:pt idx="106">
                  <c:v>44134</c:v>
                </c:pt>
                <c:pt idx="107">
                  <c:v>44148</c:v>
                </c:pt>
                <c:pt idx="108">
                  <c:v>44162</c:v>
                </c:pt>
                <c:pt idx="109">
                  <c:v>44176</c:v>
                </c:pt>
                <c:pt idx="110">
                  <c:v>44190</c:v>
                </c:pt>
                <c:pt idx="111">
                  <c:v>44204</c:v>
                </c:pt>
                <c:pt idx="112">
                  <c:v>44218</c:v>
                </c:pt>
                <c:pt idx="113">
                  <c:v>44232</c:v>
                </c:pt>
                <c:pt idx="114">
                  <c:v>44246</c:v>
                </c:pt>
                <c:pt idx="115">
                  <c:v>44260</c:v>
                </c:pt>
                <c:pt idx="116">
                  <c:v>44274</c:v>
                </c:pt>
                <c:pt idx="117">
                  <c:v>44288</c:v>
                </c:pt>
                <c:pt idx="118">
                  <c:v>44302</c:v>
                </c:pt>
                <c:pt idx="119">
                  <c:v>44316</c:v>
                </c:pt>
                <c:pt idx="120">
                  <c:v>44330</c:v>
                </c:pt>
                <c:pt idx="121">
                  <c:v>44344</c:v>
                </c:pt>
                <c:pt idx="122">
                  <c:v>44358</c:v>
                </c:pt>
                <c:pt idx="123">
                  <c:v>44372</c:v>
                </c:pt>
                <c:pt idx="124">
                  <c:v>44386</c:v>
                </c:pt>
                <c:pt idx="125">
                  <c:v>44400</c:v>
                </c:pt>
                <c:pt idx="126">
                  <c:v>44414</c:v>
                </c:pt>
                <c:pt idx="127">
                  <c:v>44428</c:v>
                </c:pt>
                <c:pt idx="128">
                  <c:v>44442</c:v>
                </c:pt>
                <c:pt idx="129">
                  <c:v>44456</c:v>
                </c:pt>
                <c:pt idx="130">
                  <c:v>44470</c:v>
                </c:pt>
                <c:pt idx="131">
                  <c:v>44484</c:v>
                </c:pt>
                <c:pt idx="132">
                  <c:v>44498</c:v>
                </c:pt>
                <c:pt idx="133">
                  <c:v>44512</c:v>
                </c:pt>
                <c:pt idx="134">
                  <c:v>44526</c:v>
                </c:pt>
                <c:pt idx="135">
                  <c:v>44540</c:v>
                </c:pt>
                <c:pt idx="136">
                  <c:v>44554</c:v>
                </c:pt>
                <c:pt idx="137">
                  <c:v>44568</c:v>
                </c:pt>
                <c:pt idx="138">
                  <c:v>44582</c:v>
                </c:pt>
                <c:pt idx="139">
                  <c:v>44596</c:v>
                </c:pt>
                <c:pt idx="140">
                  <c:v>44610</c:v>
                </c:pt>
                <c:pt idx="141">
                  <c:v>44624</c:v>
                </c:pt>
                <c:pt idx="142">
                  <c:v>44638</c:v>
                </c:pt>
                <c:pt idx="143">
                  <c:v>44652</c:v>
                </c:pt>
                <c:pt idx="144">
                  <c:v>44666</c:v>
                </c:pt>
                <c:pt idx="145">
                  <c:v>44680</c:v>
                </c:pt>
                <c:pt idx="146">
                  <c:v>44694</c:v>
                </c:pt>
                <c:pt idx="147">
                  <c:v>44708</c:v>
                </c:pt>
                <c:pt idx="148">
                  <c:v>44722</c:v>
                </c:pt>
                <c:pt idx="149">
                  <c:v>44736</c:v>
                </c:pt>
                <c:pt idx="150">
                  <c:v>44750</c:v>
                </c:pt>
                <c:pt idx="151">
                  <c:v>44764</c:v>
                </c:pt>
                <c:pt idx="152">
                  <c:v>44778</c:v>
                </c:pt>
                <c:pt idx="153">
                  <c:v>44792</c:v>
                </c:pt>
                <c:pt idx="154">
                  <c:v>44806</c:v>
                </c:pt>
                <c:pt idx="155">
                  <c:v>44820</c:v>
                </c:pt>
                <c:pt idx="156">
                  <c:v>44834</c:v>
                </c:pt>
                <c:pt idx="157">
                  <c:v>44848</c:v>
                </c:pt>
                <c:pt idx="158">
                  <c:v>44862</c:v>
                </c:pt>
                <c:pt idx="159">
                  <c:v>44876</c:v>
                </c:pt>
                <c:pt idx="160">
                  <c:v>44890</c:v>
                </c:pt>
                <c:pt idx="161">
                  <c:v>44904</c:v>
                </c:pt>
                <c:pt idx="162">
                  <c:v>44918</c:v>
                </c:pt>
                <c:pt idx="163">
                  <c:v>44932</c:v>
                </c:pt>
                <c:pt idx="164">
                  <c:v>44946</c:v>
                </c:pt>
                <c:pt idx="165">
                  <c:v>44960</c:v>
                </c:pt>
                <c:pt idx="166">
                  <c:v>44974</c:v>
                </c:pt>
                <c:pt idx="167">
                  <c:v>44988</c:v>
                </c:pt>
                <c:pt idx="168">
                  <c:v>45002</c:v>
                </c:pt>
                <c:pt idx="169">
                  <c:v>45016</c:v>
                </c:pt>
                <c:pt idx="170">
                  <c:v>45030</c:v>
                </c:pt>
                <c:pt idx="171">
                  <c:v>45044</c:v>
                </c:pt>
                <c:pt idx="172">
                  <c:v>45058</c:v>
                </c:pt>
                <c:pt idx="173">
                  <c:v>45072</c:v>
                </c:pt>
                <c:pt idx="174">
                  <c:v>45086</c:v>
                </c:pt>
                <c:pt idx="175">
                  <c:v>45100</c:v>
                </c:pt>
                <c:pt idx="176">
                  <c:v>45114</c:v>
                </c:pt>
                <c:pt idx="177">
                  <c:v>45128</c:v>
                </c:pt>
                <c:pt idx="178">
                  <c:v>45142</c:v>
                </c:pt>
                <c:pt idx="179">
                  <c:v>45156</c:v>
                </c:pt>
                <c:pt idx="180">
                  <c:v>45170</c:v>
                </c:pt>
                <c:pt idx="181">
                  <c:v>45184</c:v>
                </c:pt>
                <c:pt idx="182">
                  <c:v>45198</c:v>
                </c:pt>
                <c:pt idx="183">
                  <c:v>45212</c:v>
                </c:pt>
                <c:pt idx="184">
                  <c:v>45226</c:v>
                </c:pt>
                <c:pt idx="185">
                  <c:v>45240</c:v>
                </c:pt>
                <c:pt idx="186">
                  <c:v>45254</c:v>
                </c:pt>
                <c:pt idx="187">
                  <c:v>45268</c:v>
                </c:pt>
                <c:pt idx="188">
                  <c:v>45282</c:v>
                </c:pt>
                <c:pt idx="189">
                  <c:v>45296</c:v>
                </c:pt>
                <c:pt idx="190">
                  <c:v>45310</c:v>
                </c:pt>
                <c:pt idx="191">
                  <c:v>45324</c:v>
                </c:pt>
                <c:pt idx="192">
                  <c:v>45338</c:v>
                </c:pt>
                <c:pt idx="193">
                  <c:v>45352</c:v>
                </c:pt>
                <c:pt idx="194">
                  <c:v>45366</c:v>
                </c:pt>
                <c:pt idx="195">
                  <c:v>45380</c:v>
                </c:pt>
                <c:pt idx="196">
                  <c:v>45394</c:v>
                </c:pt>
                <c:pt idx="197">
                  <c:v>45408</c:v>
                </c:pt>
                <c:pt idx="198">
                  <c:v>45422</c:v>
                </c:pt>
                <c:pt idx="199">
                  <c:v>45436</c:v>
                </c:pt>
                <c:pt idx="200">
                  <c:v>45450</c:v>
                </c:pt>
                <c:pt idx="201">
                  <c:v>45464</c:v>
                </c:pt>
                <c:pt idx="202">
                  <c:v>45478</c:v>
                </c:pt>
                <c:pt idx="203">
                  <c:v>45492</c:v>
                </c:pt>
                <c:pt idx="204">
                  <c:v>45506</c:v>
                </c:pt>
                <c:pt idx="205">
                  <c:v>45520</c:v>
                </c:pt>
                <c:pt idx="206">
                  <c:v>45534</c:v>
                </c:pt>
                <c:pt idx="207">
                  <c:v>45548</c:v>
                </c:pt>
                <c:pt idx="208">
                  <c:v>45562</c:v>
                </c:pt>
                <c:pt idx="209">
                  <c:v>45576</c:v>
                </c:pt>
                <c:pt idx="210">
                  <c:v>45590</c:v>
                </c:pt>
                <c:pt idx="211">
                  <c:v>45604</c:v>
                </c:pt>
                <c:pt idx="212">
                  <c:v>45618</c:v>
                </c:pt>
                <c:pt idx="213">
                  <c:v>45632</c:v>
                </c:pt>
                <c:pt idx="214">
                  <c:v>45646</c:v>
                </c:pt>
                <c:pt idx="215">
                  <c:v>45660</c:v>
                </c:pt>
                <c:pt idx="216">
                  <c:v>45674</c:v>
                </c:pt>
                <c:pt idx="217">
                  <c:v>45688</c:v>
                </c:pt>
                <c:pt idx="218">
                  <c:v>45702</c:v>
                </c:pt>
                <c:pt idx="219">
                  <c:v>45716</c:v>
                </c:pt>
                <c:pt idx="220">
                  <c:v>45730</c:v>
                </c:pt>
                <c:pt idx="221">
                  <c:v>45744</c:v>
                </c:pt>
                <c:pt idx="222">
                  <c:v>45758</c:v>
                </c:pt>
                <c:pt idx="223">
                  <c:v>45772</c:v>
                </c:pt>
                <c:pt idx="224">
                  <c:v>45786</c:v>
                </c:pt>
                <c:pt idx="225">
                  <c:v>45800</c:v>
                </c:pt>
                <c:pt idx="226">
                  <c:v>45814</c:v>
                </c:pt>
                <c:pt idx="227">
                  <c:v>45828</c:v>
                </c:pt>
                <c:pt idx="228">
                  <c:v>45842</c:v>
                </c:pt>
                <c:pt idx="229">
                  <c:v>45856</c:v>
                </c:pt>
                <c:pt idx="230">
                  <c:v>45870</c:v>
                </c:pt>
                <c:pt idx="231">
                  <c:v>45884</c:v>
                </c:pt>
                <c:pt idx="232">
                  <c:v>45898</c:v>
                </c:pt>
                <c:pt idx="233">
                  <c:v>45912</c:v>
                </c:pt>
                <c:pt idx="234">
                  <c:v>45926</c:v>
                </c:pt>
                <c:pt idx="235">
                  <c:v>45940</c:v>
                </c:pt>
                <c:pt idx="236">
                  <c:v>45954</c:v>
                </c:pt>
                <c:pt idx="237">
                  <c:v>45968</c:v>
                </c:pt>
                <c:pt idx="238">
                  <c:v>45982</c:v>
                </c:pt>
                <c:pt idx="239">
                  <c:v>45996</c:v>
                </c:pt>
                <c:pt idx="240">
                  <c:v>46010</c:v>
                </c:pt>
                <c:pt idx="241">
                  <c:v>46024</c:v>
                </c:pt>
                <c:pt idx="242">
                  <c:v>46038</c:v>
                </c:pt>
                <c:pt idx="243">
                  <c:v>46052</c:v>
                </c:pt>
                <c:pt idx="244">
                  <c:v>46066</c:v>
                </c:pt>
                <c:pt idx="245">
                  <c:v>46080</c:v>
                </c:pt>
                <c:pt idx="246">
                  <c:v>46094</c:v>
                </c:pt>
                <c:pt idx="247">
                  <c:v>46108</c:v>
                </c:pt>
                <c:pt idx="248">
                  <c:v>46122</c:v>
                </c:pt>
                <c:pt idx="249">
                  <c:v>46136</c:v>
                </c:pt>
                <c:pt idx="250">
                  <c:v>46150</c:v>
                </c:pt>
                <c:pt idx="251">
                  <c:v>46164</c:v>
                </c:pt>
                <c:pt idx="252">
                  <c:v>46178</c:v>
                </c:pt>
                <c:pt idx="253">
                  <c:v>46192</c:v>
                </c:pt>
                <c:pt idx="254">
                  <c:v>46206</c:v>
                </c:pt>
                <c:pt idx="255">
                  <c:v>46220</c:v>
                </c:pt>
                <c:pt idx="256">
                  <c:v>46234</c:v>
                </c:pt>
                <c:pt idx="257">
                  <c:v>46248</c:v>
                </c:pt>
                <c:pt idx="258">
                  <c:v>46262</c:v>
                </c:pt>
                <c:pt idx="259">
                  <c:v>46276</c:v>
                </c:pt>
                <c:pt idx="260">
                  <c:v>46290</c:v>
                </c:pt>
                <c:pt idx="261">
                  <c:v>46304</c:v>
                </c:pt>
                <c:pt idx="262">
                  <c:v>46318</c:v>
                </c:pt>
                <c:pt idx="263">
                  <c:v>46332</c:v>
                </c:pt>
                <c:pt idx="264">
                  <c:v>46346</c:v>
                </c:pt>
                <c:pt idx="265">
                  <c:v>46360</c:v>
                </c:pt>
                <c:pt idx="266">
                  <c:v>46374</c:v>
                </c:pt>
                <c:pt idx="267">
                  <c:v>46388</c:v>
                </c:pt>
                <c:pt idx="268">
                  <c:v>46402</c:v>
                </c:pt>
                <c:pt idx="269">
                  <c:v>46416</c:v>
                </c:pt>
                <c:pt idx="270">
                  <c:v>46430</c:v>
                </c:pt>
                <c:pt idx="271">
                  <c:v>46444</c:v>
                </c:pt>
                <c:pt idx="272">
                  <c:v>46458</c:v>
                </c:pt>
                <c:pt idx="273">
                  <c:v>46472</c:v>
                </c:pt>
                <c:pt idx="274">
                  <c:v>46486</c:v>
                </c:pt>
                <c:pt idx="275">
                  <c:v>46500</c:v>
                </c:pt>
                <c:pt idx="276">
                  <c:v>46514</c:v>
                </c:pt>
                <c:pt idx="277">
                  <c:v>46528</c:v>
                </c:pt>
                <c:pt idx="278">
                  <c:v>46542</c:v>
                </c:pt>
                <c:pt idx="279">
                  <c:v>46556</c:v>
                </c:pt>
                <c:pt idx="280">
                  <c:v>46570</c:v>
                </c:pt>
                <c:pt idx="281">
                  <c:v>46584</c:v>
                </c:pt>
                <c:pt idx="282">
                  <c:v>46598</c:v>
                </c:pt>
                <c:pt idx="283">
                  <c:v>46612</c:v>
                </c:pt>
                <c:pt idx="284">
                  <c:v>46626</c:v>
                </c:pt>
                <c:pt idx="285">
                  <c:v>46640</c:v>
                </c:pt>
                <c:pt idx="286">
                  <c:v>46654</c:v>
                </c:pt>
                <c:pt idx="287">
                  <c:v>46668</c:v>
                </c:pt>
                <c:pt idx="288">
                  <c:v>46682</c:v>
                </c:pt>
                <c:pt idx="289">
                  <c:v>46696</c:v>
                </c:pt>
                <c:pt idx="290">
                  <c:v>46710</c:v>
                </c:pt>
                <c:pt idx="291">
                  <c:v>46724</c:v>
                </c:pt>
                <c:pt idx="292">
                  <c:v>46738</c:v>
                </c:pt>
                <c:pt idx="293">
                  <c:v>46752</c:v>
                </c:pt>
                <c:pt idx="294">
                  <c:v>46766</c:v>
                </c:pt>
                <c:pt idx="295">
                  <c:v>46780</c:v>
                </c:pt>
                <c:pt idx="296">
                  <c:v>46794</c:v>
                </c:pt>
                <c:pt idx="297">
                  <c:v>46808</c:v>
                </c:pt>
                <c:pt idx="298">
                  <c:v>46822</c:v>
                </c:pt>
                <c:pt idx="299">
                  <c:v>46836</c:v>
                </c:pt>
                <c:pt idx="300">
                  <c:v>46850</c:v>
                </c:pt>
                <c:pt idx="301">
                  <c:v>46864</c:v>
                </c:pt>
                <c:pt idx="302">
                  <c:v>46878</c:v>
                </c:pt>
                <c:pt idx="303">
                  <c:v>46892</c:v>
                </c:pt>
                <c:pt idx="304">
                  <c:v>46906</c:v>
                </c:pt>
                <c:pt idx="305">
                  <c:v>46920</c:v>
                </c:pt>
                <c:pt idx="306">
                  <c:v>46934</c:v>
                </c:pt>
                <c:pt idx="307">
                  <c:v>46948</c:v>
                </c:pt>
                <c:pt idx="308">
                  <c:v>46962</c:v>
                </c:pt>
                <c:pt idx="309">
                  <c:v>46976</c:v>
                </c:pt>
                <c:pt idx="310">
                  <c:v>46990</c:v>
                </c:pt>
                <c:pt idx="311">
                  <c:v>47004</c:v>
                </c:pt>
                <c:pt idx="312">
                  <c:v>47018</c:v>
                </c:pt>
                <c:pt idx="313">
                  <c:v>47032</c:v>
                </c:pt>
                <c:pt idx="314">
                  <c:v>47046</c:v>
                </c:pt>
                <c:pt idx="315">
                  <c:v>47060</c:v>
                </c:pt>
                <c:pt idx="316">
                  <c:v>47074</c:v>
                </c:pt>
                <c:pt idx="317">
                  <c:v>47088</c:v>
                </c:pt>
                <c:pt idx="318">
                  <c:v>47102</c:v>
                </c:pt>
                <c:pt idx="319">
                  <c:v>47116</c:v>
                </c:pt>
                <c:pt idx="320">
                  <c:v>47130</c:v>
                </c:pt>
                <c:pt idx="321">
                  <c:v>47144</c:v>
                </c:pt>
                <c:pt idx="322">
                  <c:v>47158</c:v>
                </c:pt>
                <c:pt idx="323">
                  <c:v>47172</c:v>
                </c:pt>
                <c:pt idx="324">
                  <c:v>47186</c:v>
                </c:pt>
                <c:pt idx="325">
                  <c:v>47200</c:v>
                </c:pt>
                <c:pt idx="326">
                  <c:v>47214</c:v>
                </c:pt>
                <c:pt idx="327">
                  <c:v>47228</c:v>
                </c:pt>
                <c:pt idx="328">
                  <c:v>47242</c:v>
                </c:pt>
                <c:pt idx="329">
                  <c:v>47256</c:v>
                </c:pt>
                <c:pt idx="330">
                  <c:v>47270</c:v>
                </c:pt>
                <c:pt idx="331">
                  <c:v>47284</c:v>
                </c:pt>
                <c:pt idx="332">
                  <c:v>47298</c:v>
                </c:pt>
                <c:pt idx="333">
                  <c:v>47312</c:v>
                </c:pt>
                <c:pt idx="334">
                  <c:v>47326</c:v>
                </c:pt>
                <c:pt idx="335">
                  <c:v>47340</c:v>
                </c:pt>
                <c:pt idx="336">
                  <c:v>47354</c:v>
                </c:pt>
                <c:pt idx="337">
                  <c:v>47368</c:v>
                </c:pt>
                <c:pt idx="338">
                  <c:v>47382</c:v>
                </c:pt>
                <c:pt idx="339">
                  <c:v>47396</c:v>
                </c:pt>
                <c:pt idx="340">
                  <c:v>47410</c:v>
                </c:pt>
                <c:pt idx="341">
                  <c:v>47424</c:v>
                </c:pt>
                <c:pt idx="342">
                  <c:v>47438</c:v>
                </c:pt>
                <c:pt idx="343">
                  <c:v>47452</c:v>
                </c:pt>
                <c:pt idx="344">
                  <c:v>47466</c:v>
                </c:pt>
                <c:pt idx="345">
                  <c:v>47480</c:v>
                </c:pt>
                <c:pt idx="346">
                  <c:v>47494</c:v>
                </c:pt>
                <c:pt idx="347">
                  <c:v>47508</c:v>
                </c:pt>
                <c:pt idx="348">
                  <c:v>47522</c:v>
                </c:pt>
                <c:pt idx="349">
                  <c:v>47536</c:v>
                </c:pt>
                <c:pt idx="350">
                  <c:v>47550</c:v>
                </c:pt>
                <c:pt idx="351">
                  <c:v>47564</c:v>
                </c:pt>
                <c:pt idx="352">
                  <c:v>47578</c:v>
                </c:pt>
                <c:pt idx="353">
                  <c:v>47592</c:v>
                </c:pt>
                <c:pt idx="354">
                  <c:v>47606</c:v>
                </c:pt>
                <c:pt idx="355">
                  <c:v>47620</c:v>
                </c:pt>
                <c:pt idx="356">
                  <c:v>47634</c:v>
                </c:pt>
                <c:pt idx="357">
                  <c:v>47648</c:v>
                </c:pt>
                <c:pt idx="358">
                  <c:v>47662</c:v>
                </c:pt>
                <c:pt idx="359">
                  <c:v>47676</c:v>
                </c:pt>
                <c:pt idx="360">
                  <c:v>47690</c:v>
                </c:pt>
                <c:pt idx="361">
                  <c:v>47704</c:v>
                </c:pt>
                <c:pt idx="362">
                  <c:v>47718</c:v>
                </c:pt>
                <c:pt idx="363">
                  <c:v>47732</c:v>
                </c:pt>
                <c:pt idx="364">
                  <c:v>47746</c:v>
                </c:pt>
                <c:pt idx="365">
                  <c:v>47760</c:v>
                </c:pt>
                <c:pt idx="366">
                  <c:v>47774</c:v>
                </c:pt>
                <c:pt idx="367">
                  <c:v>47788</c:v>
                </c:pt>
                <c:pt idx="368">
                  <c:v>47802</c:v>
                </c:pt>
                <c:pt idx="369">
                  <c:v>47816</c:v>
                </c:pt>
                <c:pt idx="370">
                  <c:v>47830</c:v>
                </c:pt>
                <c:pt idx="371">
                  <c:v>47844</c:v>
                </c:pt>
                <c:pt idx="372">
                  <c:v>47858</c:v>
                </c:pt>
                <c:pt idx="373">
                  <c:v>47872</c:v>
                </c:pt>
                <c:pt idx="374">
                  <c:v>47886</c:v>
                </c:pt>
                <c:pt idx="375">
                  <c:v>47900</c:v>
                </c:pt>
                <c:pt idx="376">
                  <c:v>47914</c:v>
                </c:pt>
                <c:pt idx="377">
                  <c:v>47928</c:v>
                </c:pt>
                <c:pt idx="378">
                  <c:v>47942</c:v>
                </c:pt>
                <c:pt idx="379">
                  <c:v>47956</c:v>
                </c:pt>
                <c:pt idx="380">
                  <c:v>47970</c:v>
                </c:pt>
                <c:pt idx="381">
                  <c:v>47984</c:v>
                </c:pt>
                <c:pt idx="382">
                  <c:v>47998</c:v>
                </c:pt>
                <c:pt idx="383">
                  <c:v>48012</c:v>
                </c:pt>
                <c:pt idx="384">
                  <c:v>48026</c:v>
                </c:pt>
                <c:pt idx="385">
                  <c:v>48040</c:v>
                </c:pt>
                <c:pt idx="386">
                  <c:v>48054</c:v>
                </c:pt>
                <c:pt idx="387">
                  <c:v>48068</c:v>
                </c:pt>
                <c:pt idx="388">
                  <c:v>48082</c:v>
                </c:pt>
                <c:pt idx="389">
                  <c:v>48096</c:v>
                </c:pt>
                <c:pt idx="390">
                  <c:v>48110</c:v>
                </c:pt>
                <c:pt idx="391">
                  <c:v>48124</c:v>
                </c:pt>
                <c:pt idx="392">
                  <c:v>48138</c:v>
                </c:pt>
                <c:pt idx="393">
                  <c:v>48152</c:v>
                </c:pt>
                <c:pt idx="394">
                  <c:v>48166</c:v>
                </c:pt>
                <c:pt idx="395">
                  <c:v>48180</c:v>
                </c:pt>
                <c:pt idx="396">
                  <c:v>48194</c:v>
                </c:pt>
                <c:pt idx="397">
                  <c:v>48208</c:v>
                </c:pt>
                <c:pt idx="398">
                  <c:v>48222</c:v>
                </c:pt>
                <c:pt idx="399">
                  <c:v>48236</c:v>
                </c:pt>
                <c:pt idx="400">
                  <c:v>48250</c:v>
                </c:pt>
                <c:pt idx="401">
                  <c:v>48264</c:v>
                </c:pt>
                <c:pt idx="402">
                  <c:v>48278</c:v>
                </c:pt>
                <c:pt idx="403">
                  <c:v>48292</c:v>
                </c:pt>
                <c:pt idx="404">
                  <c:v>48306</c:v>
                </c:pt>
                <c:pt idx="405">
                  <c:v>48320</c:v>
                </c:pt>
                <c:pt idx="406">
                  <c:v>48334</c:v>
                </c:pt>
                <c:pt idx="407">
                  <c:v>48348</c:v>
                </c:pt>
                <c:pt idx="408">
                  <c:v>48362</c:v>
                </c:pt>
                <c:pt idx="409">
                  <c:v>48376</c:v>
                </c:pt>
                <c:pt idx="410">
                  <c:v>48390</c:v>
                </c:pt>
                <c:pt idx="411">
                  <c:v>48404</c:v>
                </c:pt>
                <c:pt idx="412">
                  <c:v>48418</c:v>
                </c:pt>
                <c:pt idx="413">
                  <c:v>48432</c:v>
                </c:pt>
                <c:pt idx="414">
                  <c:v>48446</c:v>
                </c:pt>
                <c:pt idx="415">
                  <c:v>48460</c:v>
                </c:pt>
                <c:pt idx="416">
                  <c:v>48474</c:v>
                </c:pt>
                <c:pt idx="417">
                  <c:v>48488</c:v>
                </c:pt>
                <c:pt idx="418">
                  <c:v>48502</c:v>
                </c:pt>
                <c:pt idx="419">
                  <c:v>48516</c:v>
                </c:pt>
                <c:pt idx="420">
                  <c:v>48530</c:v>
                </c:pt>
                <c:pt idx="421">
                  <c:v>48544</c:v>
                </c:pt>
                <c:pt idx="422">
                  <c:v>48558</c:v>
                </c:pt>
                <c:pt idx="423">
                  <c:v>48572</c:v>
                </c:pt>
                <c:pt idx="424">
                  <c:v>48586</c:v>
                </c:pt>
                <c:pt idx="425">
                  <c:v>48600</c:v>
                </c:pt>
                <c:pt idx="426">
                  <c:v>48614</c:v>
                </c:pt>
                <c:pt idx="427">
                  <c:v>48628</c:v>
                </c:pt>
                <c:pt idx="428">
                  <c:v>48642</c:v>
                </c:pt>
                <c:pt idx="429">
                  <c:v>48656</c:v>
                </c:pt>
                <c:pt idx="430">
                  <c:v>48670</c:v>
                </c:pt>
                <c:pt idx="431">
                  <c:v>48684</c:v>
                </c:pt>
                <c:pt idx="432">
                  <c:v>48698</c:v>
                </c:pt>
                <c:pt idx="433">
                  <c:v>48712</c:v>
                </c:pt>
                <c:pt idx="434">
                  <c:v>48726</c:v>
                </c:pt>
                <c:pt idx="435">
                  <c:v>48740</c:v>
                </c:pt>
                <c:pt idx="436">
                  <c:v>48754</c:v>
                </c:pt>
                <c:pt idx="437">
                  <c:v>48768</c:v>
                </c:pt>
                <c:pt idx="438">
                  <c:v>48782</c:v>
                </c:pt>
                <c:pt idx="439">
                  <c:v>48796</c:v>
                </c:pt>
                <c:pt idx="440">
                  <c:v>48810</c:v>
                </c:pt>
                <c:pt idx="441">
                  <c:v>48824</c:v>
                </c:pt>
                <c:pt idx="442">
                  <c:v>48838</c:v>
                </c:pt>
                <c:pt idx="443">
                  <c:v>48852</c:v>
                </c:pt>
                <c:pt idx="444">
                  <c:v>48866</c:v>
                </c:pt>
                <c:pt idx="445">
                  <c:v>48880</c:v>
                </c:pt>
                <c:pt idx="446">
                  <c:v>48894</c:v>
                </c:pt>
                <c:pt idx="447">
                  <c:v>48908</c:v>
                </c:pt>
                <c:pt idx="448">
                  <c:v>48922</c:v>
                </c:pt>
                <c:pt idx="449">
                  <c:v>48936</c:v>
                </c:pt>
                <c:pt idx="450">
                  <c:v>48950</c:v>
                </c:pt>
                <c:pt idx="451">
                  <c:v>48964</c:v>
                </c:pt>
                <c:pt idx="452">
                  <c:v>48978</c:v>
                </c:pt>
                <c:pt idx="453">
                  <c:v>48992</c:v>
                </c:pt>
                <c:pt idx="454">
                  <c:v>49006</c:v>
                </c:pt>
                <c:pt idx="455">
                  <c:v>49020</c:v>
                </c:pt>
                <c:pt idx="456">
                  <c:v>49034</c:v>
                </c:pt>
                <c:pt idx="457">
                  <c:v>49048</c:v>
                </c:pt>
                <c:pt idx="458">
                  <c:v>49062</c:v>
                </c:pt>
                <c:pt idx="459">
                  <c:v>49076</c:v>
                </c:pt>
                <c:pt idx="460">
                  <c:v>49090</c:v>
                </c:pt>
                <c:pt idx="461">
                  <c:v>49104</c:v>
                </c:pt>
                <c:pt idx="462">
                  <c:v>49118</c:v>
                </c:pt>
                <c:pt idx="463">
                  <c:v>49132</c:v>
                </c:pt>
                <c:pt idx="464">
                  <c:v>49146</c:v>
                </c:pt>
                <c:pt idx="465">
                  <c:v>49160</c:v>
                </c:pt>
                <c:pt idx="466">
                  <c:v>49174</c:v>
                </c:pt>
                <c:pt idx="467">
                  <c:v>49188</c:v>
                </c:pt>
                <c:pt idx="468">
                  <c:v>49202</c:v>
                </c:pt>
                <c:pt idx="469">
                  <c:v>49216</c:v>
                </c:pt>
                <c:pt idx="470">
                  <c:v>49230</c:v>
                </c:pt>
                <c:pt idx="471">
                  <c:v>49244</c:v>
                </c:pt>
                <c:pt idx="472">
                  <c:v>49258</c:v>
                </c:pt>
                <c:pt idx="473">
                  <c:v>49272</c:v>
                </c:pt>
                <c:pt idx="474">
                  <c:v>49286</c:v>
                </c:pt>
                <c:pt idx="475">
                  <c:v>49300</c:v>
                </c:pt>
                <c:pt idx="476">
                  <c:v>49314</c:v>
                </c:pt>
                <c:pt idx="477">
                  <c:v>49328</c:v>
                </c:pt>
                <c:pt idx="478">
                  <c:v>49342</c:v>
                </c:pt>
                <c:pt idx="479">
                  <c:v>49356</c:v>
                </c:pt>
                <c:pt idx="480">
                  <c:v>49370</c:v>
                </c:pt>
                <c:pt idx="481">
                  <c:v>49384</c:v>
                </c:pt>
                <c:pt idx="482">
                  <c:v>49398</c:v>
                </c:pt>
                <c:pt idx="483">
                  <c:v>49412</c:v>
                </c:pt>
                <c:pt idx="484">
                  <c:v>49426</c:v>
                </c:pt>
                <c:pt idx="485">
                  <c:v>49440</c:v>
                </c:pt>
                <c:pt idx="486">
                  <c:v>49454</c:v>
                </c:pt>
                <c:pt idx="487">
                  <c:v>49468</c:v>
                </c:pt>
                <c:pt idx="488">
                  <c:v>49482</c:v>
                </c:pt>
                <c:pt idx="489">
                  <c:v>49496</c:v>
                </c:pt>
                <c:pt idx="490">
                  <c:v>49510</c:v>
                </c:pt>
                <c:pt idx="491">
                  <c:v>49524</c:v>
                </c:pt>
                <c:pt idx="492">
                  <c:v>49538</c:v>
                </c:pt>
                <c:pt idx="493">
                  <c:v>49552</c:v>
                </c:pt>
                <c:pt idx="494">
                  <c:v>49566</c:v>
                </c:pt>
                <c:pt idx="495">
                  <c:v>49580</c:v>
                </c:pt>
                <c:pt idx="496">
                  <c:v>49594</c:v>
                </c:pt>
                <c:pt idx="497">
                  <c:v>49608</c:v>
                </c:pt>
                <c:pt idx="498">
                  <c:v>49622</c:v>
                </c:pt>
                <c:pt idx="499">
                  <c:v>49636</c:v>
                </c:pt>
                <c:pt idx="500">
                  <c:v>49650</c:v>
                </c:pt>
                <c:pt idx="501">
                  <c:v>49664</c:v>
                </c:pt>
                <c:pt idx="502">
                  <c:v>49678</c:v>
                </c:pt>
                <c:pt idx="503">
                  <c:v>49692</c:v>
                </c:pt>
                <c:pt idx="504">
                  <c:v>49706</c:v>
                </c:pt>
                <c:pt idx="505">
                  <c:v>49720</c:v>
                </c:pt>
                <c:pt idx="506">
                  <c:v>49734</c:v>
                </c:pt>
                <c:pt idx="507">
                  <c:v>49748</c:v>
                </c:pt>
                <c:pt idx="508">
                  <c:v>49762</c:v>
                </c:pt>
                <c:pt idx="509">
                  <c:v>49776</c:v>
                </c:pt>
                <c:pt idx="510">
                  <c:v>49790</c:v>
                </c:pt>
                <c:pt idx="511">
                  <c:v>49804</c:v>
                </c:pt>
                <c:pt idx="512">
                  <c:v>49818</c:v>
                </c:pt>
                <c:pt idx="513">
                  <c:v>49832</c:v>
                </c:pt>
                <c:pt idx="514">
                  <c:v>49846</c:v>
                </c:pt>
                <c:pt idx="515">
                  <c:v>49860</c:v>
                </c:pt>
                <c:pt idx="516">
                  <c:v>49874</c:v>
                </c:pt>
                <c:pt idx="517">
                  <c:v>49888</c:v>
                </c:pt>
                <c:pt idx="518">
                  <c:v>49902</c:v>
                </c:pt>
                <c:pt idx="519">
                  <c:v>49916</c:v>
                </c:pt>
                <c:pt idx="520">
                  <c:v>49930</c:v>
                </c:pt>
                <c:pt idx="521">
                  <c:v>49944</c:v>
                </c:pt>
                <c:pt idx="522">
                  <c:v>49958</c:v>
                </c:pt>
                <c:pt idx="523">
                  <c:v>49972</c:v>
                </c:pt>
                <c:pt idx="524">
                  <c:v>49986</c:v>
                </c:pt>
                <c:pt idx="525">
                  <c:v>50000</c:v>
                </c:pt>
                <c:pt idx="526">
                  <c:v>50014</c:v>
                </c:pt>
                <c:pt idx="527">
                  <c:v>50028</c:v>
                </c:pt>
                <c:pt idx="528">
                  <c:v>50042</c:v>
                </c:pt>
                <c:pt idx="529">
                  <c:v>50056</c:v>
                </c:pt>
                <c:pt idx="530">
                  <c:v>50070</c:v>
                </c:pt>
                <c:pt idx="531">
                  <c:v>50084</c:v>
                </c:pt>
                <c:pt idx="532">
                  <c:v>50098</c:v>
                </c:pt>
                <c:pt idx="533">
                  <c:v>50112</c:v>
                </c:pt>
                <c:pt idx="534">
                  <c:v>50126</c:v>
                </c:pt>
                <c:pt idx="535">
                  <c:v>50140</c:v>
                </c:pt>
                <c:pt idx="536">
                  <c:v>50154</c:v>
                </c:pt>
                <c:pt idx="537">
                  <c:v>50168</c:v>
                </c:pt>
                <c:pt idx="538">
                  <c:v>50182</c:v>
                </c:pt>
                <c:pt idx="539">
                  <c:v>50196</c:v>
                </c:pt>
                <c:pt idx="540">
                  <c:v>50210</c:v>
                </c:pt>
                <c:pt idx="541">
                  <c:v>50224</c:v>
                </c:pt>
                <c:pt idx="542">
                  <c:v>50238</c:v>
                </c:pt>
                <c:pt idx="543">
                  <c:v>50252</c:v>
                </c:pt>
                <c:pt idx="544">
                  <c:v>50266</c:v>
                </c:pt>
                <c:pt idx="545">
                  <c:v>50280</c:v>
                </c:pt>
                <c:pt idx="546">
                  <c:v>50294</c:v>
                </c:pt>
                <c:pt idx="547">
                  <c:v>50308</c:v>
                </c:pt>
                <c:pt idx="548">
                  <c:v>50322</c:v>
                </c:pt>
                <c:pt idx="549">
                  <c:v>50336</c:v>
                </c:pt>
                <c:pt idx="550">
                  <c:v>50350</c:v>
                </c:pt>
                <c:pt idx="551">
                  <c:v>50364</c:v>
                </c:pt>
                <c:pt idx="552">
                  <c:v>50378</c:v>
                </c:pt>
                <c:pt idx="553">
                  <c:v>50392</c:v>
                </c:pt>
                <c:pt idx="554">
                  <c:v>50406</c:v>
                </c:pt>
                <c:pt idx="555">
                  <c:v>50420</c:v>
                </c:pt>
                <c:pt idx="556">
                  <c:v>50434</c:v>
                </c:pt>
                <c:pt idx="557">
                  <c:v>50448</c:v>
                </c:pt>
                <c:pt idx="558">
                  <c:v>50462</c:v>
                </c:pt>
                <c:pt idx="559">
                  <c:v>50476</c:v>
                </c:pt>
                <c:pt idx="560">
                  <c:v>50490</c:v>
                </c:pt>
                <c:pt idx="561">
                  <c:v>50504</c:v>
                </c:pt>
                <c:pt idx="562">
                  <c:v>50518</c:v>
                </c:pt>
                <c:pt idx="563">
                  <c:v>50532</c:v>
                </c:pt>
                <c:pt idx="564">
                  <c:v>50546</c:v>
                </c:pt>
                <c:pt idx="565">
                  <c:v>50560</c:v>
                </c:pt>
                <c:pt idx="566">
                  <c:v>50574</c:v>
                </c:pt>
                <c:pt idx="567">
                  <c:v>50588</c:v>
                </c:pt>
                <c:pt idx="568">
                  <c:v>50602</c:v>
                </c:pt>
                <c:pt idx="569">
                  <c:v>50616</c:v>
                </c:pt>
                <c:pt idx="570">
                  <c:v>50630</c:v>
                </c:pt>
                <c:pt idx="571">
                  <c:v>50644</c:v>
                </c:pt>
                <c:pt idx="572">
                  <c:v>50658</c:v>
                </c:pt>
                <c:pt idx="573">
                  <c:v>50672</c:v>
                </c:pt>
                <c:pt idx="574">
                  <c:v>50686</c:v>
                </c:pt>
                <c:pt idx="575">
                  <c:v>50700</c:v>
                </c:pt>
                <c:pt idx="576">
                  <c:v>50714</c:v>
                </c:pt>
                <c:pt idx="577">
                  <c:v>50728</c:v>
                </c:pt>
                <c:pt idx="578">
                  <c:v>50742</c:v>
                </c:pt>
                <c:pt idx="579">
                  <c:v>50756</c:v>
                </c:pt>
                <c:pt idx="580">
                  <c:v>50770</c:v>
                </c:pt>
                <c:pt idx="581">
                  <c:v>50784</c:v>
                </c:pt>
                <c:pt idx="582">
                  <c:v>50798</c:v>
                </c:pt>
                <c:pt idx="583">
                  <c:v>50812</c:v>
                </c:pt>
                <c:pt idx="584">
                  <c:v>50826</c:v>
                </c:pt>
                <c:pt idx="585">
                  <c:v>50840</c:v>
                </c:pt>
                <c:pt idx="586">
                  <c:v>50854</c:v>
                </c:pt>
                <c:pt idx="587">
                  <c:v>50868</c:v>
                </c:pt>
                <c:pt idx="588">
                  <c:v>50882</c:v>
                </c:pt>
                <c:pt idx="589">
                  <c:v>50896</c:v>
                </c:pt>
                <c:pt idx="590">
                  <c:v>50910</c:v>
                </c:pt>
                <c:pt idx="591">
                  <c:v>50924</c:v>
                </c:pt>
                <c:pt idx="592">
                  <c:v>50938</c:v>
                </c:pt>
                <c:pt idx="593">
                  <c:v>50952</c:v>
                </c:pt>
                <c:pt idx="594">
                  <c:v>50966</c:v>
                </c:pt>
                <c:pt idx="595">
                  <c:v>50980</c:v>
                </c:pt>
                <c:pt idx="596">
                  <c:v>50994</c:v>
                </c:pt>
                <c:pt idx="597">
                  <c:v>51008</c:v>
                </c:pt>
                <c:pt idx="598">
                  <c:v>51022</c:v>
                </c:pt>
                <c:pt idx="599">
                  <c:v>51036</c:v>
                </c:pt>
                <c:pt idx="600">
                  <c:v>51050</c:v>
                </c:pt>
                <c:pt idx="601">
                  <c:v>51064</c:v>
                </c:pt>
                <c:pt idx="602">
                  <c:v>51078</c:v>
                </c:pt>
                <c:pt idx="603">
                  <c:v>51092</c:v>
                </c:pt>
                <c:pt idx="604">
                  <c:v>51106</c:v>
                </c:pt>
                <c:pt idx="605">
                  <c:v>51120</c:v>
                </c:pt>
                <c:pt idx="606">
                  <c:v>51134</c:v>
                </c:pt>
                <c:pt idx="607">
                  <c:v>51148</c:v>
                </c:pt>
                <c:pt idx="608">
                  <c:v>51162</c:v>
                </c:pt>
                <c:pt idx="609">
                  <c:v>51176</c:v>
                </c:pt>
                <c:pt idx="610">
                  <c:v>51190</c:v>
                </c:pt>
                <c:pt idx="611">
                  <c:v>51204</c:v>
                </c:pt>
                <c:pt idx="612">
                  <c:v>51218</c:v>
                </c:pt>
                <c:pt idx="613">
                  <c:v>51232</c:v>
                </c:pt>
                <c:pt idx="614">
                  <c:v>51246</c:v>
                </c:pt>
                <c:pt idx="615">
                  <c:v>51260</c:v>
                </c:pt>
                <c:pt idx="616">
                  <c:v>51274</c:v>
                </c:pt>
                <c:pt idx="617">
                  <c:v>51288</c:v>
                </c:pt>
                <c:pt idx="618">
                  <c:v>51302</c:v>
                </c:pt>
                <c:pt idx="619">
                  <c:v>51316</c:v>
                </c:pt>
                <c:pt idx="620">
                  <c:v>51330</c:v>
                </c:pt>
                <c:pt idx="621">
                  <c:v>51344</c:v>
                </c:pt>
                <c:pt idx="622">
                  <c:v>51358</c:v>
                </c:pt>
                <c:pt idx="623">
                  <c:v>51372</c:v>
                </c:pt>
                <c:pt idx="624">
                  <c:v>51386</c:v>
                </c:pt>
                <c:pt idx="625">
                  <c:v>51400</c:v>
                </c:pt>
                <c:pt idx="626">
                  <c:v>51414</c:v>
                </c:pt>
                <c:pt idx="627">
                  <c:v>51428</c:v>
                </c:pt>
                <c:pt idx="628">
                  <c:v>51442</c:v>
                </c:pt>
                <c:pt idx="629">
                  <c:v>51456</c:v>
                </c:pt>
                <c:pt idx="630">
                  <c:v>51470</c:v>
                </c:pt>
                <c:pt idx="631">
                  <c:v>51484</c:v>
                </c:pt>
                <c:pt idx="632">
                  <c:v>51498</c:v>
                </c:pt>
              </c:numCache>
            </c:numRef>
          </c:cat>
          <c:val>
            <c:numRef>
              <c:f>Sheet3!$E$6:$E$2053</c:f>
              <c:numCache>
                <c:formatCode>"$"#,##0.00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0.1730769230769198</c:v>
                </c:pt>
                <c:pt idx="3">
                  <c:v>0.51973002958578718</c:v>
                </c:pt>
                <c:pt idx="4">
                  <c:v>1.0404600200557468</c:v>
                </c:pt>
                <c:pt idx="5">
                  <c:v>1.7357690393444045</c:v>
                </c:pt>
                <c:pt idx="6">
                  <c:v>2.6061606808040665</c:v>
                </c:pt>
                <c:pt idx="7">
                  <c:v>3.6521399904602276</c:v>
                </c:pt>
                <c:pt idx="8">
                  <c:v>4.8742134712019265</c:v>
                </c:pt>
                <c:pt idx="9">
                  <c:v>6.2728890869841507</c:v>
                </c:pt>
                <c:pt idx="10">
                  <c:v>7.8486762670427197</c:v>
                </c:pt>
                <c:pt idx="11">
                  <c:v>9.6020859101207634</c:v>
                </c:pt>
                <c:pt idx="12">
                  <c:v>11.533630388707593</c:v>
                </c:pt>
                <c:pt idx="13">
                  <c:v>13.643823553290417</c:v>
                </c:pt>
                <c:pt idx="14">
                  <c:v>15.93318073661726</c:v>
                </c:pt>
                <c:pt idx="15">
                  <c:v>18.402218757972832</c:v>
                </c:pt>
                <c:pt idx="16">
                  <c:v>21.051455927467032</c:v>
                </c:pt>
                <c:pt idx="17">
                  <c:v>23.881412050334802</c:v>
                </c:pt>
                <c:pt idx="18">
                  <c:v>26.8926084312493</c:v>
                </c:pt>
                <c:pt idx="19">
                  <c:v>30.085567878647225</c:v>
                </c:pt>
                <c:pt idx="20">
                  <c:v>33.460814709066426</c:v>
                </c:pt>
                <c:pt idx="21">
                  <c:v>37.018874751496469</c:v>
                </c:pt>
                <c:pt idx="22">
                  <c:v>40.760275351741257</c:v>
                </c:pt>
                <c:pt idx="23">
                  <c:v>44.68554537679438</c:v>
                </c:pt>
                <c:pt idx="24">
                  <c:v>48.79521521922743</c:v>
                </c:pt>
                <c:pt idx="25">
                  <c:v>53.089816801590587</c:v>
                </c:pt>
                <c:pt idx="26">
                  <c:v>57.569883580825945</c:v>
                </c:pt>
                <c:pt idx="27">
                  <c:v>62.235950552693794</c:v>
                </c:pt>
                <c:pt idx="28">
                  <c:v>67.088554256211182</c:v>
                </c:pt>
                <c:pt idx="29">
                  <c:v>72.12823277810412</c:v>
                </c:pt>
                <c:pt idx="30">
                  <c:v>77.355525757271607</c:v>
                </c:pt>
                <c:pt idx="31">
                  <c:v>82.770974389263756</c:v>
                </c:pt>
                <c:pt idx="32">
                  <c:v>88.375121430771287</c:v>
                </c:pt>
                <c:pt idx="33">
                  <c:v>94.168511204129572</c:v>
                </c:pt>
                <c:pt idx="34">
                  <c:v>100.15168960183382</c:v>
                </c:pt>
                <c:pt idx="35">
                  <c:v>106.32520409106974</c:v>
                </c:pt>
                <c:pt idx="36">
                  <c:v>112.68960371825551</c:v>
                </c:pt>
                <c:pt idx="37">
                  <c:v>119.2454391135966</c:v>
                </c:pt>
                <c:pt idx="38">
                  <c:v>125.99326249565502</c:v>
                </c:pt>
                <c:pt idx="39">
                  <c:v>132.93362767593089</c:v>
                </c:pt>
                <c:pt idx="40">
                  <c:v>140.06709006345773</c:v>
                </c:pt>
                <c:pt idx="41">
                  <c:v>147.39420666940987</c:v>
                </c:pt>
                <c:pt idx="42">
                  <c:v>154.91553611172549</c:v>
                </c:pt>
                <c:pt idx="43">
                  <c:v>162.63163861973999</c:v>
                </c:pt>
                <c:pt idx="44">
                  <c:v>170.54307603883535</c:v>
                </c:pt>
                <c:pt idx="45">
                  <c:v>178.65041183510129</c:v>
                </c:pt>
                <c:pt idx="46">
                  <c:v>186.95421110001007</c:v>
                </c:pt>
                <c:pt idx="47">
                  <c:v>195.45504055510628</c:v>
                </c:pt>
                <c:pt idx="48">
                  <c:v>204.15346855670759</c:v>
                </c:pt>
                <c:pt idx="49">
                  <c:v>213.05006510062094</c:v>
                </c:pt>
                <c:pt idx="50">
                  <c:v>222.14540182687279</c:v>
                </c:pt>
                <c:pt idx="51">
                  <c:v>231.44005202445032</c:v>
                </c:pt>
                <c:pt idx="52">
                  <c:v>240.93459063605906</c:v>
                </c:pt>
                <c:pt idx="53">
                  <c:v>250.62959426289399</c:v>
                </c:pt>
                <c:pt idx="54">
                  <c:v>260.52564116942131</c:v>
                </c:pt>
                <c:pt idx="55">
                  <c:v>270.62331128817914</c:v>
                </c:pt>
                <c:pt idx="56">
                  <c:v>280.92318622458743</c:v>
                </c:pt>
                <c:pt idx="57">
                  <c:v>291.42584926177369</c:v>
                </c:pt>
                <c:pt idx="58">
                  <c:v>302.13188536541338</c:v>
                </c:pt>
                <c:pt idx="59">
                  <c:v>313.04188118858292</c:v>
                </c:pt>
                <c:pt idx="60">
                  <c:v>324.15642507662687</c:v>
                </c:pt>
                <c:pt idx="61">
                  <c:v>335.47610707204012</c:v>
                </c:pt>
                <c:pt idx="62">
                  <c:v>347.00151891936321</c:v>
                </c:pt>
                <c:pt idx="63">
                  <c:v>358.73325407009179</c:v>
                </c:pt>
                <c:pt idx="64">
                  <c:v>370.67190768760156</c:v>
                </c:pt>
                <c:pt idx="65">
                  <c:v>382.81807665208544</c:v>
                </c:pt>
                <c:pt idx="66">
                  <c:v>395.17235956550485</c:v>
                </c:pt>
                <c:pt idx="67">
                  <c:v>407.73535675655876</c:v>
                </c:pt>
                <c:pt idx="68">
                  <c:v>420.50767028566406</c:v>
                </c:pt>
                <c:pt idx="69">
                  <c:v>433.48990394994962</c:v>
                </c:pt>
                <c:pt idx="70">
                  <c:v>446.68266328826667</c:v>
                </c:pt>
                <c:pt idx="71">
                  <c:v>460.08655558621376</c:v>
                </c:pt>
                <c:pt idx="72">
                  <c:v>473.70218988117358</c:v>
                </c:pt>
                <c:pt idx="73">
                  <c:v>487.53017696736879</c:v>
                </c:pt>
                <c:pt idx="74">
                  <c:v>501.57112940092884</c:v>
                </c:pt>
                <c:pt idx="75">
                  <c:v>515.8256615049695</c:v>
                </c:pt>
                <c:pt idx="76">
                  <c:v>530.29438937469513</c:v>
                </c:pt>
                <c:pt idx="77">
                  <c:v>544.97793088250637</c:v>
                </c:pt>
                <c:pt idx="78">
                  <c:v>559.87690568312883</c:v>
                </c:pt>
                <c:pt idx="79">
                  <c:v>574.9919352187535</c:v>
                </c:pt>
                <c:pt idx="80">
                  <c:v>590.32364272419181</c:v>
                </c:pt>
                <c:pt idx="81">
                  <c:v>605.87265323204974</c:v>
                </c:pt>
                <c:pt idx="82">
                  <c:v>621.639593577911</c:v>
                </c:pt>
                <c:pt idx="83">
                  <c:v>637.62509240553936</c:v>
                </c:pt>
                <c:pt idx="84">
                  <c:v>653.82978017209371</c:v>
                </c:pt>
                <c:pt idx="85">
                  <c:v>670.25428915335942</c:v>
                </c:pt>
                <c:pt idx="86">
                  <c:v>686.89925344899439</c:v>
                </c:pt>
                <c:pt idx="87">
                  <c:v>703.76530898778947</c:v>
                </c:pt>
                <c:pt idx="88">
                  <c:v>720.85309353294633</c:v>
                </c:pt>
                <c:pt idx="89">
                  <c:v>738.16324668736797</c:v>
                </c:pt>
                <c:pt idx="90">
                  <c:v>755.69640989896652</c:v>
                </c:pt>
                <c:pt idx="91">
                  <c:v>773.45322646598288</c:v>
                </c:pt>
                <c:pt idx="92">
                  <c:v>791.43434154232727</c:v>
                </c:pt>
                <c:pt idx="93">
                  <c:v>809.64040214292982</c:v>
                </c:pt>
                <c:pt idx="94">
                  <c:v>828.07205714911106</c:v>
                </c:pt>
                <c:pt idx="95">
                  <c:v>846.72995731396441</c:v>
                </c:pt>
                <c:pt idx="96">
                  <c:v>865.61475526775484</c:v>
                </c:pt>
                <c:pt idx="97">
                  <c:v>884.72710552333501</c:v>
                </c:pt>
                <c:pt idx="98">
                  <c:v>904.06766448157578</c:v>
                </c:pt>
                <c:pt idx="99">
                  <c:v>923.63709043681138</c:v>
                </c:pt>
                <c:pt idx="100">
                  <c:v>943.43604358230186</c:v>
                </c:pt>
                <c:pt idx="101">
                  <c:v>963.46518601571188</c:v>
                </c:pt>
                <c:pt idx="102">
                  <c:v>983.72518174460311</c:v>
                </c:pt>
                <c:pt idx="103">
                  <c:v>1004.2166966919431</c:v>
                </c:pt>
                <c:pt idx="104">
                  <c:v>1024.9403987016312</c:v>
                </c:pt>
                <c:pt idx="105">
                  <c:v>1045.8969575440397</c:v>
                </c:pt>
                <c:pt idx="106">
                  <c:v>1067.0870449215709</c:v>
                </c:pt>
                <c:pt idx="107">
                  <c:v>1088.5113344742294</c:v>
                </c:pt>
                <c:pt idx="108">
                  <c:v>1110.1705017852128</c:v>
                </c:pt>
                <c:pt idx="109">
                  <c:v>1132.0652243865161</c:v>
                </c:pt>
                <c:pt idx="110">
                  <c:v>1154.1961817645542</c:v>
                </c:pt>
                <c:pt idx="111">
                  <c:v>1176.5640553657977</c:v>
                </c:pt>
                <c:pt idx="112">
                  <c:v>1199.1695286024296</c:v>
                </c:pt>
                <c:pt idx="113">
                  <c:v>1222.0132868580131</c:v>
                </c:pt>
                <c:pt idx="114">
                  <c:v>1245.0960174931806</c:v>
                </c:pt>
                <c:pt idx="115">
                  <c:v>1268.4184098513342</c:v>
                </c:pt>
                <c:pt idx="116">
                  <c:v>1291.981155264366</c:v>
                </c:pt>
                <c:pt idx="117">
                  <c:v>1315.7849470583969</c:v>
                </c:pt>
                <c:pt idx="118">
                  <c:v>1339.8304805595271</c:v>
                </c:pt>
                <c:pt idx="119">
                  <c:v>1364.1184530996034</c:v>
                </c:pt>
                <c:pt idx="120">
                  <c:v>1388.6495640220055</c:v>
                </c:pt>
                <c:pt idx="121">
                  <c:v>1413.4245146874528</c:v>
                </c:pt>
                <c:pt idx="122">
                  <c:v>1438.4440084798207</c:v>
                </c:pt>
                <c:pt idx="123">
                  <c:v>1463.7087508119748</c:v>
                </c:pt>
                <c:pt idx="124">
                  <c:v>1489.2194491316241</c:v>
                </c:pt>
                <c:pt idx="125">
                  <c:v>1514.9768129271961</c:v>
                </c:pt>
                <c:pt idx="126">
                  <c:v>1540.9815537337163</c:v>
                </c:pt>
                <c:pt idx="127">
                  <c:v>1567.2343851387177</c:v>
                </c:pt>
                <c:pt idx="128">
                  <c:v>1593.7360227881563</c:v>
                </c:pt>
                <c:pt idx="129">
                  <c:v>1620.487184392352</c:v>
                </c:pt>
                <c:pt idx="130">
                  <c:v>1647.4885897319455</c:v>
                </c:pt>
                <c:pt idx="131">
                  <c:v>1674.7409606638648</c:v>
                </c:pt>
                <c:pt idx="132">
                  <c:v>1702.245021127319</c:v>
                </c:pt>
                <c:pt idx="133">
                  <c:v>1730.0014971498022</c:v>
                </c:pt>
                <c:pt idx="134">
                  <c:v>1758.0111168531184</c:v>
                </c:pt>
                <c:pt idx="135">
                  <c:v>1786.2746104594262</c:v>
                </c:pt>
                <c:pt idx="136">
                  <c:v>1814.7927102972899</c:v>
                </c:pt>
                <c:pt idx="137">
                  <c:v>1843.5661508077628</c:v>
                </c:pt>
                <c:pt idx="138">
                  <c:v>1872.5956685504771</c:v>
                </c:pt>
                <c:pt idx="139">
                  <c:v>1901.882002209757</c:v>
                </c:pt>
                <c:pt idx="140">
                  <c:v>1931.425892600746</c:v>
                </c:pt>
                <c:pt idx="141">
                  <c:v>1961.2280826755559</c:v>
                </c:pt>
                <c:pt idx="142">
                  <c:v>1991.2893175294284</c:v>
                </c:pt>
                <c:pt idx="143">
                  <c:v>2021.6103444069176</c:v>
                </c:pt>
                <c:pt idx="144">
                  <c:v>2052.191912708091</c:v>
                </c:pt>
                <c:pt idx="145">
                  <c:v>2083.0347739947483</c:v>
                </c:pt>
                <c:pt idx="146">
                  <c:v>2114.1396819966558</c:v>
                </c:pt>
                <c:pt idx="147">
                  <c:v>2145.5073926177993</c:v>
                </c:pt>
                <c:pt idx="148">
                  <c:v>2177.1386639426582</c:v>
                </c:pt>
                <c:pt idx="149">
                  <c:v>2209.0342562424921</c:v>
                </c:pt>
                <c:pt idx="150">
                  <c:v>2241.1949319816522</c:v>
                </c:pt>
                <c:pt idx="151">
                  <c:v>2273.6214558239062</c:v>
                </c:pt>
                <c:pt idx="152">
                  <c:v>2306.3145946387831</c:v>
                </c:pt>
                <c:pt idx="153">
                  <c:v>2339.2751175079338</c:v>
                </c:pt>
                <c:pt idx="154">
                  <c:v>2372.5037957315144</c:v>
                </c:pt>
                <c:pt idx="155">
                  <c:v>2406.0014028345868</c:v>
                </c:pt>
                <c:pt idx="156">
                  <c:v>2439.7687145735326</c:v>
                </c:pt>
                <c:pt idx="157">
                  <c:v>2473.8065089424945</c:v>
                </c:pt>
                <c:pt idx="158">
                  <c:v>2508.1155661798293</c:v>
                </c:pt>
                <c:pt idx="159">
                  <c:v>2542.6966687745789</c:v>
                </c:pt>
                <c:pt idx="160">
                  <c:v>2577.5506014729672</c:v>
                </c:pt>
                <c:pt idx="161">
                  <c:v>2612.6781512849084</c:v>
                </c:pt>
                <c:pt idx="162">
                  <c:v>2648.0801074905376</c:v>
                </c:pt>
                <c:pt idx="163">
                  <c:v>2683.7572616467605</c:v>
                </c:pt>
                <c:pt idx="164">
                  <c:v>2719.7104075938187</c:v>
                </c:pt>
                <c:pt idx="165">
                  <c:v>2755.9403414618773</c:v>
                </c:pt>
                <c:pt idx="166">
                  <c:v>2792.4478616776323</c:v>
                </c:pt>
                <c:pt idx="167">
                  <c:v>2829.2337689709329</c:v>
                </c:pt>
                <c:pt idx="168">
                  <c:v>2866.2988663814267</c:v>
                </c:pt>
                <c:pt idx="169">
                  <c:v>2903.6439592652187</c:v>
                </c:pt>
                <c:pt idx="170">
                  <c:v>2941.2698553015598</c:v>
                </c:pt>
                <c:pt idx="171">
                  <c:v>2979.1773644995446</c:v>
                </c:pt>
                <c:pt idx="172">
                  <c:v>3017.3672992048323</c:v>
                </c:pt>
                <c:pt idx="173">
                  <c:v>3055.8404741063841</c:v>
                </c:pt>
                <c:pt idx="174">
                  <c:v>3094.5977062432285</c:v>
                </c:pt>
                <c:pt idx="175">
                  <c:v>3133.6398150112382</c:v>
                </c:pt>
                <c:pt idx="176">
                  <c:v>3172.9676221699247</c:v>
                </c:pt>
                <c:pt idx="177">
                  <c:v>3212.5819518492608</c:v>
                </c:pt>
                <c:pt idx="178">
                  <c:v>3252.4836305565186</c:v>
                </c:pt>
                <c:pt idx="179">
                  <c:v>3292.6734871831231</c:v>
                </c:pt>
                <c:pt idx="180">
                  <c:v>3333.1523530115355</c:v>
                </c:pt>
                <c:pt idx="181">
                  <c:v>3373.9210617221452</c:v>
                </c:pt>
                <c:pt idx="182">
                  <c:v>3414.9804494001892</c:v>
                </c:pt>
                <c:pt idx="183">
                  <c:v>3456.33135454269</c:v>
                </c:pt>
                <c:pt idx="184">
                  <c:v>3497.9746180654092</c:v>
                </c:pt>
                <c:pt idx="185">
                  <c:v>3539.9110833098293</c:v>
                </c:pt>
                <c:pt idx="186">
                  <c:v>3582.1415960501454</c:v>
                </c:pt>
                <c:pt idx="187">
                  <c:v>3624.6670045002902</c:v>
                </c:pt>
                <c:pt idx="188">
                  <c:v>3667.4881593209648</c:v>
                </c:pt>
                <c:pt idx="189">
                  <c:v>3710.6059136266977</c:v>
                </c:pt>
                <c:pt idx="190">
                  <c:v>3754.0211229929282</c:v>
                </c:pt>
                <c:pt idx="191">
                  <c:v>3797.7346454631006</c:v>
                </c:pt>
                <c:pt idx="192">
                  <c:v>3841.7473415557834</c:v>
                </c:pt>
                <c:pt idx="193">
                  <c:v>3886.0600742718088</c:v>
                </c:pt>
                <c:pt idx="194">
                  <c:v>3930.6737091014384</c:v>
                </c:pt>
                <c:pt idx="195">
                  <c:v>3975.589114031538</c:v>
                </c:pt>
                <c:pt idx="196">
                  <c:v>4020.8071595527817</c:v>
                </c:pt>
                <c:pt idx="197">
                  <c:v>4066.3287186668767</c:v>
                </c:pt>
                <c:pt idx="198">
                  <c:v>4112.1546668938008</c:v>
                </c:pt>
                <c:pt idx="199">
                  <c:v>4158.2858822790713</c:v>
                </c:pt>
                <c:pt idx="200">
                  <c:v>4204.72324540103</c:v>
                </c:pt>
                <c:pt idx="201">
                  <c:v>4251.4676393781483</c:v>
                </c:pt>
                <c:pt idx="202">
                  <c:v>4298.5199498763541</c:v>
                </c:pt>
                <c:pt idx="203">
                  <c:v>4345.8810651163803</c:v>
                </c:pt>
                <c:pt idx="204">
                  <c:v>4393.5518758811377</c:v>
                </c:pt>
                <c:pt idx="205">
                  <c:v>4441.5332755231029</c:v>
                </c:pt>
                <c:pt idx="206">
                  <c:v>4489.8261599717262</c:v>
                </c:pt>
                <c:pt idx="207">
                  <c:v>4538.4314277408739</c:v>
                </c:pt>
                <c:pt idx="208">
                  <c:v>4587.3499799362799</c:v>
                </c:pt>
                <c:pt idx="209">
                  <c:v>4636.5827202630207</c:v>
                </c:pt>
                <c:pt idx="210">
                  <c:v>4686.1305550330108</c:v>
                </c:pt>
                <c:pt idx="211">
                  <c:v>4735.9943931725284</c:v>
                </c:pt>
                <c:pt idx="212">
                  <c:v>4786.175146229758</c:v>
                </c:pt>
                <c:pt idx="213">
                  <c:v>4836.6737283823422</c:v>
                </c:pt>
                <c:pt idx="214">
                  <c:v>4887.491056444982</c:v>
                </c:pt>
                <c:pt idx="215">
                  <c:v>4938.6280498770357</c:v>
                </c:pt>
                <c:pt idx="216">
                  <c:v>4990.0856307901413</c:v>
                </c:pt>
                <c:pt idx="217">
                  <c:v>5041.8647239558813</c:v>
                </c:pt>
                <c:pt idx="218">
                  <c:v>5093.9662568134445</c:v>
                </c:pt>
                <c:pt idx="219">
                  <c:v>5146.3911594773308</c:v>
                </c:pt>
                <c:pt idx="220">
                  <c:v>5199.1403647450534</c:v>
                </c:pt>
                <c:pt idx="221">
                  <c:v>5252.2148081048945</c:v>
                </c:pt>
                <c:pt idx="222">
                  <c:v>5305.6154277436581</c:v>
                </c:pt>
                <c:pt idx="223">
                  <c:v>5359.3431645544551</c:v>
                </c:pt>
                <c:pt idx="224">
                  <c:v>5413.3989621445144</c:v>
                </c:pt>
                <c:pt idx="225">
                  <c:v>5467.7837668430075</c:v>
                </c:pt>
                <c:pt idx="226">
                  <c:v>5522.4985277088999</c:v>
                </c:pt>
                <c:pt idx="227">
                  <c:v>5577.5441965388309</c:v>
                </c:pt>
                <c:pt idx="228">
                  <c:v>5632.9217278750002</c:v>
                </c:pt>
                <c:pt idx="229">
                  <c:v>5688.6320790130994</c:v>
                </c:pt>
                <c:pt idx="230">
                  <c:v>5744.6762100102533</c:v>
                </c:pt>
                <c:pt idx="231">
                  <c:v>5801.055083692976</c:v>
                </c:pt>
                <c:pt idx="232">
                  <c:v>5857.7696656651678</c:v>
                </c:pt>
                <c:pt idx="233">
                  <c:v>5914.8209243161255</c:v>
                </c:pt>
                <c:pt idx="234">
                  <c:v>5972.2098308285749</c:v>
                </c:pt>
                <c:pt idx="235">
                  <c:v>6029.9373591867334</c:v>
                </c:pt>
                <c:pt idx="236">
                  <c:v>6088.004486184389</c:v>
                </c:pt>
                <c:pt idx="237">
                  <c:v>6146.412191432999</c:v>
                </c:pt>
                <c:pt idx="238">
                  <c:v>6205.1614573698243</c:v>
                </c:pt>
                <c:pt idx="239">
                  <c:v>6264.2532692660825</c:v>
                </c:pt>
                <c:pt idx="240">
                  <c:v>6323.688615235118</c:v>
                </c:pt>
                <c:pt idx="241">
                  <c:v>6383.4684862406029</c:v>
                </c:pt>
                <c:pt idx="242">
                  <c:v>6443.5938761047582</c:v>
                </c:pt>
                <c:pt idx="243">
                  <c:v>6504.0657815165978</c:v>
                </c:pt>
                <c:pt idx="244">
                  <c:v>6564.8852020402046</c:v>
                </c:pt>
                <c:pt idx="245">
                  <c:v>6626.053140123011</c:v>
                </c:pt>
                <c:pt idx="246">
                  <c:v>6687.5706011041366</c:v>
                </c:pt>
                <c:pt idx="247">
                  <c:v>6749.4385932227051</c:v>
                </c:pt>
                <c:pt idx="248">
                  <c:v>6811.6581276262332</c:v>
                </c:pt>
                <c:pt idx="249">
                  <c:v>6874.2302183790016</c:v>
                </c:pt>
                <c:pt idx="250">
                  <c:v>6937.1558824704807</c:v>
                </c:pt>
                <c:pt idx="251">
                  <c:v>7000.4361398237597</c:v>
                </c:pt>
                <c:pt idx="252">
                  <c:v>7064.0720133040195</c:v>
                </c:pt>
                <c:pt idx="253">
                  <c:v>7128.0645287270127</c:v>
                </c:pt>
                <c:pt idx="254">
                  <c:v>7192.4147148675729</c:v>
                </c:pt>
                <c:pt idx="255">
                  <c:v>7257.1236034681533</c:v>
                </c:pt>
                <c:pt idx="256">
                  <c:v>7322.1922292473864</c:v>
                </c:pt>
                <c:pt idx="257">
                  <c:v>7387.6216299086773</c:v>
                </c:pt>
                <c:pt idx="258">
                  <c:v>7453.4128461487999</c:v>
                </c:pt>
                <c:pt idx="259">
                  <c:v>7519.5669216665374</c:v>
                </c:pt>
                <c:pt idx="260">
                  <c:v>7586.0849031713442</c:v>
                </c:pt>
                <c:pt idx="261">
                  <c:v>7652.9678403920298</c:v>
                </c:pt>
                <c:pt idx="262">
                  <c:v>7720.2167860854679</c:v>
                </c:pt>
                <c:pt idx="263">
                  <c:v>7787.832796045328</c:v>
                </c:pt>
                <c:pt idx="264">
                  <c:v>7855.8169291108425</c:v>
                </c:pt>
                <c:pt idx="265">
                  <c:v>7924.1702471755852</c:v>
                </c:pt>
                <c:pt idx="266">
                  <c:v>7992.893815196283</c:v>
                </c:pt>
                <c:pt idx="267">
                  <c:v>8061.9887012016552</c:v>
                </c:pt>
                <c:pt idx="268">
                  <c:v>8131.4559763012767</c:v>
                </c:pt>
                <c:pt idx="269">
                  <c:v>8201.2967146944538</c:v>
                </c:pt>
                <c:pt idx="270">
                  <c:v>8271.5119936791489</c:v>
                </c:pt>
                <c:pt idx="271">
                  <c:v>8342.1028936609146</c:v>
                </c:pt>
                <c:pt idx="272">
                  <c:v>8413.0704981618583</c:v>
                </c:pt>
                <c:pt idx="273">
                  <c:v>8484.4158938296314</c:v>
                </c:pt>
                <c:pt idx="274">
                  <c:v>8556.1401704464479</c:v>
                </c:pt>
                <c:pt idx="275">
                  <c:v>8628.244420938121</c:v>
                </c:pt>
                <c:pt idx="276">
                  <c:v>8700.7297413831329</c:v>
                </c:pt>
                <c:pt idx="277">
                  <c:v>8773.5972310217367</c:v>
                </c:pt>
                <c:pt idx="278">
                  <c:v>8846.8479922650695</c:v>
                </c:pt>
                <c:pt idx="279">
                  <c:v>8920.483130704295</c:v>
                </c:pt>
                <c:pt idx="280">
                  <c:v>8994.5037551197893</c:v>
                </c:pt>
                <c:pt idx="281">
                  <c:v>9068.9109774903263</c:v>
                </c:pt>
                <c:pt idx="282">
                  <c:v>9143.705913002319</c:v>
                </c:pt>
                <c:pt idx="283">
                  <c:v>9218.8896800590555</c:v>
                </c:pt>
                <c:pt idx="284">
                  <c:v>9294.4634002899948</c:v>
                </c:pt>
                <c:pt idx="285">
                  <c:v>9370.428198560061</c:v>
                </c:pt>
                <c:pt idx="286">
                  <c:v>9446.7852029789829</c:v>
                </c:pt>
                <c:pt idx="287">
                  <c:v>9523.5355449106537</c:v>
                </c:pt>
                <c:pt idx="288">
                  <c:v>9600.6803589825104</c:v>
                </c:pt>
                <c:pt idx="289">
                  <c:v>9678.2207830949592</c:v>
                </c:pt>
                <c:pt idx="290">
                  <c:v>9756.1579584308092</c:v>
                </c:pt>
                <c:pt idx="291">
                  <c:v>9834.4930294647456</c:v>
                </c:pt>
                <c:pt idx="292">
                  <c:v>9913.2271439728174</c:v>
                </c:pt>
                <c:pt idx="293">
                  <c:v>9992.3614530419691</c:v>
                </c:pt>
                <c:pt idx="294">
                  <c:v>10071.89711107959</c:v>
                </c:pt>
                <c:pt idx="295">
                  <c:v>10151.83527582309</c:v>
                </c:pt>
                <c:pt idx="296">
                  <c:v>10232.177108349504</c:v>
                </c:pt>
                <c:pt idx="297">
                  <c:v>10312.923773085127</c:v>
                </c:pt>
                <c:pt idx="298">
                  <c:v>10394.07643781518</c:v>
                </c:pt>
                <c:pt idx="299">
                  <c:v>10475.636273693493</c:v>
                </c:pt>
                <c:pt idx="300">
                  <c:v>10557.604455252225</c:v>
                </c:pt>
                <c:pt idx="301">
                  <c:v>10639.982160411608</c:v>
                </c:pt>
                <c:pt idx="302">
                  <c:v>10722.770570489716</c:v>
                </c:pt>
                <c:pt idx="303">
                  <c:v>10805.970870212281</c:v>
                </c:pt>
                <c:pt idx="304">
                  <c:v>10889.584247722509</c:v>
                </c:pt>
                <c:pt idx="305">
                  <c:v>10973.61189459094</c:v>
                </c:pt>
                <c:pt idx="306">
                  <c:v>11058.055005825336</c:v>
                </c:pt>
                <c:pt idx="307">
                  <c:v>11142.914779880601</c:v>
                </c:pt>
                <c:pt idx="308">
                  <c:v>11228.192418668717</c:v>
                </c:pt>
                <c:pt idx="309">
                  <c:v>11313.889127568724</c:v>
                </c:pt>
                <c:pt idx="310">
                  <c:v>11400.00611543671</c:v>
                </c:pt>
                <c:pt idx="311">
                  <c:v>11486.544594615854</c:v>
                </c:pt>
                <c:pt idx="312">
                  <c:v>11573.505780946478</c:v>
                </c:pt>
                <c:pt idx="313">
                  <c:v>11660.89089377613</c:v>
                </c:pt>
                <c:pt idx="314">
                  <c:v>11748.701155969713</c:v>
                </c:pt>
                <c:pt idx="315">
                  <c:v>11836.937793919624</c:v>
                </c:pt>
                <c:pt idx="316">
                  <c:v>11925.602037555931</c:v>
                </c:pt>
                <c:pt idx="317">
                  <c:v>12014.695120356573</c:v>
                </c:pt>
                <c:pt idx="318">
                  <c:v>12104.218279357603</c:v>
                </c:pt>
                <c:pt idx="319">
                  <c:v>12194.172755163443</c:v>
                </c:pt>
                <c:pt idx="320">
                  <c:v>12284.559791957185</c:v>
                </c:pt>
                <c:pt idx="321">
                  <c:v>12375.380637510905</c:v>
                </c:pt>
                <c:pt idx="322">
                  <c:v>12466.636543196033</c:v>
                </c:pt>
                <c:pt idx="323">
                  <c:v>12558.328763993715</c:v>
                </c:pt>
                <c:pt idx="324">
                  <c:v>12650.458558505234</c:v>
                </c:pt>
                <c:pt idx="325">
                  <c:v>12743.02718896246</c:v>
                </c:pt>
                <c:pt idx="326">
                  <c:v>12836.035921238312</c:v>
                </c:pt>
                <c:pt idx="327">
                  <c:v>12929.48602485727</c:v>
                </c:pt>
                <c:pt idx="328">
                  <c:v>13023.378773005898</c:v>
                </c:pt>
                <c:pt idx="329">
                  <c:v>13117.715442543413</c:v>
                </c:pt>
                <c:pt idx="330">
                  <c:v>13212.497314012289</c:v>
                </c:pt>
                <c:pt idx="331">
                  <c:v>13307.725671648863</c:v>
                </c:pt>
                <c:pt idx="332">
                  <c:v>13403.401803394001</c:v>
                </c:pt>
                <c:pt idx="333">
                  <c:v>13499.527000903792</c:v>
                </c:pt>
                <c:pt idx="334">
                  <c:v>13596.102559560248</c:v>
                </c:pt>
                <c:pt idx="335">
                  <c:v>13693.129778482056</c:v>
                </c:pt>
                <c:pt idx="336">
                  <c:v>13790.609960535367</c:v>
                </c:pt>
                <c:pt idx="337">
                  <c:v>13888.5444123446</c:v>
                </c:pt>
                <c:pt idx="338">
                  <c:v>13986.934444303282</c:v>
                </c:pt>
                <c:pt idx="339">
                  <c:v>14085.781370584926</c:v>
                </c:pt>
                <c:pt idx="340">
                  <c:v>14185.086509153924</c:v>
                </c:pt>
                <c:pt idx="341">
                  <c:v>14284.851181776481</c:v>
                </c:pt>
                <c:pt idx="342">
                  <c:v>14385.076714031602</c:v>
                </c:pt>
                <c:pt idx="343">
                  <c:v>14485.764435322075</c:v>
                </c:pt>
                <c:pt idx="344">
                  <c:v>14586.915678885503</c:v>
                </c:pt>
                <c:pt idx="345">
                  <c:v>14688.531781805366</c:v>
                </c:pt>
                <c:pt idx="346">
                  <c:v>14790.614085022113</c:v>
                </c:pt>
                <c:pt idx="347">
                  <c:v>14893.163933344294</c:v>
                </c:pt>
                <c:pt idx="348">
                  <c:v>14996.182675459713</c:v>
                </c:pt>
                <c:pt idx="349">
                  <c:v>15099.671663946618</c:v>
                </c:pt>
                <c:pt idx="350">
                  <c:v>15203.632255284923</c:v>
                </c:pt>
                <c:pt idx="351">
                  <c:v>15308.065809867476</c:v>
                </c:pt>
                <c:pt idx="352">
                  <c:v>15412.973692011321</c:v>
                </c:pt>
                <c:pt idx="353">
                  <c:v>15518.357269969049</c:v>
                </c:pt>
                <c:pt idx="354">
                  <c:v>15624.217915940113</c:v>
                </c:pt>
                <c:pt idx="355">
                  <c:v>15730.55700608225</c:v>
                </c:pt>
                <c:pt idx="356">
                  <c:v>15837.375920522871</c:v>
                </c:pt>
                <c:pt idx="357">
                  <c:v>15944.676043370535</c:v>
                </c:pt>
                <c:pt idx="358">
                  <c:v>16052.458762726412</c:v>
                </c:pt>
                <c:pt idx="359">
                  <c:v>16160.725470695812</c:v>
                </c:pt>
                <c:pt idx="360">
                  <c:v>16269.477563399741</c:v>
                </c:pt>
                <c:pt idx="361">
                  <c:v>16378.716440986471</c:v>
                </c:pt>
                <c:pt idx="362">
                  <c:v>16488.443507643162</c:v>
                </c:pt>
                <c:pt idx="363">
                  <c:v>16598.660171607517</c:v>
                </c:pt>
                <c:pt idx="364">
                  <c:v>16709.367845179462</c:v>
                </c:pt>
                <c:pt idx="365">
                  <c:v>16820.567944732866</c:v>
                </c:pt>
                <c:pt idx="366">
                  <c:v>16932.261890727284</c:v>
                </c:pt>
                <c:pt idx="367">
                  <c:v>17044.451107719768</c:v>
                </c:pt>
                <c:pt idx="368">
                  <c:v>17157.137024376651</c:v>
                </c:pt>
                <c:pt idx="369">
                  <c:v>17270.321073485429</c:v>
                </c:pt>
                <c:pt idx="370">
                  <c:v>17384.004691966635</c:v>
                </c:pt>
                <c:pt idx="371">
                  <c:v>17498.189320885765</c:v>
                </c:pt>
                <c:pt idx="372">
                  <c:v>17612.876405465242</c:v>
                </c:pt>
                <c:pt idx="373">
                  <c:v>17728.06739509639</c:v>
                </c:pt>
                <c:pt idx="374">
                  <c:v>17843.763743351476</c:v>
                </c:pt>
                <c:pt idx="375">
                  <c:v>17959.96690799576</c:v>
                </c:pt>
                <c:pt idx="376">
                  <c:v>18076.678350999595</c:v>
                </c:pt>
                <c:pt idx="377">
                  <c:v>18193.899538550555</c:v>
                </c:pt>
                <c:pt idx="378">
                  <c:v>18311.631941065607</c:v>
                </c:pt>
                <c:pt idx="379">
                  <c:v>18429.877033203295</c:v>
                </c:pt>
                <c:pt idx="380">
                  <c:v>18548.636293875999</c:v>
                </c:pt>
                <c:pt idx="381">
                  <c:v>18667.911206262179</c:v>
                </c:pt>
                <c:pt idx="382">
                  <c:v>18787.703257818706</c:v>
                </c:pt>
                <c:pt idx="383">
                  <c:v>18908.013940293182</c:v>
                </c:pt>
                <c:pt idx="384">
                  <c:v>19028.844749736338</c:v>
                </c:pt>
                <c:pt idx="385">
                  <c:v>19150.197186514422</c:v>
                </c:pt>
                <c:pt idx="386">
                  <c:v>19272.072755321678</c:v>
                </c:pt>
                <c:pt idx="387">
                  <c:v>19394.472965192799</c:v>
                </c:pt>
                <c:pt idx="388">
                  <c:v>19517.399329515472</c:v>
                </c:pt>
                <c:pt idx="389">
                  <c:v>19640.853366042924</c:v>
                </c:pt>
                <c:pt idx="390">
                  <c:v>19764.836596906505</c:v>
                </c:pt>
                <c:pt idx="391">
                  <c:v>19889.350548628354</c:v>
                </c:pt>
                <c:pt idx="392">
                  <c:v>20014.396752134009</c:v>
                </c:pt>
                <c:pt idx="393">
                  <c:v>20139.976742765168</c:v>
                </c:pt>
                <c:pt idx="394">
                  <c:v>20266.092060292372</c:v>
                </c:pt>
                <c:pt idx="395">
                  <c:v>20392.744248927833</c:v>
                </c:pt>
                <c:pt idx="396">
                  <c:v>20519.934857338201</c:v>
                </c:pt>
                <c:pt idx="397">
                  <c:v>20647.665438657445</c:v>
                </c:pt>
                <c:pt idx="398">
                  <c:v>20775.937550499722</c:v>
                </c:pt>
                <c:pt idx="399">
                  <c:v>20904.752754972316</c:v>
                </c:pt>
                <c:pt idx="400">
                  <c:v>21034.112618688581</c:v>
                </c:pt>
                <c:pt idx="401">
                  <c:v>21164.018712780955</c:v>
                </c:pt>
                <c:pt idx="402">
                  <c:v>21294.472612913974</c:v>
                </c:pt>
                <c:pt idx="403">
                  <c:v>21425.47589929738</c:v>
                </c:pt>
                <c:pt idx="404">
                  <c:v>21557.030156699198</c:v>
                </c:pt>
                <c:pt idx="405">
                  <c:v>21689.13697445891</c:v>
                </c:pt>
                <c:pt idx="406">
                  <c:v>21821.797946500621</c:v>
                </c:pt>
                <c:pt idx="407">
                  <c:v>21955.014671346296</c:v>
                </c:pt>
                <c:pt idx="408">
                  <c:v>22088.788752129025</c:v>
                </c:pt>
                <c:pt idx="409">
                  <c:v>22223.12179660632</c:v>
                </c:pt>
                <c:pt idx="410">
                  <c:v>22358.015417173454</c:v>
                </c:pt>
                <c:pt idx="411">
                  <c:v>22493.471230876836</c:v>
                </c:pt>
                <c:pt idx="412">
                  <c:v>22629.490859427438</c:v>
                </c:pt>
                <c:pt idx="413">
                  <c:v>22766.075929214247</c:v>
                </c:pt>
                <c:pt idx="414">
                  <c:v>22903.228071317746</c:v>
                </c:pt>
                <c:pt idx="415">
                  <c:v>23040.948921523472</c:v>
                </c:pt>
                <c:pt idx="416">
                  <c:v>23179.240120335555</c:v>
                </c:pt>
                <c:pt idx="417">
                  <c:v>23318.103312990366</c:v>
                </c:pt>
                <c:pt idx="418">
                  <c:v>23457.540149470144</c:v>
                </c:pt>
                <c:pt idx="419">
                  <c:v>23597.552284516692</c:v>
                </c:pt>
                <c:pt idx="420">
                  <c:v>23738.141377645108</c:v>
                </c:pt>
                <c:pt idx="421">
                  <c:v>23879.309093157543</c:v>
                </c:pt>
                <c:pt idx="422">
                  <c:v>24021.057100157035</c:v>
                </c:pt>
                <c:pt idx="423">
                  <c:v>24163.387072561331</c:v>
                </c:pt>
                <c:pt idx="424">
                  <c:v>24306.300689116797</c:v>
                </c:pt>
                <c:pt idx="425">
                  <c:v>24449.799633412324</c:v>
                </c:pt>
                <c:pt idx="426">
                  <c:v>24593.885593893319</c:v>
                </c:pt>
                <c:pt idx="427">
                  <c:v>24738.560263875705</c:v>
                </c:pt>
                <c:pt idx="428">
                  <c:v>24883.825341559961</c:v>
                </c:pt>
                <c:pt idx="429">
                  <c:v>25029.682530045233</c:v>
                </c:pt>
                <c:pt idx="430">
                  <c:v>25176.133537343441</c:v>
                </c:pt>
                <c:pt idx="431">
                  <c:v>25323.180076393473</c:v>
                </c:pt>
                <c:pt idx="432">
                  <c:v>25470.823865075377</c:v>
                </c:pt>
                <c:pt idx="433">
                  <c:v>25619.06662622463</c:v>
                </c:pt>
                <c:pt idx="434">
                  <c:v>25767.910087646429</c:v>
                </c:pt>
                <c:pt idx="435">
                  <c:v>25917.355982130022</c:v>
                </c:pt>
                <c:pt idx="436">
                  <c:v>26067.40604746309</c:v>
                </c:pt>
                <c:pt idx="437">
                  <c:v>26218.062026446154</c:v>
                </c:pt>
                <c:pt idx="438">
                  <c:v>26369.325666907054</c:v>
                </c:pt>
                <c:pt idx="439">
                  <c:v>26521.198721715438</c:v>
                </c:pt>
                <c:pt idx="440">
                  <c:v>26673.682948797308</c:v>
                </c:pt>
                <c:pt idx="441">
                  <c:v>26826.780111149608</c:v>
                </c:pt>
                <c:pt idx="442">
                  <c:v>26980.49197685485</c:v>
                </c:pt>
                <c:pt idx="443">
                  <c:v>27134.820319095779</c:v>
                </c:pt>
                <c:pt idx="444">
                  <c:v>27289.766916170091</c:v>
                </c:pt>
                <c:pt idx="445">
                  <c:v>27445.333551505195</c:v>
                </c:pt>
                <c:pt idx="446">
                  <c:v>27601.522013672999</c:v>
                </c:pt>
                <c:pt idx="447">
                  <c:v>27758.334096404746</c:v>
                </c:pt>
                <c:pt idx="448">
                  <c:v>27915.771598605912</c:v>
                </c:pt>
                <c:pt idx="449">
                  <c:v>28073.836324371121</c:v>
                </c:pt>
                <c:pt idx="450">
                  <c:v>28232.530082999117</c:v>
                </c:pt>
                <c:pt idx="451">
                  <c:v>28391.854689007771</c:v>
                </c:pt>
                <c:pt idx="452">
                  <c:v>28551.811962149135</c:v>
                </c:pt>
                <c:pt idx="453">
                  <c:v>28712.403727424564</c:v>
                </c:pt>
                <c:pt idx="454">
                  <c:v>28873.631815099827</c:v>
                </c:pt>
                <c:pt idx="455">
                  <c:v>29035.498060720303</c:v>
                </c:pt>
                <c:pt idx="456">
                  <c:v>29198.004305126226</c:v>
                </c:pt>
                <c:pt idx="457">
                  <c:v>29361.152394467936</c:v>
                </c:pt>
                <c:pt idx="458">
                  <c:v>29524.94418022121</c:v>
                </c:pt>
                <c:pt idx="459">
                  <c:v>29689.381519202616</c:v>
                </c:pt>
                <c:pt idx="460">
                  <c:v>29854.466273584927</c:v>
                </c:pt>
                <c:pt idx="461">
                  <c:v>30020.200310912573</c:v>
                </c:pt>
                <c:pt idx="462">
                  <c:v>30186.585504117131</c:v>
                </c:pt>
                <c:pt idx="463">
                  <c:v>30353.623731532854</c:v>
                </c:pt>
                <c:pt idx="464">
                  <c:v>30521.316876912279</c:v>
                </c:pt>
                <c:pt idx="465">
                  <c:v>30689.666829441834</c:v>
                </c:pt>
                <c:pt idx="466">
                  <c:v>30858.675483757528</c:v>
                </c:pt>
                <c:pt idx="467">
                  <c:v>31028.344739960674</c:v>
                </c:pt>
                <c:pt idx="468">
                  <c:v>31198.676503633636</c:v>
                </c:pt>
                <c:pt idx="469">
                  <c:v>31369.672685855658</c:v>
                </c:pt>
                <c:pt idx="470">
                  <c:v>31541.335203218703</c:v>
                </c:pt>
                <c:pt idx="471">
                  <c:v>31713.665977843375</c:v>
                </c:pt>
                <c:pt idx="472">
                  <c:v>31886.666937394846</c:v>
                </c:pt>
                <c:pt idx="473">
                  <c:v>32060.340015098867</c:v>
                </c:pt>
                <c:pt idx="474">
                  <c:v>32234.687149757803</c:v>
                </c:pt>
                <c:pt idx="475">
                  <c:v>32409.71028576672</c:v>
                </c:pt>
                <c:pt idx="476">
                  <c:v>32585.411373129507</c:v>
                </c:pt>
                <c:pt idx="477">
                  <c:v>32761.792367475071</c:v>
                </c:pt>
                <c:pt idx="478">
                  <c:v>32938.855230073554</c:v>
                </c:pt>
                <c:pt idx="479">
                  <c:v>33116.601927852615</c:v>
                </c:pt>
                <c:pt idx="480">
                  <c:v>33295.034433413726</c:v>
                </c:pt>
                <c:pt idx="481">
                  <c:v>33474.154725048575</c:v>
                </c:pt>
                <c:pt idx="482">
                  <c:v>33653.964786755445</c:v>
                </c:pt>
                <c:pt idx="483">
                  <c:v>33834.466608255701</c:v>
                </c:pt>
                <c:pt idx="484">
                  <c:v>34015.662185010282</c:v>
                </c:pt>
                <c:pt idx="485">
                  <c:v>34197.553518236273</c:v>
                </c:pt>
                <c:pt idx="486">
                  <c:v>34380.14261492349</c:v>
                </c:pt>
                <c:pt idx="487">
                  <c:v>34563.43148785115</c:v>
                </c:pt>
                <c:pt idx="488">
                  <c:v>34747.422155604567</c:v>
                </c:pt>
                <c:pt idx="489">
                  <c:v>34932.116642591885</c:v>
                </c:pt>
                <c:pt idx="490">
                  <c:v>35117.5169790609</c:v>
                </c:pt>
                <c:pt idx="491">
                  <c:v>35303.625201115879</c:v>
                </c:pt>
                <c:pt idx="492">
                  <c:v>35490.44335073448</c:v>
                </c:pt>
                <c:pt idx="493">
                  <c:v>35677.973475784675</c:v>
                </c:pt>
                <c:pt idx="494">
                  <c:v>35866.217630041749</c:v>
                </c:pt>
                <c:pt idx="495">
                  <c:v>36055.177873205335</c:v>
                </c:pt>
                <c:pt idx="496">
                  <c:v>36244.856270916498</c:v>
                </c:pt>
                <c:pt idx="497">
                  <c:v>36435.254894774916</c:v>
                </c:pt>
                <c:pt idx="498">
                  <c:v>36626.375822356</c:v>
                </c:pt>
                <c:pt idx="499">
                  <c:v>36818.221137228174</c:v>
                </c:pt>
                <c:pt idx="500">
                  <c:v>37010.792928970171</c:v>
                </c:pt>
                <c:pt idx="501">
                  <c:v>37204.093293188358</c:v>
                </c:pt>
                <c:pt idx="502">
                  <c:v>37398.124331534098</c:v>
                </c:pt>
                <c:pt idx="503">
                  <c:v>37592.888151721214</c:v>
                </c:pt>
                <c:pt idx="504">
                  <c:v>37788.386867543479</c:v>
                </c:pt>
                <c:pt idx="505">
                  <c:v>37984.622598892165</c:v>
                </c:pt>
                <c:pt idx="506">
                  <c:v>38181.597471773581</c:v>
                </c:pt>
                <c:pt idx="507">
                  <c:v>38379.313618326778</c:v>
                </c:pt>
                <c:pt idx="508">
                  <c:v>38577.773176841176</c:v>
                </c:pt>
                <c:pt idx="509">
                  <c:v>38776.978291774372</c:v>
                </c:pt>
                <c:pt idx="510">
                  <c:v>38976.931113769868</c:v>
                </c:pt>
                <c:pt idx="511">
                  <c:v>39177.633799674979</c:v>
                </c:pt>
                <c:pt idx="512">
                  <c:v>39379.08851255865</c:v>
                </c:pt>
                <c:pt idx="513">
                  <c:v>39581.297421729498</c:v>
                </c:pt>
                <c:pt idx="514">
                  <c:v>39784.262702753724</c:v>
                </c:pt>
                <c:pt idx="515">
                  <c:v>39987.986537473203</c:v>
                </c:pt>
                <c:pt idx="516">
                  <c:v>40192.471114023603</c:v>
                </c:pt>
                <c:pt idx="517">
                  <c:v>40397.718626852511</c:v>
                </c:pt>
                <c:pt idx="518">
                  <c:v>40603.731276737657</c:v>
                </c:pt>
                <c:pt idx="519">
                  <c:v>40810.511270805175</c:v>
                </c:pt>
                <c:pt idx="520">
                  <c:v>41018.060822547879</c:v>
                </c:pt>
                <c:pt idx="521">
                  <c:v>41226.382151843689</c:v>
                </c:pt>
                <c:pt idx="522">
                  <c:v>41435.477484974006</c:v>
                </c:pt>
                <c:pt idx="523">
                  <c:v>41645.349054642196</c:v>
                </c:pt>
                <c:pt idx="524">
                  <c:v>41855.999099992128</c:v>
                </c:pt>
                <c:pt idx="525">
                  <c:v>42067.429866626713</c:v>
                </c:pt>
                <c:pt idx="526">
                  <c:v>42279.643606626603</c:v>
                </c:pt>
                <c:pt idx="527">
                  <c:v>42492.64257856879</c:v>
                </c:pt>
                <c:pt idx="528">
                  <c:v>42706.429047545433</c:v>
                </c:pt>
                <c:pt idx="529">
                  <c:v>42921.005285182589</c:v>
                </c:pt>
                <c:pt idx="530">
                  <c:v>43136.373569659074</c:v>
                </c:pt>
                <c:pt idx="531">
                  <c:v>43352.536185725403</c:v>
                </c:pt>
                <c:pt idx="532">
                  <c:v>43569.495424722685</c:v>
                </c:pt>
                <c:pt idx="533">
                  <c:v>43787.253584601698</c:v>
                </c:pt>
                <c:pt idx="534">
                  <c:v>44005.812969941893</c:v>
                </c:pt>
                <c:pt idx="535">
                  <c:v>44225.175891970575</c:v>
                </c:pt>
                <c:pt idx="536">
                  <c:v>44445.344668582024</c:v>
                </c:pt>
                <c:pt idx="537">
                  <c:v>44666.321624356773</c:v>
                </c:pt>
                <c:pt idx="538">
                  <c:v>44888.109090580881</c:v>
                </c:pt>
                <c:pt idx="539">
                  <c:v>45110.709405265254</c:v>
                </c:pt>
                <c:pt idx="540">
                  <c:v>45334.124913165055</c:v>
                </c:pt>
                <c:pt idx="541">
                  <c:v>45558.35796579918</c:v>
                </c:pt>
                <c:pt idx="542">
                  <c:v>45783.410921469753</c:v>
                </c:pt>
                <c:pt idx="543">
                  <c:v>46009.286145281687</c:v>
                </c:pt>
                <c:pt idx="544">
                  <c:v>46235.986009162312</c:v>
                </c:pt>
                <c:pt idx="545">
                  <c:v>46463.512891881051</c:v>
                </c:pt>
                <c:pt idx="546">
                  <c:v>46691.869179069166</c:v>
                </c:pt>
                <c:pt idx="547">
                  <c:v>46921.057263239563</c:v>
                </c:pt>
                <c:pt idx="548">
                  <c:v>47151.079543806598</c:v>
                </c:pt>
                <c:pt idx="549">
                  <c:v>47381.938427106041</c:v>
                </c:pt>
                <c:pt idx="550">
                  <c:v>47613.636326414999</c:v>
                </c:pt>
                <c:pt idx="551">
                  <c:v>47846.175661971967</c:v>
                </c:pt>
                <c:pt idx="552">
                  <c:v>48079.558860996884</c:v>
                </c:pt>
                <c:pt idx="553">
                  <c:v>48313.788357711295</c:v>
                </c:pt>
                <c:pt idx="554">
                  <c:v>48548.866593358543</c:v>
                </c:pt>
                <c:pt idx="555">
                  <c:v>48784.796016224005</c:v>
                </c:pt>
                <c:pt idx="556">
                  <c:v>49021.579081655422</c:v>
                </c:pt>
                <c:pt idx="557">
                  <c:v>49259.218252083272</c:v>
                </c:pt>
                <c:pt idx="558">
                  <c:v>49497.715997041203</c:v>
                </c:pt>
                <c:pt idx="559">
                  <c:v>49737.074793186519</c:v>
                </c:pt>
                <c:pt idx="560">
                  <c:v>49977.297124320714</c:v>
                </c:pt>
                <c:pt idx="561">
                  <c:v>50218.385481410107</c:v>
                </c:pt>
                <c:pt idx="562">
                  <c:v>50460.342362606476</c:v>
                </c:pt>
                <c:pt idx="563">
                  <c:v>50703.170273267839</c:v>
                </c:pt>
                <c:pt idx="564">
                  <c:v>50946.871725979188</c:v>
                </c:pt>
                <c:pt idx="565">
                  <c:v>51191.449240573362</c:v>
                </c:pt>
                <c:pt idx="566">
                  <c:v>51436.905344151935</c:v>
                </c:pt>
                <c:pt idx="567">
                  <c:v>51683.242571106224</c:v>
                </c:pt>
                <c:pt idx="568">
                  <c:v>51930.463463138265</c:v>
                </c:pt>
                <c:pt idx="569">
                  <c:v>52178.570569281932</c:v>
                </c:pt>
                <c:pt idx="570">
                  <c:v>52427.566445924094</c:v>
                </c:pt>
                <c:pt idx="571">
                  <c:v>52677.453656825805</c:v>
                </c:pt>
                <c:pt idx="572">
                  <c:v>52928.234773143573</c:v>
                </c:pt>
                <c:pt idx="573">
                  <c:v>53179.912373450716</c:v>
                </c:pt>
                <c:pt idx="574">
                  <c:v>53432.489043758746</c:v>
                </c:pt>
                <c:pt idx="575">
                  <c:v>53685.967377538822</c:v>
                </c:pt>
                <c:pt idx="576">
                  <c:v>53940.349975743258</c:v>
                </c:pt>
                <c:pt idx="577">
                  <c:v>54195.639446827132</c:v>
                </c:pt>
                <c:pt idx="578">
                  <c:v>54451.838406769908</c:v>
                </c:pt>
                <c:pt idx="579">
                  <c:v>54708.949479097122</c:v>
                </c:pt>
                <c:pt idx="580">
                  <c:v>54966.975294902208</c:v>
                </c:pt>
                <c:pt idx="581">
                  <c:v>55225.918492868266</c:v>
                </c:pt>
                <c:pt idx="582">
                  <c:v>55485.781719289997</c:v>
                </c:pt>
                <c:pt idx="583">
                  <c:v>55746.56762809564</c:v>
                </c:pt>
                <c:pt idx="584">
                  <c:v>56008.278880868995</c:v>
                </c:pt>
                <c:pt idx="585">
                  <c:v>56270.918146871496</c:v>
                </c:pt>
                <c:pt idx="586">
                  <c:v>56534.488103064388</c:v>
                </c:pt>
                <c:pt idx="587">
                  <c:v>56798.99143413092</c:v>
                </c:pt>
                <c:pt idx="588">
                  <c:v>57064.430832498605</c:v>
                </c:pt>
                <c:pt idx="589">
                  <c:v>57330.808998361579</c:v>
                </c:pt>
                <c:pt idx="590">
                  <c:v>57598.128639703005</c:v>
                </c:pt>
                <c:pt idx="591">
                  <c:v>57866.39247231753</c:v>
                </c:pt>
                <c:pt idx="592">
                  <c:v>58135.603219833836</c:v>
                </c:pt>
                <c:pt idx="593">
                  <c:v>58405.763613737203</c:v>
                </c:pt>
                <c:pt idx="594">
                  <c:v>58676.876393392216</c:v>
                </c:pt>
                <c:pt idx="595">
                  <c:v>58948.944306065459</c:v>
                </c:pt>
                <c:pt idx="596">
                  <c:v>59221.970106948342</c:v>
                </c:pt>
                <c:pt idx="597">
                  <c:v>59495.956559179918</c:v>
                </c:pt>
                <c:pt idx="598">
                  <c:v>59770.906433869866</c:v>
                </c:pt>
                <c:pt idx="599">
                  <c:v>60046.822510121419</c:v>
                </c:pt>
                <c:pt idx="600">
                  <c:v>60323.707575054461</c:v>
                </c:pt>
                <c:pt idx="601">
                  <c:v>60601.564423828662</c:v>
                </c:pt>
                <c:pt idx="602">
                  <c:v>60880.395859666634</c:v>
                </c:pt>
                <c:pt idx="603">
                  <c:v>61160.204693877211</c:v>
                </c:pt>
                <c:pt idx="604">
                  <c:v>61440.993745878775</c:v>
                </c:pt>
                <c:pt idx="605">
                  <c:v>61722.76584322266</c:v>
                </c:pt>
                <c:pt idx="606">
                  <c:v>62005.523821616574</c:v>
                </c:pt>
                <c:pt idx="607">
                  <c:v>62289.270524948166</c:v>
                </c:pt>
                <c:pt idx="608">
                  <c:v>62574.008805308593</c:v>
                </c:pt>
                <c:pt idx="609">
                  <c:v>62859.741523016215</c:v>
                </c:pt>
                <c:pt idx="610">
                  <c:v>63146.471546640299</c:v>
                </c:pt>
                <c:pt idx="611">
                  <c:v>63434.201753024841</c:v>
                </c:pt>
                <c:pt idx="612">
                  <c:v>63722.935027312415</c:v>
                </c:pt>
                <c:pt idx="613">
                  <c:v>64012.674262968125</c:v>
                </c:pt>
                <c:pt idx="614">
                  <c:v>64303.422361803605</c:v>
                </c:pt>
                <c:pt idx="615">
                  <c:v>64595.182234001113</c:v>
                </c:pt>
                <c:pt idx="616">
                  <c:v>64887.95679813766</c:v>
                </c:pt>
                <c:pt idx="617">
                  <c:v>65181.74898120921</c:v>
                </c:pt>
                <c:pt idx="618">
                  <c:v>65476.561718655008</c:v>
                </c:pt>
                <c:pt idx="619">
                  <c:v>65772.3979543819</c:v>
                </c:pt>
                <c:pt idx="620">
                  <c:v>66069.260640788765</c:v>
                </c:pt>
                <c:pt idx="621">
                  <c:v>66367.152738791046</c:v>
                </c:pt>
                <c:pt idx="622">
                  <c:v>66666.077217845246</c:v>
                </c:pt>
                <c:pt idx="623">
                  <c:v>66966.037055973648</c:v>
                </c:pt>
                <c:pt idx="624">
                  <c:v>67267.035239788951</c:v>
                </c:pt>
                <c:pt idx="625">
                  <c:v>67569.074764519115</c:v>
                </c:pt>
                <c:pt idx="626">
                  <c:v>67872.158634032152</c:v>
                </c:pt>
                <c:pt idx="627">
                  <c:v>68176.289860861085</c:v>
                </c:pt>
                <c:pt idx="628">
                  <c:v>68481.471466228948</c:v>
                </c:pt>
                <c:pt idx="629">
                  <c:v>68787.706480073844</c:v>
                </c:pt>
                <c:pt idx="630">
                  <c:v>69094.997941074063</c:v>
                </c:pt>
                <c:pt idx="631">
                  <c:v>69403.348896673313</c:v>
                </c:pt>
                <c:pt idx="632">
                  <c:v>69712.762403106026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18256"/>
        <c:axId val="587722856"/>
      </c:areaChart>
      <c:dateAx>
        <c:axId val="471118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2856"/>
        <c:crosses val="autoZero"/>
        <c:auto val="1"/>
        <c:lblOffset val="100"/>
        <c:baseTimeUnit val="days"/>
      </c:dateAx>
      <c:valAx>
        <c:axId val="5877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1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8125</xdr:rowOff>
    </xdr:from>
    <xdr:to>
      <xdr:col>15</xdr:col>
      <xdr:colOff>3361</xdr:colOff>
      <xdr:row>52</xdr:row>
      <xdr:rowOff>174813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294714</xdr:colOff>
      <xdr:row>32</xdr:row>
      <xdr:rowOff>33617</xdr:rowOff>
    </xdr:from>
    <xdr:to>
      <xdr:col>32</xdr:col>
      <xdr:colOff>229721</xdr:colOff>
      <xdr:row>52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3363</xdr:colOff>
      <xdr:row>0</xdr:row>
      <xdr:rowOff>0</xdr:rowOff>
    </xdr:from>
    <xdr:to>
      <xdr:col>32</xdr:col>
      <xdr:colOff>72840</xdr:colOff>
      <xdr:row>30</xdr:row>
      <xdr:rowOff>21291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302558</xdr:colOff>
      <xdr:row>32</xdr:row>
      <xdr:rowOff>79561</xdr:rowOff>
    </xdr:from>
    <xdr:to>
      <xdr:col>44</xdr:col>
      <xdr:colOff>97492</xdr:colOff>
      <xdr:row>52</xdr:row>
      <xdr:rowOff>134470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515472</xdr:colOff>
      <xdr:row>0</xdr:row>
      <xdr:rowOff>67235</xdr:rowOff>
    </xdr:from>
    <xdr:to>
      <xdr:col>56</xdr:col>
      <xdr:colOff>368675</xdr:colOff>
      <xdr:row>31</xdr:row>
      <xdr:rowOff>32497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388844</xdr:colOff>
      <xdr:row>32</xdr:row>
      <xdr:rowOff>89646</xdr:rowOff>
    </xdr:from>
    <xdr:to>
      <xdr:col>56</xdr:col>
      <xdr:colOff>385483</xdr:colOff>
      <xdr:row>52</xdr:row>
      <xdr:rowOff>144555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280147</xdr:colOff>
      <xdr:row>53</xdr:row>
      <xdr:rowOff>145675</xdr:rowOff>
    </xdr:from>
    <xdr:to>
      <xdr:col>32</xdr:col>
      <xdr:colOff>246529</xdr:colOff>
      <xdr:row>78</xdr:row>
      <xdr:rowOff>134471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4</xdr:row>
      <xdr:rowOff>566737</xdr:rowOff>
    </xdr:from>
    <xdr:to>
      <xdr:col>24</xdr:col>
      <xdr:colOff>447674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44"/>
  <sheetViews>
    <sheetView zoomScale="85" zoomScaleNormal="85" workbookViewId="0">
      <pane xSplit="4" ySplit="13" topLeftCell="E14" activePane="bottomRight" state="frozen"/>
      <selection pane="topRight" activeCell="B1" sqref="B1"/>
      <selection pane="bottomLeft" activeCell="A11" sqref="A11"/>
      <selection pane="bottomRight" activeCell="J28" sqref="J28"/>
    </sheetView>
  </sheetViews>
  <sheetFormatPr defaultRowHeight="15" x14ac:dyDescent="0.25"/>
  <cols>
    <col min="1" max="1" width="6" bestFit="1" customWidth="1"/>
    <col min="2" max="2" width="5.85546875" bestFit="1" customWidth="1"/>
    <col min="3" max="3" width="9.85546875" customWidth="1"/>
    <col min="4" max="4" width="11.85546875" style="3" customWidth="1"/>
    <col min="5" max="7" width="10.28515625" style="3" hidden="1" customWidth="1"/>
    <col min="8" max="8" width="3.28515625" style="3" customWidth="1"/>
    <col min="9" max="9" width="10.5703125" hidden="1" customWidth="1"/>
    <col min="10" max="10" width="9.85546875" bestFit="1" customWidth="1"/>
    <col min="11" max="11" width="11.7109375" customWidth="1"/>
    <col min="12" max="13" width="9.85546875" bestFit="1" customWidth="1"/>
    <col min="14" max="14" width="11.85546875" customWidth="1"/>
    <col min="15" max="15" width="9.85546875" hidden="1" customWidth="1"/>
    <col min="16" max="16" width="10.85546875" hidden="1" customWidth="1"/>
    <col min="17" max="17" width="10.85546875" bestFit="1" customWidth="1"/>
    <col min="18" max="18" width="14" customWidth="1"/>
    <col min="19" max="19" width="10.140625" customWidth="1"/>
    <col min="20" max="20" width="12.42578125" customWidth="1"/>
    <col min="21" max="21" width="14.5703125" bestFit="1" customWidth="1"/>
    <col min="23" max="23" width="10.85546875" bestFit="1" customWidth="1"/>
    <col min="24" max="24" width="10.5703125" hidden="1" customWidth="1"/>
    <col min="25" max="25" width="12.7109375" bestFit="1" customWidth="1"/>
    <col min="26" max="26" width="10.85546875" bestFit="1" customWidth="1"/>
    <col min="27" max="27" width="12.42578125" style="3" bestFit="1" customWidth="1"/>
    <col min="32" max="32" width="10.85546875" bestFit="1" customWidth="1"/>
    <col min="33" max="37" width="9.85546875" bestFit="1" customWidth="1"/>
    <col min="38" max="38" width="10.85546875" bestFit="1" customWidth="1"/>
    <col min="39" max="39" width="13.5703125" bestFit="1" customWidth="1"/>
    <col min="40" max="40" width="12.28515625" bestFit="1" customWidth="1"/>
    <col min="41" max="43" width="11.5703125" customWidth="1"/>
    <col min="44" max="44" width="10" customWidth="1"/>
    <col min="49" max="56" width="9.140625" hidden="1" customWidth="1"/>
    <col min="57" max="57" width="10" hidden="1" customWidth="1"/>
    <col min="58" max="58" width="9.140625" hidden="1" customWidth="1"/>
    <col min="59" max="59" width="9.5703125" hidden="1" customWidth="1"/>
    <col min="60" max="68" width="9.140625" hidden="1" customWidth="1"/>
    <col min="69" max="69" width="10" hidden="1" customWidth="1"/>
    <col min="70" max="70" width="9.140625" hidden="1" customWidth="1"/>
    <col min="71" max="71" width="9.5703125" hidden="1" customWidth="1"/>
    <col min="72" max="72" width="9.140625" hidden="1" customWidth="1"/>
    <col min="73" max="73" width="9.7109375" bestFit="1" customWidth="1"/>
    <col min="75" max="76" width="9.7109375" bestFit="1" customWidth="1"/>
    <col min="77" max="77" width="9.7109375" customWidth="1"/>
    <col min="78" max="78" width="9.7109375" bestFit="1" customWidth="1"/>
    <col min="79" max="79" width="11.85546875" customWidth="1"/>
    <col min="80" max="80" width="14.5703125" bestFit="1" customWidth="1"/>
    <col min="81" max="81" width="12.28515625" customWidth="1"/>
    <col min="82" max="82" width="12.42578125" hidden="1" customWidth="1"/>
    <col min="83" max="83" width="12.28515625" customWidth="1"/>
    <col min="84" max="84" width="12.28515625" bestFit="1" customWidth="1"/>
    <col min="85" max="86" width="10.5703125" customWidth="1"/>
    <col min="87" max="87" width="12.28515625" bestFit="1" customWidth="1"/>
    <col min="91" max="91" width="10.85546875" bestFit="1" customWidth="1"/>
    <col min="95" max="95" width="12.28515625" bestFit="1" customWidth="1"/>
    <col min="97" max="97" width="12.28515625" bestFit="1" customWidth="1"/>
    <col min="98" max="98" width="12.85546875" bestFit="1" customWidth="1"/>
    <col min="99" max="99" width="16.140625" bestFit="1" customWidth="1"/>
    <col min="100" max="100" width="10.85546875" bestFit="1" customWidth="1"/>
    <col min="101" max="101" width="10.28515625" style="3" customWidth="1"/>
    <col min="105" max="105" width="12.28515625" bestFit="1" customWidth="1"/>
  </cols>
  <sheetData>
    <row r="1" spans="1:105" x14ac:dyDescent="0.25">
      <c r="J1" t="s">
        <v>138</v>
      </c>
      <c r="K1" s="63">
        <v>6.5000000000000002E-2</v>
      </c>
      <c r="L1" s="23"/>
      <c r="Z1" t="s">
        <v>137</v>
      </c>
      <c r="AB1" s="88">
        <v>45000</v>
      </c>
      <c r="AC1">
        <f>AB1/12</f>
        <v>3750</v>
      </c>
    </row>
    <row r="2" spans="1:105" x14ac:dyDescent="0.25">
      <c r="J2" s="23"/>
    </row>
    <row r="3" spans="1:105" x14ac:dyDescent="0.25">
      <c r="J3" s="23"/>
    </row>
    <row r="4" spans="1:105" ht="15" customHeight="1" x14ac:dyDescent="0.25">
      <c r="J4" s="23"/>
      <c r="AA4" s="3" t="s">
        <v>140</v>
      </c>
    </row>
    <row r="5" spans="1:105" ht="15" customHeight="1" x14ac:dyDescent="0.25">
      <c r="D5" s="89" t="s">
        <v>139</v>
      </c>
      <c r="E5" s="3">
        <v>1</v>
      </c>
      <c r="H5" t="s">
        <v>143</v>
      </c>
      <c r="J5" s="23"/>
      <c r="N5">
        <v>200</v>
      </c>
      <c r="T5">
        <v>925</v>
      </c>
      <c r="W5">
        <v>130</v>
      </c>
      <c r="AA5" s="3">
        <f>SUM(H5:Z5)</f>
        <v>1255</v>
      </c>
    </row>
    <row r="6" spans="1:105" x14ac:dyDescent="0.25">
      <c r="D6" s="89"/>
      <c r="E6" s="3">
        <v>2</v>
      </c>
      <c r="H6" t="s">
        <v>144</v>
      </c>
      <c r="Q6">
        <v>916.67</v>
      </c>
      <c r="T6">
        <v>3000</v>
      </c>
      <c r="W6">
        <v>287.5</v>
      </c>
      <c r="Y6">
        <v>650</v>
      </c>
      <c r="AA6" s="3">
        <f>SUM(H6:Z6)</f>
        <v>4854.17</v>
      </c>
    </row>
    <row r="7" spans="1:105" x14ac:dyDescent="0.25">
      <c r="D7" s="89"/>
      <c r="E7" s="3">
        <v>3</v>
      </c>
      <c r="H7" t="s">
        <v>202</v>
      </c>
      <c r="W7">
        <v>400</v>
      </c>
      <c r="Y7">
        <v>1950</v>
      </c>
      <c r="AA7" s="3">
        <f>SUM(H7:Z7)</f>
        <v>2350</v>
      </c>
    </row>
    <row r="8" spans="1:105" x14ac:dyDescent="0.25">
      <c r="D8" s="89"/>
      <c r="H8" t="s">
        <v>199</v>
      </c>
      <c r="Q8">
        <v>458</v>
      </c>
      <c r="T8">
        <f>T6/2</f>
        <v>1500</v>
      </c>
      <c r="W8">
        <v>0</v>
      </c>
      <c r="Y8">
        <v>-2300</v>
      </c>
    </row>
    <row r="9" spans="1:105" x14ac:dyDescent="0.25">
      <c r="D9" s="89"/>
    </row>
    <row r="10" spans="1:105" x14ac:dyDescent="0.25">
      <c r="D10" s="89"/>
      <c r="E10" s="3">
        <v>4</v>
      </c>
      <c r="AA10" s="3">
        <f>SUM(I10:Z10)</f>
        <v>0</v>
      </c>
    </row>
    <row r="11" spans="1:105" ht="15.75" thickBot="1" x14ac:dyDescent="0.3">
      <c r="D11" s="65"/>
      <c r="T11">
        <v>70000</v>
      </c>
      <c r="U11">
        <f>T11</f>
        <v>70000</v>
      </c>
      <c r="AH11" s="23">
        <v>5.3100000000000001E-2</v>
      </c>
      <c r="AI11" s="62">
        <v>0.06</v>
      </c>
      <c r="AJ11" s="63">
        <v>6.5000000000000002E-2</v>
      </c>
      <c r="AK11" s="64">
        <v>7.0000000000000007E-2</v>
      </c>
      <c r="BZ11" t="s">
        <v>36</v>
      </c>
      <c r="CA11" s="23">
        <v>0.04</v>
      </c>
      <c r="CB11" s="103" t="s">
        <v>214</v>
      </c>
      <c r="CC11" s="2">
        <v>1400000</v>
      </c>
      <c r="CE11" s="23"/>
    </row>
    <row r="12" spans="1:105" ht="15.75" thickBot="1" x14ac:dyDescent="0.3">
      <c r="I12" s="90" t="s">
        <v>53</v>
      </c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2"/>
      <c r="AB12" s="93" t="s">
        <v>104</v>
      </c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5"/>
      <c r="AN12" s="96" t="s">
        <v>22</v>
      </c>
      <c r="AO12" s="81"/>
      <c r="AP12" s="82"/>
      <c r="AQ12" s="74"/>
      <c r="AR12" s="94" t="s">
        <v>23</v>
      </c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5"/>
      <c r="CA12" s="93" t="s">
        <v>33</v>
      </c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5"/>
      <c r="CN12" s="3" t="s">
        <v>42</v>
      </c>
    </row>
    <row r="13" spans="1:105" s="5" customFormat="1" ht="90.75" thickBot="1" x14ac:dyDescent="0.3">
      <c r="A13" s="5" t="s">
        <v>186</v>
      </c>
      <c r="B13" s="5" t="s">
        <v>200</v>
      </c>
      <c r="C13" s="5" t="s">
        <v>205</v>
      </c>
      <c r="D13" s="5" t="s">
        <v>113</v>
      </c>
      <c r="E13" s="5" t="s">
        <v>116</v>
      </c>
      <c r="F13" s="58"/>
      <c r="G13" s="58"/>
      <c r="H13"/>
      <c r="I13" s="98" t="s">
        <v>0</v>
      </c>
      <c r="J13" s="7" t="s">
        <v>1</v>
      </c>
      <c r="K13" s="7" t="s">
        <v>3</v>
      </c>
      <c r="L13" s="7" t="s">
        <v>2</v>
      </c>
      <c r="M13" s="7" t="s">
        <v>4</v>
      </c>
      <c r="N13" s="7" t="s">
        <v>12</v>
      </c>
      <c r="O13" s="99" t="s">
        <v>14</v>
      </c>
      <c r="P13" s="99" t="s">
        <v>13</v>
      </c>
      <c r="Q13" s="8" t="s">
        <v>5</v>
      </c>
      <c r="R13" s="8" t="s">
        <v>6</v>
      </c>
      <c r="S13" s="8" t="s">
        <v>7</v>
      </c>
      <c r="T13" s="8" t="s">
        <v>8</v>
      </c>
      <c r="U13" s="8" t="s">
        <v>203</v>
      </c>
      <c r="V13" s="8" t="s">
        <v>9</v>
      </c>
      <c r="W13" s="8" t="s">
        <v>19</v>
      </c>
      <c r="X13" s="100" t="s">
        <v>10</v>
      </c>
      <c r="Y13" s="8" t="s">
        <v>11</v>
      </c>
      <c r="Z13" s="8" t="s">
        <v>135</v>
      </c>
      <c r="AA13" s="9" t="s">
        <v>54</v>
      </c>
      <c r="AB13" s="7" t="s">
        <v>15</v>
      </c>
      <c r="AC13" s="7" t="s">
        <v>16</v>
      </c>
      <c r="AD13" s="7" t="s">
        <v>17</v>
      </c>
      <c r="AE13" s="7" t="s">
        <v>18</v>
      </c>
      <c r="AF13" s="7" t="s">
        <v>204</v>
      </c>
      <c r="AG13" s="7" t="s">
        <v>24</v>
      </c>
      <c r="AH13" s="8" t="s">
        <v>106</v>
      </c>
      <c r="AI13" s="7" t="s">
        <v>107</v>
      </c>
      <c r="AJ13" s="7" t="s">
        <v>20</v>
      </c>
      <c r="AK13" s="7" t="s">
        <v>21</v>
      </c>
      <c r="AL13" s="7" t="s">
        <v>134</v>
      </c>
      <c r="AM13" s="9" t="s">
        <v>105</v>
      </c>
      <c r="AN13" s="97"/>
      <c r="AO13" s="77" t="s">
        <v>184</v>
      </c>
      <c r="AP13" s="80" t="s">
        <v>185</v>
      </c>
      <c r="AQ13" s="78"/>
      <c r="AR13" s="8" t="s">
        <v>41</v>
      </c>
      <c r="AS13" s="8" t="s">
        <v>26</v>
      </c>
      <c r="AT13" s="8" t="s">
        <v>25</v>
      </c>
      <c r="AU13" s="8" t="s">
        <v>27</v>
      </c>
      <c r="AV13" s="8" t="s">
        <v>103</v>
      </c>
      <c r="AW13" s="59" t="s">
        <v>67</v>
      </c>
      <c r="AX13" s="59" t="s">
        <v>68</v>
      </c>
      <c r="AY13" s="59" t="s">
        <v>69</v>
      </c>
      <c r="AZ13" s="59" t="s">
        <v>70</v>
      </c>
      <c r="BA13" s="59" t="s">
        <v>71</v>
      </c>
      <c r="BB13" s="59" t="s">
        <v>72</v>
      </c>
      <c r="BC13" s="59" t="s">
        <v>73</v>
      </c>
      <c r="BD13" s="59" t="s">
        <v>74</v>
      </c>
      <c r="BE13" s="59" t="s">
        <v>75</v>
      </c>
      <c r="BF13" s="59" t="s">
        <v>76</v>
      </c>
      <c r="BG13" s="59" t="s">
        <v>77</v>
      </c>
      <c r="BH13" s="59" t="s">
        <v>78</v>
      </c>
      <c r="BI13" s="59" t="s">
        <v>91</v>
      </c>
      <c r="BJ13" s="59" t="s">
        <v>92</v>
      </c>
      <c r="BK13" s="59" t="s">
        <v>93</v>
      </c>
      <c r="BL13" s="59" t="s">
        <v>94</v>
      </c>
      <c r="BM13" s="59" t="s">
        <v>95</v>
      </c>
      <c r="BN13" s="59" t="s">
        <v>96</v>
      </c>
      <c r="BO13" s="59" t="s">
        <v>97</v>
      </c>
      <c r="BP13" s="59" t="s">
        <v>98</v>
      </c>
      <c r="BQ13" s="59" t="s">
        <v>99</v>
      </c>
      <c r="BR13" s="59" t="s">
        <v>100</v>
      </c>
      <c r="BS13" s="59" t="s">
        <v>101</v>
      </c>
      <c r="BT13" s="59" t="s">
        <v>102</v>
      </c>
      <c r="BU13" s="8" t="s">
        <v>28</v>
      </c>
      <c r="BV13" s="8" t="s">
        <v>29</v>
      </c>
      <c r="BW13" s="8" t="s">
        <v>32</v>
      </c>
      <c r="BX13" s="8" t="s">
        <v>30</v>
      </c>
      <c r="BY13" s="8" t="s">
        <v>31</v>
      </c>
      <c r="BZ13" s="9" t="s">
        <v>34</v>
      </c>
      <c r="CA13" s="18" t="s">
        <v>35</v>
      </c>
      <c r="CB13" s="8" t="s">
        <v>43</v>
      </c>
      <c r="CC13" s="8" t="s">
        <v>44</v>
      </c>
      <c r="CD13" s="59" t="s">
        <v>47</v>
      </c>
      <c r="CE13" s="59" t="s">
        <v>45</v>
      </c>
      <c r="CF13" s="8" t="s">
        <v>207</v>
      </c>
      <c r="CG13" s="8" t="s">
        <v>115</v>
      </c>
      <c r="CH13" s="8" t="s">
        <v>201</v>
      </c>
      <c r="CI13" s="8" t="s">
        <v>117</v>
      </c>
      <c r="CJ13" s="8" t="s">
        <v>37</v>
      </c>
      <c r="CK13" s="8" t="s">
        <v>38</v>
      </c>
      <c r="CL13" s="8" t="s">
        <v>39</v>
      </c>
      <c r="CM13" s="9" t="s">
        <v>40</v>
      </c>
      <c r="CW13" s="5" t="s">
        <v>66</v>
      </c>
    </row>
    <row r="14" spans="1:105" ht="15.75" thickBot="1" x14ac:dyDescent="0.3">
      <c r="A14">
        <v>24</v>
      </c>
      <c r="B14">
        <v>23</v>
      </c>
      <c r="C14" s="1">
        <v>42644</v>
      </c>
      <c r="D14" s="4">
        <v>42644</v>
      </c>
      <c r="E14" s="30">
        <f>D14</f>
        <v>42644</v>
      </c>
      <c r="F14" s="30">
        <f t="shared" ref="F14:F20" si="0">IF(D14,0,1)</f>
        <v>0</v>
      </c>
      <c r="G14" s="30">
        <f t="shared" ref="G14:G20" si="1">IF(F14=0,IF(F15=1,1,0),0)</f>
        <v>0</v>
      </c>
      <c r="H14" s="30"/>
      <c r="I14" s="10">
        <v>22116.68</v>
      </c>
      <c r="J14" s="11">
        <v>0</v>
      </c>
      <c r="K14" s="11">
        <v>6042.8</v>
      </c>
      <c r="L14" s="11">
        <v>0</v>
      </c>
      <c r="M14" s="11">
        <v>639.09</v>
      </c>
      <c r="N14" s="11">
        <v>0</v>
      </c>
      <c r="O14" s="11">
        <v>2018.13</v>
      </c>
      <c r="P14" s="11">
        <v>1895.32</v>
      </c>
      <c r="Q14" s="11">
        <v>0</v>
      </c>
      <c r="R14" s="11">
        <v>0</v>
      </c>
      <c r="S14" s="11">
        <v>2143.67</v>
      </c>
      <c r="T14" s="11">
        <v>16997.46</v>
      </c>
      <c r="U14" s="101">
        <v>0</v>
      </c>
      <c r="V14" s="11">
        <f>2910.93 + 0</f>
        <v>2910.93</v>
      </c>
      <c r="W14" s="11">
        <v>0</v>
      </c>
      <c r="X14" s="11">
        <v>5506.8</v>
      </c>
      <c r="Y14" s="11">
        <v>23326.94</v>
      </c>
      <c r="Z14" s="11">
        <v>0</v>
      </c>
      <c r="AA14" s="12">
        <f t="shared" ref="AA14:AA77" si="2">SUM(I14:Z14)</f>
        <v>83597.820000000007</v>
      </c>
      <c r="AB14" s="11">
        <v>2560.77</v>
      </c>
      <c r="AC14" s="11">
        <v>0</v>
      </c>
      <c r="AD14" s="11">
        <v>0</v>
      </c>
      <c r="AE14" s="11">
        <v>0</v>
      </c>
      <c r="AF14" s="11">
        <v>158.06</v>
      </c>
      <c r="AG14" s="11">
        <v>0</v>
      </c>
      <c r="AH14" s="11">
        <v>22472</v>
      </c>
      <c r="AI14" s="11">
        <v>0</v>
      </c>
      <c r="AJ14" s="11">
        <v>0</v>
      </c>
      <c r="AK14" s="11">
        <v>0</v>
      </c>
      <c r="AL14" s="11">
        <v>0</v>
      </c>
      <c r="AM14" s="12">
        <f>-SUM(AB14:AL14)</f>
        <v>-25190.83</v>
      </c>
      <c r="AN14" s="75">
        <f t="shared" ref="AN14:AN19" si="3">AA14+AM14</f>
        <v>58406.990000000005</v>
      </c>
      <c r="AO14" s="83">
        <v>0</v>
      </c>
      <c r="AP14" s="84">
        <v>0</v>
      </c>
      <c r="AQ14" s="85"/>
      <c r="AR14" s="20">
        <f t="shared" ref="AR14:AR19" si="4">SUM(AB14:AG14)</f>
        <v>2718.83</v>
      </c>
      <c r="AS14" s="20">
        <v>750</v>
      </c>
      <c r="AT14" s="20">
        <v>0</v>
      </c>
      <c r="AU14" s="20">
        <f>SUM(AR14:AT14)</f>
        <v>3468.83</v>
      </c>
      <c r="AV14" s="20"/>
      <c r="AW14" s="51">
        <f t="shared" ref="AW14:AW77" si="5">IF(D14=0,0,IF(MONTH($D14)=1,1,0))</f>
        <v>0</v>
      </c>
      <c r="AX14" s="51">
        <f>IF(MONTH($D14)=2,1,0)</f>
        <v>0</v>
      </c>
      <c r="AY14" s="51">
        <f>IF(MONTH($D14)=3,1,0)</f>
        <v>0</v>
      </c>
      <c r="AZ14" s="51">
        <f>IF(MONTH($D14)=4,1,0)</f>
        <v>0</v>
      </c>
      <c r="BA14" s="51">
        <f>IF(MONTH($D14)=5,1,0)</f>
        <v>0</v>
      </c>
      <c r="BB14" s="51">
        <f>IF(MONTH($D14)=6,1,0)</f>
        <v>0</v>
      </c>
      <c r="BC14" s="51">
        <f>IF(MONTH($D14)=7,1,0)</f>
        <v>0</v>
      </c>
      <c r="BD14" s="51">
        <f>IF(MONTH($D14)=8,1,0)</f>
        <v>0</v>
      </c>
      <c r="BE14" s="51">
        <f>IF(MONTH($D14)=9,1,0)</f>
        <v>0</v>
      </c>
      <c r="BF14" s="51">
        <f>IF(MONTH($D14)=10,1,0)</f>
        <v>1</v>
      </c>
      <c r="BG14" s="51">
        <f>IF(MONTH($D14)=11,1,0)</f>
        <v>0</v>
      </c>
      <c r="BH14" s="51">
        <f>IF(MONTH($D14)=12,1,0)</f>
        <v>0</v>
      </c>
      <c r="BI14" s="51">
        <f>$AU14*AW14</f>
        <v>0</v>
      </c>
      <c r="BJ14" s="51">
        <f t="shared" ref="BJ14:BT14" si="6">$AU14*AX14</f>
        <v>0</v>
      </c>
      <c r="BK14" s="51">
        <f t="shared" si="6"/>
        <v>0</v>
      </c>
      <c r="BL14" s="51">
        <f t="shared" si="6"/>
        <v>0</v>
      </c>
      <c r="BM14" s="51">
        <f t="shared" si="6"/>
        <v>0</v>
      </c>
      <c r="BN14" s="51">
        <f t="shared" si="6"/>
        <v>0</v>
      </c>
      <c r="BO14" s="51">
        <f t="shared" si="6"/>
        <v>0</v>
      </c>
      <c r="BP14" s="51">
        <f t="shared" si="6"/>
        <v>0</v>
      </c>
      <c r="BQ14" s="51">
        <f t="shared" si="6"/>
        <v>0</v>
      </c>
      <c r="BR14" s="51">
        <f t="shared" si="6"/>
        <v>3468.83</v>
      </c>
      <c r="BS14" s="51">
        <f t="shared" si="6"/>
        <v>0</v>
      </c>
      <c r="BT14" s="51">
        <f t="shared" si="6"/>
        <v>0</v>
      </c>
      <c r="BU14" s="2"/>
      <c r="BV14" s="2"/>
      <c r="BW14" s="20">
        <f t="shared" ref="BW14:BW19" si="7">AU14*12</f>
        <v>41625.96</v>
      </c>
      <c r="BX14" s="2"/>
      <c r="BY14" s="2"/>
      <c r="BZ14" s="21">
        <f t="shared" ref="BZ14:BZ19" si="8">IF(BY14&gt;0,AVERAGE(BW14:BY14), IF(BX14&gt;0,AVERAGE(BW14:BX14), BW14))</f>
        <v>41625.96</v>
      </c>
      <c r="CA14" s="19">
        <f t="shared" ref="CA14:CA19" si="9">$BZ14/CA$11</f>
        <v>1040649</v>
      </c>
      <c r="CB14" s="11"/>
      <c r="CC14" s="11"/>
      <c r="CD14" s="11"/>
      <c r="CE14" s="11"/>
      <c r="CF14" s="20">
        <f>SUM(O14, P14, Q14, R14, S14, T14, W14, X14, Y14,U14)</f>
        <v>51888.319999999992</v>
      </c>
      <c r="CG14" s="20">
        <f>CA$11*CF14</f>
        <v>2075.5328</v>
      </c>
      <c r="CH14" s="20">
        <f>CG14/12</f>
        <v>172.96106666666665</v>
      </c>
      <c r="CI14" s="20"/>
      <c r="CJ14" s="24"/>
      <c r="CK14" s="29"/>
      <c r="CL14" s="29"/>
      <c r="CM14" s="50"/>
      <c r="CW14" s="3">
        <v>0</v>
      </c>
    </row>
    <row r="15" spans="1:105" ht="15.75" thickBot="1" x14ac:dyDescent="0.3">
      <c r="A15">
        <v>24</v>
      </c>
      <c r="B15">
        <v>23</v>
      </c>
      <c r="C15" s="1">
        <v>42675</v>
      </c>
      <c r="D15" s="4">
        <v>42675</v>
      </c>
      <c r="E15" s="30">
        <f t="shared" ref="E15:E58" si="10">D15</f>
        <v>42675</v>
      </c>
      <c r="F15" s="30">
        <f t="shared" si="0"/>
        <v>0</v>
      </c>
      <c r="G15" s="30">
        <f t="shared" si="1"/>
        <v>0</v>
      </c>
      <c r="H15" s="30"/>
      <c r="I15" s="10">
        <v>15658.08</v>
      </c>
      <c r="J15" s="11">
        <v>0</v>
      </c>
      <c r="K15" s="11">
        <v>6100.08</v>
      </c>
      <c r="L15" s="11">
        <v>0</v>
      </c>
      <c r="M15" s="13">
        <f>(M17-M14)/3+M14</f>
        <v>639.09666666666669</v>
      </c>
      <c r="N15" s="11">
        <v>0</v>
      </c>
      <c r="O15" s="13">
        <f>(O17-O14)/3+O14</f>
        <v>2015.6233333333334</v>
      </c>
      <c r="P15" s="13">
        <f>(P14+P16)/2</f>
        <v>1966.04</v>
      </c>
      <c r="Q15" s="11">
        <v>0</v>
      </c>
      <c r="R15" s="11">
        <v>0</v>
      </c>
      <c r="S15" s="13">
        <f>(S17-S14)/3+S14</f>
        <v>2152.6166666666668</v>
      </c>
      <c r="T15" s="13">
        <f>(T17-T14)/3+T14</f>
        <v>17328.406666666666</v>
      </c>
      <c r="U15" s="101">
        <v>0</v>
      </c>
      <c r="V15" s="11">
        <f t="shared" ref="V15:V17" si="11">2910.93 + 0</f>
        <v>2910.93</v>
      </c>
      <c r="W15" s="11">
        <v>0</v>
      </c>
      <c r="X15" s="11">
        <v>5407.1</v>
      </c>
      <c r="Y15" s="11">
        <v>23086.12</v>
      </c>
      <c r="Z15" s="11">
        <v>0</v>
      </c>
      <c r="AA15" s="12">
        <f t="shared" si="2"/>
        <v>77264.093333333323</v>
      </c>
      <c r="AB15" s="11">
        <v>469.79</v>
      </c>
      <c r="AC15" s="11">
        <v>0</v>
      </c>
      <c r="AD15" s="11">
        <v>0</v>
      </c>
      <c r="AE15" s="11">
        <v>0</v>
      </c>
      <c r="AF15" s="11">
        <v>167.43</v>
      </c>
      <c r="AG15" s="11">
        <v>0</v>
      </c>
      <c r="AH15" s="11">
        <v>22472</v>
      </c>
      <c r="AI15" s="11">
        <v>0</v>
      </c>
      <c r="AJ15" s="11">
        <v>0</v>
      </c>
      <c r="AK15" s="11">
        <v>0</v>
      </c>
      <c r="AL15" s="11">
        <v>0</v>
      </c>
      <c r="AM15" s="12">
        <f t="shared" ref="AM15:AM314" si="12">-SUM(AB15:AL15)</f>
        <v>-23109.22</v>
      </c>
      <c r="AN15" s="75">
        <f t="shared" si="3"/>
        <v>54154.873333333322</v>
      </c>
      <c r="AO15" s="86">
        <v>0</v>
      </c>
      <c r="AP15" s="79">
        <v>0</v>
      </c>
      <c r="AQ15" s="87"/>
      <c r="AR15" s="20">
        <f t="shared" si="4"/>
        <v>637.22</v>
      </c>
      <c r="AS15" s="20">
        <v>750</v>
      </c>
      <c r="AT15" s="20">
        <v>0</v>
      </c>
      <c r="AU15" s="20">
        <f t="shared" ref="AU15:AU19" si="13">SUM(AR15:AT15)</f>
        <v>1387.22</v>
      </c>
      <c r="AV15" s="20"/>
      <c r="AW15" s="51">
        <f t="shared" si="5"/>
        <v>0</v>
      </c>
      <c r="AX15" s="51">
        <f t="shared" ref="AX15:AX314" si="14">IF(MONTH($D15)=2,1,0)</f>
        <v>0</v>
      </c>
      <c r="AY15" s="51">
        <f t="shared" ref="AY15:AY314" si="15">IF(MONTH($D15)=3,1,0)</f>
        <v>0</v>
      </c>
      <c r="AZ15" s="51">
        <f t="shared" ref="AZ15:AZ314" si="16">IF(MONTH($D15)=4,1,0)</f>
        <v>0</v>
      </c>
      <c r="BA15" s="51">
        <f t="shared" ref="BA15:BA314" si="17">IF(MONTH($D15)=5,1,0)</f>
        <v>0</v>
      </c>
      <c r="BB15" s="51">
        <f t="shared" ref="BB15:BB314" si="18">IF(MONTH($D15)=6,1,0)</f>
        <v>0</v>
      </c>
      <c r="BC15" s="51">
        <f t="shared" ref="BC15:BC314" si="19">IF(MONTH($D15)=7,1,0)</f>
        <v>0</v>
      </c>
      <c r="BD15" s="51">
        <f t="shared" ref="BD15:BD314" si="20">IF(MONTH($D15)=8,1,0)</f>
        <v>0</v>
      </c>
      <c r="BE15" s="51">
        <f t="shared" ref="BE15:BE314" si="21">IF(MONTH($D15)=9,1,0)</f>
        <v>0</v>
      </c>
      <c r="BF15" s="51">
        <f t="shared" ref="BF15:BF314" si="22">IF(MONTH($D15)=10,1,0)</f>
        <v>0</v>
      </c>
      <c r="BG15" s="51">
        <f t="shared" ref="BG15:BG314" si="23">IF(MONTH($D15)=11,1,0)</f>
        <v>1</v>
      </c>
      <c r="BH15" s="51">
        <f t="shared" ref="BH15:BH314" si="24">IF(MONTH($D15)=12,1,0)</f>
        <v>0</v>
      </c>
      <c r="BI15" s="51">
        <f t="shared" ref="BI15:BI32" si="25">$AU15*AW15</f>
        <v>0</v>
      </c>
      <c r="BJ15" s="51">
        <f t="shared" ref="BJ15:BJ32" si="26">$AU15*AX15</f>
        <v>0</v>
      </c>
      <c r="BK15" s="51">
        <f t="shared" ref="BK15:BK32" si="27">$AU15*AY15</f>
        <v>0</v>
      </c>
      <c r="BL15" s="51">
        <f t="shared" ref="BL15:BL32" si="28">$AU15*AZ15</f>
        <v>0</v>
      </c>
      <c r="BM15" s="51">
        <f t="shared" ref="BM15:BM32" si="29">$AU15*BA15</f>
        <v>0</v>
      </c>
      <c r="BN15" s="51">
        <f t="shared" ref="BN15:BN32" si="30">$AU15*BB15</f>
        <v>0</v>
      </c>
      <c r="BO15" s="51">
        <f t="shared" ref="BO15:BO32" si="31">$AU15*BC15</f>
        <v>0</v>
      </c>
      <c r="BP15" s="51">
        <f t="shared" ref="BP15:BP32" si="32">$AU15*BD15</f>
        <v>0</v>
      </c>
      <c r="BQ15" s="51">
        <f t="shared" ref="BQ15:BQ32" si="33">$AU15*BE15</f>
        <v>0</v>
      </c>
      <c r="BR15" s="51">
        <f t="shared" ref="BR15:BR32" si="34">$AU15*BF15</f>
        <v>0</v>
      </c>
      <c r="BS15" s="51">
        <f t="shared" ref="BS15:BS32" si="35">$AU15*BG15</f>
        <v>1387.22</v>
      </c>
      <c r="BT15" s="51">
        <f t="shared" ref="BT15:BT32" si="36">$AU15*BH15</f>
        <v>0</v>
      </c>
      <c r="BU15" s="2"/>
      <c r="BV15" s="2"/>
      <c r="BW15" s="20">
        <f t="shared" si="7"/>
        <v>16646.64</v>
      </c>
      <c r="BX15" s="2"/>
      <c r="BY15" s="2"/>
      <c r="BZ15" s="21">
        <f t="shared" si="8"/>
        <v>16646.64</v>
      </c>
      <c r="CA15" s="19">
        <f t="shared" si="9"/>
        <v>416166</v>
      </c>
      <c r="CB15" s="11"/>
      <c r="CC15" s="11"/>
      <c r="CD15" s="11"/>
      <c r="CE15" s="11"/>
      <c r="CF15" s="20">
        <f t="shared" ref="CF15:CF78" si="37">SUM(O15, P15, Q15, R15, S15, T15, W15, X15, Y15,U15)</f>
        <v>51955.906666666662</v>
      </c>
      <c r="CG15" s="20">
        <f t="shared" ref="CG15:CG32" si="38">CA$11*CF15</f>
        <v>2078.2362666666663</v>
      </c>
      <c r="CH15" s="20">
        <f t="shared" ref="CH15:CH78" si="39">CG15/12</f>
        <v>173.18635555555554</v>
      </c>
      <c r="CI15" s="20"/>
      <c r="CJ15" s="24"/>
      <c r="CK15" s="24">
        <f t="shared" ref="CK15:CK20" si="40">(CF15-CF14)/CF14</f>
        <v>1.3025410471310265E-3</v>
      </c>
      <c r="CL15" s="29"/>
      <c r="CM15" s="50"/>
      <c r="CW15" s="3">
        <v>0</v>
      </c>
    </row>
    <row r="16" spans="1:105" ht="15.75" thickBot="1" x14ac:dyDescent="0.3">
      <c r="A16">
        <v>25</v>
      </c>
      <c r="B16">
        <v>23</v>
      </c>
      <c r="C16" s="1">
        <v>42705</v>
      </c>
      <c r="D16" s="4">
        <v>42705</v>
      </c>
      <c r="E16" s="30">
        <f t="shared" si="10"/>
        <v>42705</v>
      </c>
      <c r="F16" s="30">
        <f t="shared" si="0"/>
        <v>0</v>
      </c>
      <c r="G16" s="30">
        <f t="shared" si="1"/>
        <v>0</v>
      </c>
      <c r="H16" s="30"/>
      <c r="I16" s="10">
        <v>9373.56</v>
      </c>
      <c r="J16" s="11">
        <v>0</v>
      </c>
      <c r="K16" s="11">
        <v>6048.59</v>
      </c>
      <c r="L16" s="11">
        <v>0</v>
      </c>
      <c r="M16" s="13">
        <f>(M17-M14)/3*2+M14</f>
        <v>639.10333333333335</v>
      </c>
      <c r="N16" s="11">
        <v>0</v>
      </c>
      <c r="O16" s="13">
        <f>(O17-O14)/3*2+O14</f>
        <v>2013.1166666666666</v>
      </c>
      <c r="P16" s="11">
        <v>2036.76</v>
      </c>
      <c r="Q16" s="11">
        <v>0</v>
      </c>
      <c r="R16" s="11">
        <v>0</v>
      </c>
      <c r="S16" s="13">
        <f>(S17-S14)/3*2+S14</f>
        <v>2161.5633333333335</v>
      </c>
      <c r="T16" s="13">
        <f>(T17-T14)/3*2+T14</f>
        <v>17659.353333333333</v>
      </c>
      <c r="U16" s="101">
        <v>0</v>
      </c>
      <c r="V16" s="11">
        <f t="shared" si="11"/>
        <v>2910.93</v>
      </c>
      <c r="W16" s="11">
        <v>0</v>
      </c>
      <c r="X16" s="11">
        <v>5446.52</v>
      </c>
      <c r="Y16" s="11">
        <v>24238.59</v>
      </c>
      <c r="Z16" s="11">
        <v>0</v>
      </c>
      <c r="AA16" s="12">
        <f t="shared" si="2"/>
        <v>72528.086666666655</v>
      </c>
      <c r="AB16" s="11">
        <v>386.45</v>
      </c>
      <c r="AC16" s="11">
        <v>0</v>
      </c>
      <c r="AD16" s="11">
        <v>0</v>
      </c>
      <c r="AE16" s="11">
        <v>0</v>
      </c>
      <c r="AF16" s="11">
        <v>189.22</v>
      </c>
      <c r="AG16" s="11">
        <v>0</v>
      </c>
      <c r="AH16" s="11">
        <v>22472</v>
      </c>
      <c r="AI16" s="11">
        <v>0</v>
      </c>
      <c r="AJ16" s="11">
        <v>0</v>
      </c>
      <c r="AK16" s="11">
        <v>0</v>
      </c>
      <c r="AL16" s="11">
        <v>0</v>
      </c>
      <c r="AM16" s="12">
        <f t="shared" si="12"/>
        <v>-23047.67</v>
      </c>
      <c r="AN16" s="75">
        <f t="shared" si="3"/>
        <v>49480.416666666657</v>
      </c>
      <c r="AO16" s="86">
        <v>0</v>
      </c>
      <c r="AP16" s="79">
        <v>0</v>
      </c>
      <c r="AQ16" s="87"/>
      <c r="AR16" s="20">
        <f t="shared" si="4"/>
        <v>575.66999999999996</v>
      </c>
      <c r="AS16" s="20">
        <v>750</v>
      </c>
      <c r="AT16" s="20">
        <v>0</v>
      </c>
      <c r="AU16" s="20">
        <f t="shared" si="13"/>
        <v>1325.67</v>
      </c>
      <c r="AV16" s="20"/>
      <c r="AW16" s="51">
        <f t="shared" si="5"/>
        <v>0</v>
      </c>
      <c r="AX16" s="51">
        <f t="shared" si="14"/>
        <v>0</v>
      </c>
      <c r="AY16" s="51">
        <f t="shared" si="15"/>
        <v>0</v>
      </c>
      <c r="AZ16" s="51">
        <f t="shared" si="16"/>
        <v>0</v>
      </c>
      <c r="BA16" s="51">
        <f t="shared" si="17"/>
        <v>0</v>
      </c>
      <c r="BB16" s="51">
        <f t="shared" si="18"/>
        <v>0</v>
      </c>
      <c r="BC16" s="51">
        <f t="shared" si="19"/>
        <v>0</v>
      </c>
      <c r="BD16" s="51">
        <f t="shared" si="20"/>
        <v>0</v>
      </c>
      <c r="BE16" s="51">
        <f t="shared" si="21"/>
        <v>0</v>
      </c>
      <c r="BF16" s="51">
        <f t="shared" si="22"/>
        <v>0</v>
      </c>
      <c r="BG16" s="51">
        <f t="shared" si="23"/>
        <v>0</v>
      </c>
      <c r="BH16" s="51">
        <f t="shared" si="24"/>
        <v>1</v>
      </c>
      <c r="BI16" s="51">
        <f t="shared" si="25"/>
        <v>0</v>
      </c>
      <c r="BJ16" s="51">
        <f t="shared" si="26"/>
        <v>0</v>
      </c>
      <c r="BK16" s="51">
        <f t="shared" si="27"/>
        <v>0</v>
      </c>
      <c r="BL16" s="51">
        <f t="shared" si="28"/>
        <v>0</v>
      </c>
      <c r="BM16" s="51">
        <f t="shared" si="29"/>
        <v>0</v>
      </c>
      <c r="BN16" s="51">
        <f t="shared" si="30"/>
        <v>0</v>
      </c>
      <c r="BO16" s="51">
        <f t="shared" si="31"/>
        <v>0</v>
      </c>
      <c r="BP16" s="51">
        <f t="shared" si="32"/>
        <v>0</v>
      </c>
      <c r="BQ16" s="51">
        <f t="shared" si="33"/>
        <v>0</v>
      </c>
      <c r="BR16" s="51">
        <f t="shared" si="34"/>
        <v>0</v>
      </c>
      <c r="BS16" s="51">
        <f t="shared" si="35"/>
        <v>0</v>
      </c>
      <c r="BT16" s="51">
        <f t="shared" si="36"/>
        <v>1325.67</v>
      </c>
      <c r="BU16" s="20">
        <f t="shared" ref="BU16:BU22" si="41">AVERAGE(AU14:AU16)</f>
        <v>2060.5733333333333</v>
      </c>
      <c r="BV16" s="2"/>
      <c r="BW16" s="20">
        <f t="shared" si="7"/>
        <v>15908.04</v>
      </c>
      <c r="BX16" s="20">
        <f t="shared" ref="BX16:BX21" si="42">BU16*12</f>
        <v>24726.879999999997</v>
      </c>
      <c r="BY16" s="2"/>
      <c r="BZ16" s="21">
        <f t="shared" si="8"/>
        <v>20317.46</v>
      </c>
      <c r="CA16" s="19">
        <f t="shared" si="9"/>
        <v>507936.49999999994</v>
      </c>
      <c r="CB16" s="20">
        <f t="shared" ref="CB16:CB25" si="43">AVERAGE(CA14:CA16)</f>
        <v>654917.16666666663</v>
      </c>
      <c r="CC16" s="11"/>
      <c r="CD16" s="11"/>
      <c r="CE16" s="11"/>
      <c r="CF16" s="20">
        <f t="shared" si="37"/>
        <v>53555.903333333335</v>
      </c>
      <c r="CG16" s="20">
        <f t="shared" si="38"/>
        <v>2142.2361333333333</v>
      </c>
      <c r="CH16" s="20">
        <f t="shared" si="39"/>
        <v>178.51967777777779</v>
      </c>
      <c r="CI16" s="20">
        <f>AVERAGE(CF14:CF16)</f>
        <v>52466.71</v>
      </c>
      <c r="CJ16" s="24">
        <f t="shared" ref="CJ16:CJ21" si="44">CF16/CB16</f>
        <v>8.1775079443888968E-2</v>
      </c>
      <c r="CK16" s="24">
        <f t="shared" si="40"/>
        <v>3.0795279484424485E-2</v>
      </c>
      <c r="CL16" s="29"/>
      <c r="CM16" s="50"/>
      <c r="CW16" s="3">
        <v>0</v>
      </c>
      <c r="DA16" t="s">
        <v>48</v>
      </c>
    </row>
    <row r="17" spans="1:108" ht="15.75" thickBot="1" x14ac:dyDescent="0.3">
      <c r="A17">
        <v>25</v>
      </c>
      <c r="B17">
        <v>23</v>
      </c>
      <c r="C17" s="1">
        <v>42736</v>
      </c>
      <c r="D17" s="4">
        <v>42736</v>
      </c>
      <c r="E17" s="30">
        <f t="shared" si="10"/>
        <v>42736</v>
      </c>
      <c r="F17" s="30">
        <f t="shared" si="0"/>
        <v>0</v>
      </c>
      <c r="G17" s="30">
        <f t="shared" si="1"/>
        <v>0</v>
      </c>
      <c r="H17" s="30"/>
      <c r="I17" s="10">
        <v>10328.209999999999</v>
      </c>
      <c r="J17" s="11">
        <v>0</v>
      </c>
      <c r="K17" s="11">
        <v>4731.74</v>
      </c>
      <c r="L17" s="11">
        <v>0</v>
      </c>
      <c r="M17" s="11">
        <v>639.11</v>
      </c>
      <c r="N17" s="11">
        <v>0</v>
      </c>
      <c r="O17" s="11">
        <v>2010.61</v>
      </c>
      <c r="P17" s="11">
        <v>2018.62</v>
      </c>
      <c r="Q17" s="11">
        <v>0</v>
      </c>
      <c r="R17" s="11">
        <v>0</v>
      </c>
      <c r="S17" s="11">
        <v>2170.5100000000002</v>
      </c>
      <c r="T17" s="11">
        <v>17990.3</v>
      </c>
      <c r="U17" s="101">
        <v>0</v>
      </c>
      <c r="V17" s="11">
        <f t="shared" si="11"/>
        <v>2910.93</v>
      </c>
      <c r="W17" s="11">
        <v>0</v>
      </c>
      <c r="X17" s="11">
        <v>5478.2</v>
      </c>
      <c r="Y17" s="11">
        <v>24640.1</v>
      </c>
      <c r="Z17" s="11">
        <v>0</v>
      </c>
      <c r="AA17" s="12">
        <f t="shared" si="2"/>
        <v>72918.329999999987</v>
      </c>
      <c r="AB17" s="11">
        <v>2420.5100000000002</v>
      </c>
      <c r="AC17" s="11">
        <v>0</v>
      </c>
      <c r="AD17" s="11">
        <v>0</v>
      </c>
      <c r="AE17" s="11">
        <v>0</v>
      </c>
      <c r="AF17" s="11">
        <v>276.79000000000002</v>
      </c>
      <c r="AG17" s="11">
        <v>0</v>
      </c>
      <c r="AH17" s="11">
        <v>44944</v>
      </c>
      <c r="AI17" s="11">
        <v>0</v>
      </c>
      <c r="AJ17" s="11">
        <v>0</v>
      </c>
      <c r="AK17" s="11">
        <v>0</v>
      </c>
      <c r="AL17" s="11">
        <v>0</v>
      </c>
      <c r="AM17" s="12">
        <f t="shared" si="12"/>
        <v>-47641.3</v>
      </c>
      <c r="AN17" s="75">
        <f t="shared" si="3"/>
        <v>25277.029999999984</v>
      </c>
      <c r="AO17" s="86">
        <v>0</v>
      </c>
      <c r="AP17" s="79">
        <v>0</v>
      </c>
      <c r="AQ17" s="87"/>
      <c r="AR17" s="20">
        <f t="shared" si="4"/>
        <v>2697.3</v>
      </c>
      <c r="AS17" s="20">
        <v>0</v>
      </c>
      <c r="AT17" s="20">
        <v>0</v>
      </c>
      <c r="AU17" s="20">
        <f t="shared" si="13"/>
        <v>2697.3</v>
      </c>
      <c r="AV17" s="20"/>
      <c r="AW17" s="51">
        <f t="shared" si="5"/>
        <v>1</v>
      </c>
      <c r="AX17" s="51">
        <f t="shared" si="14"/>
        <v>0</v>
      </c>
      <c r="AY17" s="51">
        <f t="shared" si="15"/>
        <v>0</v>
      </c>
      <c r="AZ17" s="51">
        <f t="shared" si="16"/>
        <v>0</v>
      </c>
      <c r="BA17" s="51">
        <f t="shared" si="17"/>
        <v>0</v>
      </c>
      <c r="BB17" s="51">
        <f t="shared" si="18"/>
        <v>0</v>
      </c>
      <c r="BC17" s="51">
        <f t="shared" si="19"/>
        <v>0</v>
      </c>
      <c r="BD17" s="51">
        <f t="shared" si="20"/>
        <v>0</v>
      </c>
      <c r="BE17" s="51">
        <f t="shared" si="21"/>
        <v>0</v>
      </c>
      <c r="BF17" s="51">
        <f t="shared" si="22"/>
        <v>0</v>
      </c>
      <c r="BG17" s="51">
        <f t="shared" si="23"/>
        <v>0</v>
      </c>
      <c r="BH17" s="51">
        <f t="shared" si="24"/>
        <v>0</v>
      </c>
      <c r="BI17" s="51">
        <f t="shared" si="25"/>
        <v>2697.3</v>
      </c>
      <c r="BJ17" s="51">
        <f t="shared" si="26"/>
        <v>0</v>
      </c>
      <c r="BK17" s="51">
        <f t="shared" si="27"/>
        <v>0</v>
      </c>
      <c r="BL17" s="51">
        <f t="shared" si="28"/>
        <v>0</v>
      </c>
      <c r="BM17" s="51">
        <f t="shared" si="29"/>
        <v>0</v>
      </c>
      <c r="BN17" s="51">
        <f t="shared" si="30"/>
        <v>0</v>
      </c>
      <c r="BO17" s="51">
        <f t="shared" si="31"/>
        <v>0</v>
      </c>
      <c r="BP17" s="51">
        <f t="shared" si="32"/>
        <v>0</v>
      </c>
      <c r="BQ17" s="51">
        <f t="shared" si="33"/>
        <v>0</v>
      </c>
      <c r="BR17" s="51">
        <f t="shared" si="34"/>
        <v>0</v>
      </c>
      <c r="BS17" s="51">
        <f t="shared" si="35"/>
        <v>0</v>
      </c>
      <c r="BT17" s="51">
        <f t="shared" si="36"/>
        <v>0</v>
      </c>
      <c r="BU17" s="20">
        <f t="shared" si="41"/>
        <v>1803.3966666666668</v>
      </c>
      <c r="BV17" s="2"/>
      <c r="BW17" s="20">
        <f t="shared" si="7"/>
        <v>32367.600000000002</v>
      </c>
      <c r="BX17" s="20">
        <f t="shared" si="42"/>
        <v>21640.760000000002</v>
      </c>
      <c r="BY17" s="2"/>
      <c r="BZ17" s="21">
        <f t="shared" si="8"/>
        <v>27004.18</v>
      </c>
      <c r="CA17" s="19">
        <f t="shared" si="9"/>
        <v>675104.5</v>
      </c>
      <c r="CB17" s="20">
        <f t="shared" si="43"/>
        <v>533069</v>
      </c>
      <c r="CC17" s="11"/>
      <c r="CD17" s="11"/>
      <c r="CE17" s="11"/>
      <c r="CF17" s="20">
        <f t="shared" si="37"/>
        <v>54308.34</v>
      </c>
      <c r="CG17" s="20">
        <f t="shared" si="38"/>
        <v>2172.3335999999999</v>
      </c>
      <c r="CH17" s="20">
        <f t="shared" si="39"/>
        <v>181.02779999999998</v>
      </c>
      <c r="CI17" s="20">
        <f t="shared" ref="CI17:CI32" si="45">AVERAGE(CF15:CF17)</f>
        <v>53273.383333333331</v>
      </c>
      <c r="CJ17" s="24">
        <f t="shared" si="44"/>
        <v>0.10187863109653722</v>
      </c>
      <c r="CK17" s="24">
        <f t="shared" si="40"/>
        <v>1.4049556068235386E-2</v>
      </c>
      <c r="CL17" s="24">
        <f t="shared" ref="CL17:CL22" si="46">(CF17-CF14)/CF14</f>
        <v>4.6639012402020424E-2</v>
      </c>
      <c r="CM17" s="50"/>
      <c r="CW17" s="3">
        <v>0</v>
      </c>
    </row>
    <row r="18" spans="1:108" s="5" customFormat="1" ht="15.75" thickBot="1" x14ac:dyDescent="0.3">
      <c r="A18" s="5">
        <v>25</v>
      </c>
      <c r="B18" s="5">
        <v>23</v>
      </c>
      <c r="C18" s="1">
        <v>42767</v>
      </c>
      <c r="D18" s="4">
        <v>42767</v>
      </c>
      <c r="E18" s="30">
        <f t="shared" si="10"/>
        <v>42767</v>
      </c>
      <c r="F18" s="30">
        <f t="shared" si="0"/>
        <v>0</v>
      </c>
      <c r="G18" s="30">
        <f t="shared" si="1"/>
        <v>0</v>
      </c>
      <c r="H18" s="30"/>
      <c r="I18" s="10">
        <v>9992.24</v>
      </c>
      <c r="J18" s="11">
        <v>0</v>
      </c>
      <c r="K18" s="11">
        <v>7546.29</v>
      </c>
      <c r="L18" s="11">
        <v>0</v>
      </c>
      <c r="M18" s="13">
        <f>(M20-M17)/3+M17</f>
        <v>639.11333333333334</v>
      </c>
      <c r="N18" s="11">
        <v>0</v>
      </c>
      <c r="O18" s="13">
        <f>(O20-O17)/3+O17</f>
        <v>2041.6699999999998</v>
      </c>
      <c r="P18" s="13">
        <f>(P17+P19)/2</f>
        <v>2079.105</v>
      </c>
      <c r="Q18" s="11">
        <v>0</v>
      </c>
      <c r="R18" s="11">
        <v>0</v>
      </c>
      <c r="S18" s="13">
        <f>(S20-S17)/3+S17</f>
        <v>2215.106666666667</v>
      </c>
      <c r="T18" s="13">
        <f>(T20-T17)/3+T17</f>
        <v>18832.746666666666</v>
      </c>
      <c r="U18" s="101">
        <v>0</v>
      </c>
      <c r="V18" s="11">
        <f>2910.93 + 620.04</f>
        <v>3530.97</v>
      </c>
      <c r="W18" s="11">
        <v>0</v>
      </c>
      <c r="X18" s="11">
        <v>5651.06</v>
      </c>
      <c r="Y18" s="11">
        <v>25187.599999999999</v>
      </c>
      <c r="Z18" s="11">
        <v>0</v>
      </c>
      <c r="AA18" s="12">
        <f t="shared" si="2"/>
        <v>77715.901666666672</v>
      </c>
      <c r="AB18" s="11">
        <v>2430.77</v>
      </c>
      <c r="AC18" s="11">
        <v>0</v>
      </c>
      <c r="AD18" s="11">
        <v>0</v>
      </c>
      <c r="AE18" s="11">
        <v>0</v>
      </c>
      <c r="AF18" s="11">
        <v>274.62</v>
      </c>
      <c r="AG18" s="11">
        <v>0</v>
      </c>
      <c r="AH18" s="13">
        <v>44945</v>
      </c>
      <c r="AI18" s="11">
        <v>0</v>
      </c>
      <c r="AJ18" s="11">
        <v>0</v>
      </c>
      <c r="AK18" s="11">
        <v>0</v>
      </c>
      <c r="AL18" s="11">
        <v>0</v>
      </c>
      <c r="AM18" s="12">
        <f t="shared" si="12"/>
        <v>-47650.39</v>
      </c>
      <c r="AN18" s="75">
        <f t="shared" si="3"/>
        <v>30065.511666666673</v>
      </c>
      <c r="AO18" s="86">
        <v>0</v>
      </c>
      <c r="AP18" s="79">
        <v>0</v>
      </c>
      <c r="AQ18" s="87"/>
      <c r="AR18" s="20">
        <f t="shared" si="4"/>
        <v>2705.39</v>
      </c>
      <c r="AS18" s="20">
        <v>750</v>
      </c>
      <c r="AT18" s="20">
        <v>0</v>
      </c>
      <c r="AU18" s="20">
        <f t="shared" si="13"/>
        <v>3455.39</v>
      </c>
      <c r="AV18" s="20"/>
      <c r="AW18" s="51">
        <f t="shared" si="5"/>
        <v>0</v>
      </c>
      <c r="AX18" s="51">
        <f t="shared" si="14"/>
        <v>1</v>
      </c>
      <c r="AY18" s="51">
        <f t="shared" si="15"/>
        <v>0</v>
      </c>
      <c r="AZ18" s="51">
        <f t="shared" si="16"/>
        <v>0</v>
      </c>
      <c r="BA18" s="51">
        <f t="shared" si="17"/>
        <v>0</v>
      </c>
      <c r="BB18" s="51">
        <f t="shared" si="18"/>
        <v>0</v>
      </c>
      <c r="BC18" s="51">
        <f t="shared" si="19"/>
        <v>0</v>
      </c>
      <c r="BD18" s="51">
        <f t="shared" si="20"/>
        <v>0</v>
      </c>
      <c r="BE18" s="51">
        <f t="shared" si="21"/>
        <v>0</v>
      </c>
      <c r="BF18" s="51">
        <f t="shared" si="22"/>
        <v>0</v>
      </c>
      <c r="BG18" s="51">
        <f t="shared" si="23"/>
        <v>0</v>
      </c>
      <c r="BH18" s="51">
        <f t="shared" si="24"/>
        <v>0</v>
      </c>
      <c r="BI18" s="51">
        <f t="shared" si="25"/>
        <v>0</v>
      </c>
      <c r="BJ18" s="51">
        <f t="shared" si="26"/>
        <v>3455.39</v>
      </c>
      <c r="BK18" s="51">
        <f t="shared" si="27"/>
        <v>0</v>
      </c>
      <c r="BL18" s="51">
        <f t="shared" si="28"/>
        <v>0</v>
      </c>
      <c r="BM18" s="51">
        <f t="shared" si="29"/>
        <v>0</v>
      </c>
      <c r="BN18" s="51">
        <f t="shared" si="30"/>
        <v>0</v>
      </c>
      <c r="BO18" s="51">
        <f t="shared" si="31"/>
        <v>0</v>
      </c>
      <c r="BP18" s="51">
        <f t="shared" si="32"/>
        <v>0</v>
      </c>
      <c r="BQ18" s="51">
        <f t="shared" si="33"/>
        <v>0</v>
      </c>
      <c r="BR18" s="51">
        <f t="shared" si="34"/>
        <v>0</v>
      </c>
      <c r="BS18" s="51">
        <f t="shared" si="35"/>
        <v>0</v>
      </c>
      <c r="BT18" s="51">
        <f t="shared" si="36"/>
        <v>0</v>
      </c>
      <c r="BU18" s="20">
        <f t="shared" si="41"/>
        <v>2492.7866666666669</v>
      </c>
      <c r="BV18" s="20"/>
      <c r="BW18" s="20">
        <f t="shared" si="7"/>
        <v>41464.68</v>
      </c>
      <c r="BX18" s="20">
        <f t="shared" si="42"/>
        <v>29913.440000000002</v>
      </c>
      <c r="BY18" s="20"/>
      <c r="BZ18" s="21">
        <f t="shared" si="8"/>
        <v>35689.06</v>
      </c>
      <c r="CA18" s="19">
        <f t="shared" si="9"/>
        <v>892226.49999999988</v>
      </c>
      <c r="CB18" s="20">
        <f t="shared" si="43"/>
        <v>691755.83333333337</v>
      </c>
      <c r="CC18" s="20"/>
      <c r="CD18" s="20"/>
      <c r="CE18" s="20"/>
      <c r="CF18" s="20">
        <f t="shared" si="37"/>
        <v>56007.28833333333</v>
      </c>
      <c r="CG18" s="20">
        <f t="shared" si="38"/>
        <v>2240.2915333333331</v>
      </c>
      <c r="CH18" s="20">
        <f t="shared" si="39"/>
        <v>186.69096111111108</v>
      </c>
      <c r="CI18" s="20">
        <f t="shared" si="45"/>
        <v>54623.843888888892</v>
      </c>
      <c r="CJ18" s="24">
        <f t="shared" si="44"/>
        <v>8.0963955249142572E-2</v>
      </c>
      <c r="CK18" s="24">
        <f t="shared" si="40"/>
        <v>3.128337808397999E-2</v>
      </c>
      <c r="CL18" s="24">
        <f t="shared" si="46"/>
        <v>7.7977306654642822E-2</v>
      </c>
      <c r="CM18" s="25"/>
      <c r="CN18" s="17"/>
      <c r="CO18" s="17"/>
      <c r="CP18" s="17"/>
      <c r="CQ18" s="17"/>
      <c r="CR18" s="17"/>
      <c r="CS18" s="17"/>
      <c r="CT18" s="17"/>
      <c r="CU18" s="17"/>
      <c r="CV18" s="17"/>
      <c r="CW18" s="30">
        <v>0</v>
      </c>
      <c r="CX18" s="17"/>
      <c r="CY18"/>
      <c r="CZ18"/>
      <c r="DA18" s="45" t="s">
        <v>215</v>
      </c>
      <c r="DB18"/>
      <c r="DC18" t="s">
        <v>131</v>
      </c>
      <c r="DD18"/>
    </row>
    <row r="19" spans="1:108" s="5" customFormat="1" ht="15.75" thickBot="1" x14ac:dyDescent="0.3">
      <c r="A19" s="5">
        <v>25</v>
      </c>
      <c r="B19" s="5">
        <v>23</v>
      </c>
      <c r="C19" s="1">
        <v>42795</v>
      </c>
      <c r="D19" s="4">
        <v>42795</v>
      </c>
      <c r="E19" s="30">
        <f t="shared" si="10"/>
        <v>42795</v>
      </c>
      <c r="F19" s="30">
        <f t="shared" si="0"/>
        <v>0</v>
      </c>
      <c r="G19" s="30">
        <f t="shared" si="1"/>
        <v>0</v>
      </c>
      <c r="H19" s="30"/>
      <c r="I19" s="10">
        <v>7215.91</v>
      </c>
      <c r="J19" s="11">
        <v>0</v>
      </c>
      <c r="K19" s="11">
        <v>11373.94</v>
      </c>
      <c r="L19" s="11">
        <v>0</v>
      </c>
      <c r="M19" s="13">
        <f>(M20-M17)/3*2+M17</f>
        <v>639.11666666666667</v>
      </c>
      <c r="N19" s="11">
        <v>0</v>
      </c>
      <c r="O19" s="13">
        <f>(O20-O17)/3*2+O17</f>
        <v>2072.73</v>
      </c>
      <c r="P19" s="11">
        <v>2139.59</v>
      </c>
      <c r="Q19" s="11">
        <v>0</v>
      </c>
      <c r="R19" s="11">
        <v>0</v>
      </c>
      <c r="S19" s="13">
        <f>(S20-S17)/3*2+S17</f>
        <v>2259.7033333333334</v>
      </c>
      <c r="T19" s="13">
        <f>(T20-T17)/3*2+T17</f>
        <v>19675.193333333333</v>
      </c>
      <c r="U19" s="101">
        <v>0</v>
      </c>
      <c r="V19" s="11">
        <f>2910.93 + 740.09</f>
        <v>3651.02</v>
      </c>
      <c r="W19" s="11">
        <v>0</v>
      </c>
      <c r="X19" s="11">
        <v>5738.8</v>
      </c>
      <c r="Y19" s="11">
        <v>25819.34</v>
      </c>
      <c r="Z19" s="11">
        <v>0</v>
      </c>
      <c r="AA19" s="12">
        <f t="shared" si="2"/>
        <v>80585.343333333338</v>
      </c>
      <c r="AB19" s="11">
        <v>35.71</v>
      </c>
      <c r="AC19" s="11">
        <v>70.150000000000006</v>
      </c>
      <c r="AD19" s="11">
        <v>0</v>
      </c>
      <c r="AE19" s="11">
        <v>0</v>
      </c>
      <c r="AF19" s="11">
        <v>203.23</v>
      </c>
      <c r="AG19" s="11">
        <v>0</v>
      </c>
      <c r="AH19" s="13">
        <v>44945</v>
      </c>
      <c r="AI19" s="11">
        <v>0</v>
      </c>
      <c r="AJ19" s="11">
        <v>0</v>
      </c>
      <c r="AK19" s="11">
        <v>0</v>
      </c>
      <c r="AL19" s="11">
        <v>0</v>
      </c>
      <c r="AM19" s="12">
        <f t="shared" si="12"/>
        <v>-45254.09</v>
      </c>
      <c r="AN19" s="75">
        <f t="shared" si="3"/>
        <v>35331.253333333341</v>
      </c>
      <c r="AO19" s="86">
        <v>0</v>
      </c>
      <c r="AP19" s="79">
        <v>0</v>
      </c>
      <c r="AQ19" s="87"/>
      <c r="AR19" s="20">
        <f t="shared" si="4"/>
        <v>309.09000000000003</v>
      </c>
      <c r="AS19" s="20">
        <v>750</v>
      </c>
      <c r="AT19" s="20">
        <v>0</v>
      </c>
      <c r="AU19" s="20">
        <f t="shared" si="13"/>
        <v>1059.0900000000001</v>
      </c>
      <c r="AV19" s="20"/>
      <c r="AW19" s="51">
        <f t="shared" si="5"/>
        <v>0</v>
      </c>
      <c r="AX19" s="51">
        <f t="shared" si="14"/>
        <v>0</v>
      </c>
      <c r="AY19" s="51">
        <f t="shared" si="15"/>
        <v>1</v>
      </c>
      <c r="AZ19" s="51">
        <f t="shared" si="16"/>
        <v>0</v>
      </c>
      <c r="BA19" s="51">
        <f t="shared" si="17"/>
        <v>0</v>
      </c>
      <c r="BB19" s="51">
        <f t="shared" si="18"/>
        <v>0</v>
      </c>
      <c r="BC19" s="51">
        <f t="shared" si="19"/>
        <v>0</v>
      </c>
      <c r="BD19" s="51">
        <f t="shared" si="20"/>
        <v>0</v>
      </c>
      <c r="BE19" s="51">
        <f t="shared" si="21"/>
        <v>0</v>
      </c>
      <c r="BF19" s="51">
        <f t="shared" si="22"/>
        <v>0</v>
      </c>
      <c r="BG19" s="51">
        <f t="shared" si="23"/>
        <v>0</v>
      </c>
      <c r="BH19" s="51">
        <f t="shared" si="24"/>
        <v>0</v>
      </c>
      <c r="BI19" s="51">
        <f t="shared" si="25"/>
        <v>0</v>
      </c>
      <c r="BJ19" s="51">
        <f t="shared" si="26"/>
        <v>0</v>
      </c>
      <c r="BK19" s="51">
        <f t="shared" si="27"/>
        <v>1059.0900000000001</v>
      </c>
      <c r="BL19" s="51">
        <f t="shared" si="28"/>
        <v>0</v>
      </c>
      <c r="BM19" s="51">
        <f t="shared" si="29"/>
        <v>0</v>
      </c>
      <c r="BN19" s="51">
        <f t="shared" si="30"/>
        <v>0</v>
      </c>
      <c r="BO19" s="51">
        <f t="shared" si="31"/>
        <v>0</v>
      </c>
      <c r="BP19" s="51">
        <f t="shared" si="32"/>
        <v>0</v>
      </c>
      <c r="BQ19" s="51">
        <f t="shared" si="33"/>
        <v>0</v>
      </c>
      <c r="BR19" s="51">
        <f t="shared" si="34"/>
        <v>0</v>
      </c>
      <c r="BS19" s="51">
        <f t="shared" si="35"/>
        <v>0</v>
      </c>
      <c r="BT19" s="51">
        <f t="shared" si="36"/>
        <v>0</v>
      </c>
      <c r="BU19" s="20">
        <f t="shared" si="41"/>
        <v>2403.9266666666667</v>
      </c>
      <c r="BV19" s="20"/>
      <c r="BW19" s="20">
        <f t="shared" si="7"/>
        <v>12709.080000000002</v>
      </c>
      <c r="BX19" s="20">
        <f t="shared" si="42"/>
        <v>28847.120000000003</v>
      </c>
      <c r="BY19" s="20"/>
      <c r="BZ19" s="21">
        <f t="shared" si="8"/>
        <v>20778.100000000002</v>
      </c>
      <c r="CA19" s="19">
        <f t="shared" si="9"/>
        <v>519452.50000000006</v>
      </c>
      <c r="CB19" s="20">
        <f t="shared" si="43"/>
        <v>695594.5</v>
      </c>
      <c r="CC19" s="20"/>
      <c r="CD19" s="20"/>
      <c r="CE19" s="20"/>
      <c r="CF19" s="20">
        <f t="shared" si="37"/>
        <v>57705.356666666667</v>
      </c>
      <c r="CG19" s="20">
        <f t="shared" si="38"/>
        <v>2308.2142666666668</v>
      </c>
      <c r="CH19" s="20">
        <f t="shared" si="39"/>
        <v>192.35118888888891</v>
      </c>
      <c r="CI19" s="20">
        <f t="shared" si="45"/>
        <v>56006.994999999995</v>
      </c>
      <c r="CJ19" s="24">
        <f t="shared" si="44"/>
        <v>8.2958327972211782E-2</v>
      </c>
      <c r="CK19" s="24">
        <f t="shared" si="40"/>
        <v>3.0318702866439493E-2</v>
      </c>
      <c r="CL19" s="24">
        <f t="shared" si="46"/>
        <v>7.747891595641708E-2</v>
      </c>
      <c r="CM19" s="25"/>
      <c r="CN19" s="17"/>
      <c r="CO19" s="17"/>
      <c r="CP19" s="17"/>
      <c r="CQ19" s="17"/>
      <c r="CR19" s="17"/>
      <c r="CS19" s="17"/>
      <c r="CT19" s="17"/>
      <c r="CU19" s="17"/>
      <c r="CV19" s="17"/>
      <c r="CW19" s="30">
        <v>0</v>
      </c>
      <c r="CX19" s="17"/>
      <c r="CY19"/>
      <c r="CZ19"/>
      <c r="DA19"/>
      <c r="DB19"/>
      <c r="DC19">
        <f>INDEX(LINEST(CF$14:CF$31, LN(E$14:E$31)),1)</f>
        <v>2841119.6450084383</v>
      </c>
      <c r="DD19" t="s">
        <v>132</v>
      </c>
    </row>
    <row r="20" spans="1:108" s="5" customFormat="1" ht="15.75" thickBot="1" x14ac:dyDescent="0.3">
      <c r="A20" s="5">
        <v>25</v>
      </c>
      <c r="B20" s="5">
        <v>23</v>
      </c>
      <c r="C20" s="1">
        <v>42826</v>
      </c>
      <c r="D20" s="4">
        <v>42826</v>
      </c>
      <c r="E20" s="30">
        <f t="shared" si="10"/>
        <v>42826</v>
      </c>
      <c r="F20" s="30">
        <f t="shared" si="0"/>
        <v>0</v>
      </c>
      <c r="G20" s="30">
        <f t="shared" si="1"/>
        <v>0</v>
      </c>
      <c r="H20" s="30"/>
      <c r="I20" s="10">
        <v>7333.8</v>
      </c>
      <c r="J20" s="11">
        <v>0</v>
      </c>
      <c r="K20" s="11">
        <v>9489.76</v>
      </c>
      <c r="L20" s="11">
        <v>0</v>
      </c>
      <c r="M20" s="11">
        <v>639.12</v>
      </c>
      <c r="N20" s="11">
        <v>0</v>
      </c>
      <c r="O20" s="11">
        <v>2103.79</v>
      </c>
      <c r="P20" s="11">
        <v>2121.92</v>
      </c>
      <c r="Q20" s="11">
        <v>0</v>
      </c>
      <c r="R20" s="11">
        <v>0</v>
      </c>
      <c r="S20" s="11">
        <v>2304.3000000000002</v>
      </c>
      <c r="T20" s="11">
        <v>20517.64</v>
      </c>
      <c r="U20" s="101">
        <v>0</v>
      </c>
      <c r="V20" s="11">
        <f>2910.93 + 920.16</f>
        <v>3831.0899999999997</v>
      </c>
      <c r="W20" s="11">
        <v>0</v>
      </c>
      <c r="X20" s="11">
        <v>5790.94</v>
      </c>
      <c r="Y20" s="11">
        <v>25706.9</v>
      </c>
      <c r="Z20" s="11">
        <v>0</v>
      </c>
      <c r="AA20" s="12">
        <f t="shared" si="2"/>
        <v>79839.260000000009</v>
      </c>
      <c r="AB20" s="11">
        <v>4.3600000000000003</v>
      </c>
      <c r="AC20" s="11">
        <v>1927.73</v>
      </c>
      <c r="AD20" s="11">
        <v>0</v>
      </c>
      <c r="AE20" s="11">
        <v>0</v>
      </c>
      <c r="AF20" s="11">
        <v>211.64</v>
      </c>
      <c r="AG20" s="11">
        <v>0</v>
      </c>
      <c r="AH20" s="13">
        <v>44945</v>
      </c>
      <c r="AI20" s="11">
        <v>0</v>
      </c>
      <c r="AJ20" s="11">
        <v>0</v>
      </c>
      <c r="AK20" s="11">
        <v>0</v>
      </c>
      <c r="AL20" s="11">
        <v>0</v>
      </c>
      <c r="AM20" s="12">
        <f t="shared" si="12"/>
        <v>-47088.73</v>
      </c>
      <c r="AN20" s="75">
        <f>AA20+AM20</f>
        <v>32750.530000000006</v>
      </c>
      <c r="AO20" s="86">
        <v>0</v>
      </c>
      <c r="AP20" s="79">
        <v>0</v>
      </c>
      <c r="AQ20" s="87"/>
      <c r="AR20" s="20">
        <f>SUM(AB20:AG20)</f>
        <v>2143.73</v>
      </c>
      <c r="AS20" s="20">
        <v>750</v>
      </c>
      <c r="AT20" s="20">
        <v>0</v>
      </c>
      <c r="AU20" s="20">
        <f>SUM(AR20:AT20)</f>
        <v>2893.73</v>
      </c>
      <c r="AV20" s="20"/>
      <c r="AW20" s="51">
        <f t="shared" si="5"/>
        <v>0</v>
      </c>
      <c r="AX20" s="51">
        <f t="shared" si="14"/>
        <v>0</v>
      </c>
      <c r="AY20" s="51">
        <f t="shared" si="15"/>
        <v>0</v>
      </c>
      <c r="AZ20" s="51">
        <f t="shared" si="16"/>
        <v>1</v>
      </c>
      <c r="BA20" s="51">
        <f t="shared" si="17"/>
        <v>0</v>
      </c>
      <c r="BB20" s="51">
        <f t="shared" si="18"/>
        <v>0</v>
      </c>
      <c r="BC20" s="51">
        <f t="shared" si="19"/>
        <v>0</v>
      </c>
      <c r="BD20" s="51">
        <f t="shared" si="20"/>
        <v>0</v>
      </c>
      <c r="BE20" s="51">
        <f t="shared" si="21"/>
        <v>0</v>
      </c>
      <c r="BF20" s="51">
        <f t="shared" si="22"/>
        <v>0</v>
      </c>
      <c r="BG20" s="51">
        <f t="shared" si="23"/>
        <v>0</v>
      </c>
      <c r="BH20" s="51">
        <f t="shared" si="24"/>
        <v>0</v>
      </c>
      <c r="BI20" s="51">
        <f t="shared" si="25"/>
        <v>0</v>
      </c>
      <c r="BJ20" s="51">
        <f t="shared" si="26"/>
        <v>0</v>
      </c>
      <c r="BK20" s="51">
        <f t="shared" si="27"/>
        <v>0</v>
      </c>
      <c r="BL20" s="51">
        <f t="shared" si="28"/>
        <v>2893.73</v>
      </c>
      <c r="BM20" s="51">
        <f t="shared" si="29"/>
        <v>0</v>
      </c>
      <c r="BN20" s="51">
        <f t="shared" si="30"/>
        <v>0</v>
      </c>
      <c r="BO20" s="51">
        <f t="shared" si="31"/>
        <v>0</v>
      </c>
      <c r="BP20" s="51">
        <f t="shared" si="32"/>
        <v>0</v>
      </c>
      <c r="BQ20" s="51">
        <f t="shared" si="33"/>
        <v>0</v>
      </c>
      <c r="BR20" s="51">
        <f t="shared" si="34"/>
        <v>0</v>
      </c>
      <c r="BS20" s="51">
        <f t="shared" si="35"/>
        <v>0</v>
      </c>
      <c r="BT20" s="51">
        <f t="shared" si="36"/>
        <v>0</v>
      </c>
      <c r="BU20" s="20">
        <f t="shared" si="41"/>
        <v>2469.4033333333332</v>
      </c>
      <c r="BV20" s="20"/>
      <c r="BW20" s="20">
        <f>AU20*12</f>
        <v>34724.76</v>
      </c>
      <c r="BX20" s="20">
        <f t="shared" si="42"/>
        <v>29632.839999999997</v>
      </c>
      <c r="BY20" s="20"/>
      <c r="BZ20" s="21">
        <f>IF(BY20&gt;0,AVERAGE(BW20:BY20), IF(BX20&gt;0,AVERAGE(BW20:BX20), BW20))</f>
        <v>32178.799999999999</v>
      </c>
      <c r="CA20" s="19">
        <f t="shared" ref="CA20:CA83" si="47">$BZ20/CA$11</f>
        <v>804470</v>
      </c>
      <c r="CB20" s="20">
        <f t="shared" si="43"/>
        <v>738716.33333333337</v>
      </c>
      <c r="CC20" s="20"/>
      <c r="CD20" s="20">
        <f t="shared" ref="CD20:CD83" si="48">CB20*G20</f>
        <v>0</v>
      </c>
      <c r="CE20" s="20">
        <f t="shared" ref="CE20:CE33" si="49">$CC$11</f>
        <v>1400000</v>
      </c>
      <c r="CF20" s="20">
        <f t="shared" si="37"/>
        <v>58545.490000000005</v>
      </c>
      <c r="CG20" s="20">
        <f t="shared" si="38"/>
        <v>2341.8196000000003</v>
      </c>
      <c r="CH20" s="20">
        <f t="shared" si="39"/>
        <v>195.15163333333336</v>
      </c>
      <c r="CI20" s="20">
        <f t="shared" si="45"/>
        <v>57419.378333333334</v>
      </c>
      <c r="CJ20" s="24">
        <f t="shared" si="44"/>
        <v>7.9253006002755227E-2</v>
      </c>
      <c r="CK20" s="24">
        <f t="shared" si="40"/>
        <v>1.455901812003944E-2</v>
      </c>
      <c r="CL20" s="24">
        <f t="shared" si="46"/>
        <v>7.8020245140985878E-2</v>
      </c>
      <c r="CM20" s="25"/>
      <c r="CN20" s="17"/>
      <c r="CO20" s="17"/>
      <c r="CP20" s="17"/>
      <c r="CQ20" s="17"/>
      <c r="CR20" s="17"/>
      <c r="CS20" s="17"/>
      <c r="CT20" s="17"/>
      <c r="CU20" s="17"/>
      <c r="CV20" s="17"/>
      <c r="CW20" s="30">
        <v>0</v>
      </c>
      <c r="CX20" s="17"/>
      <c r="CY20"/>
      <c r="CZ20"/>
      <c r="DA20">
        <f>INDEX(LINEST(Data!CF$14:CF$31, Data!E$14:E$31^ {1,2,3}),1)</f>
        <v>8.7082143832865788E-5</v>
      </c>
      <c r="DB20" t="s">
        <v>49</v>
      </c>
      <c r="DC20">
        <f>INDEX(LINEST(CF$14:CF$31, LN(E$14:E$31)),1,2)</f>
        <v>-30239899.127021711</v>
      </c>
      <c r="DD20" t="s">
        <v>133</v>
      </c>
    </row>
    <row r="21" spans="1:108" ht="15.75" thickBot="1" x14ac:dyDescent="0.3">
      <c r="A21" s="5">
        <v>25</v>
      </c>
      <c r="B21" s="5">
        <v>23</v>
      </c>
      <c r="C21" s="1">
        <v>42856</v>
      </c>
      <c r="D21" s="4">
        <v>42856</v>
      </c>
      <c r="E21" s="30">
        <f t="shared" si="10"/>
        <v>42856</v>
      </c>
      <c r="F21" s="30">
        <f t="shared" ref="F21:F32" si="50">IF(D21,0,1)</f>
        <v>0</v>
      </c>
      <c r="G21" s="30">
        <f t="shared" ref="G21:G31" si="51">IF(F21=0,IF(F22=1,1,0),0)</f>
        <v>0</v>
      </c>
      <c r="H21" s="30"/>
      <c r="I21" s="10">
        <v>6507.45</v>
      </c>
      <c r="J21" s="11">
        <v>100</v>
      </c>
      <c r="K21" s="11">
        <v>9899.16</v>
      </c>
      <c r="L21" s="11">
        <v>0</v>
      </c>
      <c r="M21" s="13">
        <f>(M23-M20)/3+M20</f>
        <v>639.12666666666667</v>
      </c>
      <c r="N21" s="11">
        <v>399.75</v>
      </c>
      <c r="O21" s="13">
        <f>(O23-O20)/3+O20</f>
        <v>2124.5</v>
      </c>
      <c r="P21" s="13">
        <f>(P20+P22)/2</f>
        <v>2179.21</v>
      </c>
      <c r="Q21" s="11">
        <v>0</v>
      </c>
      <c r="R21" s="11">
        <v>0</v>
      </c>
      <c r="S21" s="13">
        <f>(S23-S20)/3+S20</f>
        <v>2676.5933333333332</v>
      </c>
      <c r="T21" s="13">
        <f>(T23-T20)/3+T20</f>
        <v>21560.616666666665</v>
      </c>
      <c r="U21" s="101">
        <v>0</v>
      </c>
      <c r="V21" s="11">
        <v>3031.09</v>
      </c>
      <c r="W21" s="11">
        <v>200.37</v>
      </c>
      <c r="X21" s="11">
        <v>5846.83</v>
      </c>
      <c r="Y21" s="11">
        <v>25924.48</v>
      </c>
      <c r="Z21" s="11">
        <v>0</v>
      </c>
      <c r="AA21" s="12">
        <f t="shared" si="2"/>
        <v>81089.176666666666</v>
      </c>
      <c r="AB21" s="11">
        <v>0</v>
      </c>
      <c r="AC21" s="11">
        <v>770.74</v>
      </c>
      <c r="AD21" s="11">
        <v>215.37</v>
      </c>
      <c r="AE21" s="11">
        <v>0</v>
      </c>
      <c r="AF21" s="11">
        <v>237.85</v>
      </c>
      <c r="AG21" s="11">
        <v>0</v>
      </c>
      <c r="AH21" s="13">
        <v>44945</v>
      </c>
      <c r="AI21" s="11">
        <v>0</v>
      </c>
      <c r="AJ21" s="11">
        <v>0</v>
      </c>
      <c r="AK21" s="11">
        <v>0</v>
      </c>
      <c r="AL21" s="11">
        <v>0</v>
      </c>
      <c r="AM21" s="12">
        <f t="shared" si="12"/>
        <v>-46168.959999999999</v>
      </c>
      <c r="AN21" s="75">
        <f t="shared" ref="AN21:AN32" si="52">AA21+AM21</f>
        <v>34920.216666666667</v>
      </c>
      <c r="AO21" s="86">
        <v>0</v>
      </c>
      <c r="AP21" s="79">
        <v>0</v>
      </c>
      <c r="AQ21" s="87"/>
      <c r="AR21" s="20">
        <f t="shared" ref="AR21:AR31" si="53">SUM(AB21:AG21)</f>
        <v>1223.96</v>
      </c>
      <c r="AS21" s="20">
        <v>750</v>
      </c>
      <c r="AT21" s="20">
        <v>0</v>
      </c>
      <c r="AU21" s="20">
        <f t="shared" ref="AU21:AU31" si="54">SUM(AR21:AT21)</f>
        <v>1973.96</v>
      </c>
      <c r="AV21" s="20"/>
      <c r="AW21" s="51">
        <f t="shared" si="5"/>
        <v>0</v>
      </c>
      <c r="AX21" s="51">
        <f t="shared" si="14"/>
        <v>0</v>
      </c>
      <c r="AY21" s="51">
        <f t="shared" si="15"/>
        <v>0</v>
      </c>
      <c r="AZ21" s="51">
        <f t="shared" si="16"/>
        <v>0</v>
      </c>
      <c r="BA21" s="51">
        <f t="shared" si="17"/>
        <v>1</v>
      </c>
      <c r="BB21" s="51">
        <f t="shared" si="18"/>
        <v>0</v>
      </c>
      <c r="BC21" s="51">
        <f t="shared" si="19"/>
        <v>0</v>
      </c>
      <c r="BD21" s="51">
        <f t="shared" si="20"/>
        <v>0</v>
      </c>
      <c r="BE21" s="51">
        <f t="shared" si="21"/>
        <v>0</v>
      </c>
      <c r="BF21" s="51">
        <f t="shared" si="22"/>
        <v>0</v>
      </c>
      <c r="BG21" s="51">
        <f t="shared" si="23"/>
        <v>0</v>
      </c>
      <c r="BH21" s="51">
        <f t="shared" si="24"/>
        <v>0</v>
      </c>
      <c r="BI21" s="51">
        <f t="shared" si="25"/>
        <v>0</v>
      </c>
      <c r="BJ21" s="51">
        <f t="shared" si="26"/>
        <v>0</v>
      </c>
      <c r="BK21" s="51">
        <f t="shared" si="27"/>
        <v>0</v>
      </c>
      <c r="BL21" s="51">
        <f t="shared" si="28"/>
        <v>0</v>
      </c>
      <c r="BM21" s="51">
        <f t="shared" si="29"/>
        <v>1973.96</v>
      </c>
      <c r="BN21" s="51">
        <f t="shared" si="30"/>
        <v>0</v>
      </c>
      <c r="BO21" s="51">
        <f t="shared" si="31"/>
        <v>0</v>
      </c>
      <c r="BP21" s="51">
        <f t="shared" si="32"/>
        <v>0</v>
      </c>
      <c r="BQ21" s="51">
        <f t="shared" si="33"/>
        <v>0</v>
      </c>
      <c r="BR21" s="51">
        <f t="shared" si="34"/>
        <v>0</v>
      </c>
      <c r="BS21" s="51">
        <f t="shared" si="35"/>
        <v>0</v>
      </c>
      <c r="BT21" s="51">
        <f t="shared" si="36"/>
        <v>0</v>
      </c>
      <c r="BU21" s="20">
        <f t="shared" si="41"/>
        <v>1975.5933333333335</v>
      </c>
      <c r="BV21" s="20"/>
      <c r="BW21" s="20">
        <f t="shared" ref="BW21:BW31" si="55">AU21*12</f>
        <v>23687.52</v>
      </c>
      <c r="BX21" s="20">
        <f t="shared" si="42"/>
        <v>23707.120000000003</v>
      </c>
      <c r="BY21" s="20"/>
      <c r="BZ21" s="21">
        <f t="shared" ref="BZ21:BZ31" si="56">IF(BY21&gt;0,AVERAGE(BW21:BY21), IF(BX21&gt;0,AVERAGE(BW21:BX21), BW21))</f>
        <v>23697.32</v>
      </c>
      <c r="CA21" s="19">
        <f t="shared" si="47"/>
        <v>592433</v>
      </c>
      <c r="CB21" s="20">
        <f t="shared" si="43"/>
        <v>638785.16666666663</v>
      </c>
      <c r="CC21" s="20"/>
      <c r="CD21" s="20">
        <f t="shared" si="48"/>
        <v>0</v>
      </c>
      <c r="CE21" s="20">
        <f t="shared" si="49"/>
        <v>1400000</v>
      </c>
      <c r="CF21" s="20">
        <f t="shared" si="37"/>
        <v>60512.599999999991</v>
      </c>
      <c r="CG21" s="20">
        <f t="shared" si="38"/>
        <v>2420.5039999999999</v>
      </c>
      <c r="CH21" s="20">
        <f t="shared" si="39"/>
        <v>201.70866666666666</v>
      </c>
      <c r="CI21" s="20">
        <f t="shared" si="45"/>
        <v>58921.148888888885</v>
      </c>
      <c r="CJ21" s="24">
        <f t="shared" si="44"/>
        <v>9.4730753244896354E-2</v>
      </c>
      <c r="CK21" s="24">
        <f>(CF21-CF20)/CF20</f>
        <v>3.3599684621308759E-2</v>
      </c>
      <c r="CL21" s="24">
        <f t="shared" si="46"/>
        <v>8.0441524678945706E-2</v>
      </c>
      <c r="CM21" s="25"/>
      <c r="CN21" s="17"/>
      <c r="CO21" s="17"/>
      <c r="CP21" s="17"/>
      <c r="CQ21" s="17"/>
      <c r="CR21" s="17"/>
      <c r="CS21" s="17"/>
      <c r="CT21" s="17"/>
      <c r="CU21" s="17"/>
      <c r="CV21" s="17"/>
      <c r="CW21" s="30">
        <v>0</v>
      </c>
      <c r="CX21" s="17"/>
      <c r="DA21">
        <f>INDEX(LINEST(Data!CF$14:CF$31, Data!E$14:E$31^ {1,2,3}),1,2)</f>
        <v>-11.126655867527434</v>
      </c>
      <c r="DB21" t="s">
        <v>50</v>
      </c>
    </row>
    <row r="22" spans="1:108" ht="15.75" thickBot="1" x14ac:dyDescent="0.3">
      <c r="A22" s="5">
        <v>25</v>
      </c>
      <c r="B22" s="5">
        <v>23</v>
      </c>
      <c r="C22" s="1">
        <v>42887</v>
      </c>
      <c r="D22" s="4">
        <v>42887</v>
      </c>
      <c r="E22" s="30">
        <f t="shared" si="10"/>
        <v>42887</v>
      </c>
      <c r="F22" s="30">
        <f t="shared" si="50"/>
        <v>0</v>
      </c>
      <c r="G22" s="30">
        <f t="shared" si="51"/>
        <v>0</v>
      </c>
      <c r="H22" s="30"/>
      <c r="I22" s="10">
        <v>8323.9500000000007</v>
      </c>
      <c r="J22" s="11">
        <v>1248</v>
      </c>
      <c r="K22" s="11">
        <v>9634.6200000000008</v>
      </c>
      <c r="L22" s="11">
        <v>0</v>
      </c>
      <c r="M22" s="13">
        <f>(M23-M20)/3*2+M20</f>
        <v>639.13333333333333</v>
      </c>
      <c r="N22" s="11">
        <v>808.26</v>
      </c>
      <c r="O22" s="13">
        <f>(O23-O20)/3*2+O20</f>
        <v>2145.21</v>
      </c>
      <c r="P22" s="11">
        <v>2236.5</v>
      </c>
      <c r="Q22" s="11">
        <v>0</v>
      </c>
      <c r="R22" s="11">
        <v>0</v>
      </c>
      <c r="S22" s="13">
        <f>(S23-S20)/3*2+S20</f>
        <v>3048.8866666666668</v>
      </c>
      <c r="T22" s="13">
        <f>(T23-T20)/3*2+T20</f>
        <v>22603.593333333334</v>
      </c>
      <c r="U22" s="101">
        <v>0</v>
      </c>
      <c r="V22" s="11">
        <v>3091.37</v>
      </c>
      <c r="W22" s="11">
        <v>919.83</v>
      </c>
      <c r="X22" s="11">
        <v>5955.21</v>
      </c>
      <c r="Y22" s="11">
        <v>26317.33</v>
      </c>
      <c r="Z22" s="11">
        <v>0</v>
      </c>
      <c r="AA22" s="12">
        <f t="shared" si="2"/>
        <v>86971.893333333341</v>
      </c>
      <c r="AB22" s="11">
        <v>149.36000000000001</v>
      </c>
      <c r="AC22" s="11">
        <v>1360.7</v>
      </c>
      <c r="AD22" s="11">
        <v>478.91</v>
      </c>
      <c r="AE22" s="11">
        <v>0</v>
      </c>
      <c r="AF22" s="11">
        <v>280.64</v>
      </c>
      <c r="AG22" s="11">
        <v>0</v>
      </c>
      <c r="AH22" s="13">
        <v>44945</v>
      </c>
      <c r="AI22" s="11">
        <v>0</v>
      </c>
      <c r="AJ22" s="11">
        <v>0</v>
      </c>
      <c r="AK22" s="11">
        <v>0</v>
      </c>
      <c r="AL22" s="11">
        <v>0</v>
      </c>
      <c r="AM22" s="12">
        <f t="shared" si="12"/>
        <v>-47214.61</v>
      </c>
      <c r="AN22" s="75">
        <f t="shared" si="52"/>
        <v>39757.28333333334</v>
      </c>
      <c r="AO22" s="86">
        <v>0</v>
      </c>
      <c r="AP22" s="79">
        <v>0</v>
      </c>
      <c r="AQ22" s="87"/>
      <c r="AR22" s="20">
        <f t="shared" si="53"/>
        <v>2269.61</v>
      </c>
      <c r="AS22" s="20">
        <v>750</v>
      </c>
      <c r="AT22" s="20">
        <v>0</v>
      </c>
      <c r="AU22" s="20">
        <f t="shared" si="54"/>
        <v>3019.61</v>
      </c>
      <c r="AV22" s="20"/>
      <c r="AW22" s="51">
        <f t="shared" si="5"/>
        <v>0</v>
      </c>
      <c r="AX22" s="51">
        <f t="shared" si="14"/>
        <v>0</v>
      </c>
      <c r="AY22" s="51">
        <f t="shared" si="15"/>
        <v>0</v>
      </c>
      <c r="AZ22" s="51">
        <f t="shared" si="16"/>
        <v>0</v>
      </c>
      <c r="BA22" s="51">
        <f t="shared" si="17"/>
        <v>0</v>
      </c>
      <c r="BB22" s="51">
        <f t="shared" si="18"/>
        <v>1</v>
      </c>
      <c r="BC22" s="51">
        <f t="shared" si="19"/>
        <v>0</v>
      </c>
      <c r="BD22" s="51">
        <f t="shared" si="20"/>
        <v>0</v>
      </c>
      <c r="BE22" s="51">
        <f t="shared" si="21"/>
        <v>0</v>
      </c>
      <c r="BF22" s="51">
        <f t="shared" si="22"/>
        <v>0</v>
      </c>
      <c r="BG22" s="51">
        <f t="shared" si="23"/>
        <v>0</v>
      </c>
      <c r="BH22" s="51">
        <f t="shared" si="24"/>
        <v>0</v>
      </c>
      <c r="BI22" s="51">
        <f t="shared" si="25"/>
        <v>0</v>
      </c>
      <c r="BJ22" s="51">
        <f t="shared" si="26"/>
        <v>0</v>
      </c>
      <c r="BK22" s="51">
        <f t="shared" si="27"/>
        <v>0</v>
      </c>
      <c r="BL22" s="51">
        <f t="shared" si="28"/>
        <v>0</v>
      </c>
      <c r="BM22" s="51">
        <f t="shared" si="29"/>
        <v>0</v>
      </c>
      <c r="BN22" s="51">
        <f t="shared" si="30"/>
        <v>3019.61</v>
      </c>
      <c r="BO22" s="51">
        <f t="shared" si="31"/>
        <v>0</v>
      </c>
      <c r="BP22" s="51">
        <f t="shared" si="32"/>
        <v>0</v>
      </c>
      <c r="BQ22" s="51">
        <f t="shared" si="33"/>
        <v>0</v>
      </c>
      <c r="BR22" s="51">
        <f t="shared" si="34"/>
        <v>0</v>
      </c>
      <c r="BS22" s="51">
        <f t="shared" si="35"/>
        <v>0</v>
      </c>
      <c r="BT22" s="51">
        <f t="shared" si="36"/>
        <v>0</v>
      </c>
      <c r="BU22" s="20">
        <f t="shared" si="41"/>
        <v>2629.1000000000004</v>
      </c>
      <c r="BV22" s="20"/>
      <c r="BW22" s="20">
        <f t="shared" si="55"/>
        <v>36235.32</v>
      </c>
      <c r="BX22" s="20">
        <f>BU22*12</f>
        <v>31549.200000000004</v>
      </c>
      <c r="BY22" s="20"/>
      <c r="BZ22" s="21">
        <f t="shared" si="56"/>
        <v>33892.26</v>
      </c>
      <c r="CA22" s="19">
        <f t="shared" si="47"/>
        <v>847306.5</v>
      </c>
      <c r="CB22" s="20">
        <f t="shared" si="43"/>
        <v>748069.83333333337</v>
      </c>
      <c r="CC22" s="20"/>
      <c r="CD22" s="20">
        <f t="shared" si="48"/>
        <v>0</v>
      </c>
      <c r="CE22" s="20">
        <f t="shared" si="49"/>
        <v>1400000</v>
      </c>
      <c r="CF22" s="20">
        <f t="shared" si="37"/>
        <v>63226.560000000005</v>
      </c>
      <c r="CG22" s="20">
        <f t="shared" si="38"/>
        <v>2529.0624000000003</v>
      </c>
      <c r="CH22" s="20">
        <f t="shared" si="39"/>
        <v>210.75520000000003</v>
      </c>
      <c r="CI22" s="20">
        <f t="shared" si="45"/>
        <v>60761.549999999996</v>
      </c>
      <c r="CJ22" s="24">
        <f t="shared" ref="CJ22:CJ32" si="57">CF22/CB22</f>
        <v>8.4519595875518758E-2</v>
      </c>
      <c r="CK22" s="24">
        <f t="shared" ref="CK22:CK31" si="58">(CF22-CF21)/CF21</f>
        <v>4.4849502417678537E-2</v>
      </c>
      <c r="CL22" s="24">
        <f t="shared" si="46"/>
        <v>9.5679216839892542E-2</v>
      </c>
      <c r="CM22" s="25"/>
      <c r="CN22" s="17"/>
      <c r="CO22" s="17"/>
      <c r="CP22" s="17"/>
      <c r="CQ22" s="17"/>
      <c r="CR22" s="17"/>
      <c r="CS22" s="17"/>
      <c r="CT22" s="17"/>
      <c r="CU22" s="17"/>
      <c r="CV22" s="17"/>
      <c r="CW22" s="30">
        <v>0</v>
      </c>
      <c r="CX22" s="17"/>
      <c r="DA22">
        <f>INDEX(LINEST(Data!CF$14:CF$31, Data!E$14:E$31^ {1,2,3}),1,3)</f>
        <v>473928.42237149214</v>
      </c>
    </row>
    <row r="23" spans="1:108" ht="15.75" thickBot="1" x14ac:dyDescent="0.3">
      <c r="A23" s="5">
        <v>25</v>
      </c>
      <c r="B23" s="5">
        <v>23</v>
      </c>
      <c r="C23" s="1">
        <v>42917</v>
      </c>
      <c r="D23" s="4">
        <v>42917</v>
      </c>
      <c r="E23" s="30">
        <f t="shared" si="10"/>
        <v>42917</v>
      </c>
      <c r="F23" s="30">
        <f t="shared" si="50"/>
        <v>0</v>
      </c>
      <c r="G23" s="30">
        <f t="shared" si="51"/>
        <v>0</v>
      </c>
      <c r="H23" s="30"/>
      <c r="I23" s="10">
        <v>9324.5400000000009</v>
      </c>
      <c r="J23" s="11">
        <v>1702.99</v>
      </c>
      <c r="K23" s="11">
        <v>7797.01</v>
      </c>
      <c r="L23" s="11">
        <v>0</v>
      </c>
      <c r="M23" s="11">
        <v>639.14</v>
      </c>
      <c r="N23" s="11">
        <v>1003.84</v>
      </c>
      <c r="O23" s="11">
        <v>2165.92</v>
      </c>
      <c r="P23" s="11">
        <v>2201.48</v>
      </c>
      <c r="Q23" s="11">
        <v>0</v>
      </c>
      <c r="R23" s="11">
        <v>0</v>
      </c>
      <c r="S23" s="11">
        <v>3421.18</v>
      </c>
      <c r="T23" s="11">
        <v>23646.57</v>
      </c>
      <c r="U23" s="101">
        <v>0</v>
      </c>
      <c r="V23" s="11">
        <v>3091.65</v>
      </c>
      <c r="W23" s="11">
        <v>1055.6600000000001</v>
      </c>
      <c r="X23" s="11">
        <v>5969.73</v>
      </c>
      <c r="Y23" s="11">
        <v>26346.9</v>
      </c>
      <c r="Z23" s="11">
        <v>0</v>
      </c>
      <c r="AA23" s="12">
        <f t="shared" si="2"/>
        <v>88366.610000000015</v>
      </c>
      <c r="AB23" s="11">
        <v>0</v>
      </c>
      <c r="AC23" s="11">
        <v>1407.15</v>
      </c>
      <c r="AD23" s="11">
        <v>2410.66</v>
      </c>
      <c r="AE23" s="11">
        <v>0</v>
      </c>
      <c r="AF23" s="11">
        <v>184.21</v>
      </c>
      <c r="AG23" s="11">
        <v>0</v>
      </c>
      <c r="AH23" s="13">
        <v>44945</v>
      </c>
      <c r="AI23" s="11">
        <v>0</v>
      </c>
      <c r="AJ23" s="11">
        <v>0</v>
      </c>
      <c r="AK23" s="11">
        <v>0</v>
      </c>
      <c r="AL23" s="11">
        <v>0</v>
      </c>
      <c r="AM23" s="12">
        <f t="shared" si="12"/>
        <v>-48947.02</v>
      </c>
      <c r="AN23" s="75">
        <f t="shared" si="52"/>
        <v>39419.590000000018</v>
      </c>
      <c r="AO23" s="86">
        <v>0</v>
      </c>
      <c r="AP23" s="79">
        <v>0</v>
      </c>
      <c r="AQ23" s="87"/>
      <c r="AR23" s="20">
        <f t="shared" si="53"/>
        <v>4002.02</v>
      </c>
      <c r="AS23" s="20">
        <v>750</v>
      </c>
      <c r="AT23" s="20">
        <v>0</v>
      </c>
      <c r="AU23" s="20">
        <f t="shared" si="54"/>
        <v>4752.0200000000004</v>
      </c>
      <c r="AV23" s="20"/>
      <c r="AW23" s="51">
        <f t="shared" si="5"/>
        <v>0</v>
      </c>
      <c r="AX23" s="51">
        <f t="shared" si="14"/>
        <v>0</v>
      </c>
      <c r="AY23" s="51">
        <f t="shared" si="15"/>
        <v>0</v>
      </c>
      <c r="AZ23" s="51">
        <f t="shared" si="16"/>
        <v>0</v>
      </c>
      <c r="BA23" s="51">
        <f t="shared" si="17"/>
        <v>0</v>
      </c>
      <c r="BB23" s="51">
        <f t="shared" si="18"/>
        <v>0</v>
      </c>
      <c r="BC23" s="51">
        <f t="shared" si="19"/>
        <v>1</v>
      </c>
      <c r="BD23" s="51">
        <f t="shared" si="20"/>
        <v>0</v>
      </c>
      <c r="BE23" s="51">
        <f t="shared" si="21"/>
        <v>0</v>
      </c>
      <c r="BF23" s="51">
        <f t="shared" si="22"/>
        <v>0</v>
      </c>
      <c r="BG23" s="51">
        <f t="shared" si="23"/>
        <v>0</v>
      </c>
      <c r="BH23" s="51">
        <f t="shared" si="24"/>
        <v>0</v>
      </c>
      <c r="BI23" s="51">
        <f t="shared" si="25"/>
        <v>0</v>
      </c>
      <c r="BJ23" s="51">
        <f t="shared" si="26"/>
        <v>0</v>
      </c>
      <c r="BK23" s="51">
        <f t="shared" si="27"/>
        <v>0</v>
      </c>
      <c r="BL23" s="51">
        <f t="shared" si="28"/>
        <v>0</v>
      </c>
      <c r="BM23" s="51">
        <f t="shared" si="29"/>
        <v>0</v>
      </c>
      <c r="BN23" s="51">
        <f t="shared" si="30"/>
        <v>0</v>
      </c>
      <c r="BO23" s="51">
        <f t="shared" si="31"/>
        <v>4752.0200000000004</v>
      </c>
      <c r="BP23" s="51">
        <f t="shared" si="32"/>
        <v>0</v>
      </c>
      <c r="BQ23" s="51">
        <f t="shared" si="33"/>
        <v>0</v>
      </c>
      <c r="BR23" s="51">
        <f t="shared" si="34"/>
        <v>0</v>
      </c>
      <c r="BS23" s="51">
        <f t="shared" si="35"/>
        <v>0</v>
      </c>
      <c r="BT23" s="51">
        <f t="shared" si="36"/>
        <v>0</v>
      </c>
      <c r="BU23" s="20">
        <f t="shared" ref="BU23:BU32" si="59">AVERAGE(AU21:AU23)</f>
        <v>3248.53</v>
      </c>
      <c r="BV23" s="20"/>
      <c r="BW23" s="20">
        <f t="shared" si="55"/>
        <v>57024.240000000005</v>
      </c>
      <c r="BX23" s="20">
        <f t="shared" ref="BX23:BX31" si="60">BU23*12</f>
        <v>38982.36</v>
      </c>
      <c r="BY23" s="20"/>
      <c r="BZ23" s="21">
        <f t="shared" si="56"/>
        <v>48003.3</v>
      </c>
      <c r="CA23" s="19">
        <f t="shared" si="47"/>
        <v>1200082.5</v>
      </c>
      <c r="CB23" s="20">
        <f t="shared" si="43"/>
        <v>879940.66666666663</v>
      </c>
      <c r="CC23" s="20"/>
      <c r="CD23" s="20">
        <f t="shared" si="48"/>
        <v>0</v>
      </c>
      <c r="CE23" s="20">
        <f t="shared" si="49"/>
        <v>1400000</v>
      </c>
      <c r="CF23" s="20">
        <f t="shared" si="37"/>
        <v>64807.44</v>
      </c>
      <c r="CG23" s="20">
        <f t="shared" si="38"/>
        <v>2592.2976000000003</v>
      </c>
      <c r="CH23" s="20">
        <f t="shared" si="39"/>
        <v>216.02480000000003</v>
      </c>
      <c r="CI23" s="20">
        <f t="shared" si="45"/>
        <v>62848.866666666669</v>
      </c>
      <c r="CJ23" s="24">
        <f t="shared" si="57"/>
        <v>7.3649783962706578E-2</v>
      </c>
      <c r="CK23" s="24">
        <f t="shared" si="58"/>
        <v>2.5003416285814019E-2</v>
      </c>
      <c r="CL23" s="24">
        <f>(CF23-CF20)/CF20</f>
        <v>0.10695870851879447</v>
      </c>
      <c r="CM23" s="25"/>
      <c r="CN23" s="17"/>
      <c r="CO23" s="17"/>
      <c r="CP23" s="17"/>
      <c r="CQ23" s="17"/>
      <c r="CR23" s="17"/>
      <c r="CS23" s="17"/>
      <c r="CT23" s="17"/>
      <c r="CU23" s="17"/>
      <c r="CV23" s="17"/>
      <c r="CW23" s="30">
        <v>0</v>
      </c>
      <c r="CX23" s="17"/>
    </row>
    <row r="24" spans="1:108" ht="15.75" thickBot="1" x14ac:dyDescent="0.3">
      <c r="A24" s="5">
        <v>25</v>
      </c>
      <c r="B24" s="5">
        <v>23</v>
      </c>
      <c r="C24" s="1">
        <v>42948</v>
      </c>
      <c r="D24" s="4">
        <v>42948</v>
      </c>
      <c r="E24" s="30">
        <f t="shared" si="10"/>
        <v>42948</v>
      </c>
      <c r="F24" s="30">
        <f t="shared" si="50"/>
        <v>0</v>
      </c>
      <c r="G24" s="30">
        <f t="shared" si="51"/>
        <v>0</v>
      </c>
      <c r="H24" s="30"/>
      <c r="I24" s="10">
        <v>9454.6</v>
      </c>
      <c r="J24" s="11">
        <v>2354</v>
      </c>
      <c r="K24" s="11">
        <v>8011.98</v>
      </c>
      <c r="L24" s="11">
        <v>0</v>
      </c>
      <c r="M24" s="13">
        <f>(M26-M23)/3+M23</f>
        <v>639.14333333333332</v>
      </c>
      <c r="N24" s="11">
        <v>1829.57</v>
      </c>
      <c r="O24" s="11">
        <v>0</v>
      </c>
      <c r="P24" s="13">
        <f>(P25+P23)/2</f>
        <v>2215.4499999999998</v>
      </c>
      <c r="Q24" s="11">
        <v>2170.19</v>
      </c>
      <c r="R24" s="11">
        <v>0</v>
      </c>
      <c r="S24" s="13">
        <f>(S26-S23)/3+S23</f>
        <v>3474.2466666666664</v>
      </c>
      <c r="T24" s="13">
        <f>(T26-T23)/3+T23</f>
        <v>25162.603333333333</v>
      </c>
      <c r="U24" s="101">
        <v>0</v>
      </c>
      <c r="V24" s="11">
        <v>3211.94</v>
      </c>
      <c r="W24" s="11">
        <v>1075.1099999999999</v>
      </c>
      <c r="X24" s="11">
        <v>6097.6</v>
      </c>
      <c r="Y24" s="11">
        <v>26919.06</v>
      </c>
      <c r="Z24" s="11">
        <v>0</v>
      </c>
      <c r="AA24" s="12">
        <f t="shared" si="2"/>
        <v>92615.493333333332</v>
      </c>
      <c r="AB24" s="11">
        <v>117.47</v>
      </c>
      <c r="AC24" s="11">
        <v>1221.72</v>
      </c>
      <c r="AD24" s="11">
        <v>3203.5</v>
      </c>
      <c r="AE24" s="11">
        <v>0</v>
      </c>
      <c r="AF24" s="11">
        <v>113.94</v>
      </c>
      <c r="AG24" s="11">
        <v>0</v>
      </c>
      <c r="AH24" s="13">
        <v>44945</v>
      </c>
      <c r="AI24" s="11">
        <v>18000</v>
      </c>
      <c r="AJ24" s="11">
        <v>0</v>
      </c>
      <c r="AK24" s="11">
        <v>0</v>
      </c>
      <c r="AL24" s="11">
        <v>0</v>
      </c>
      <c r="AM24" s="12">
        <f t="shared" si="12"/>
        <v>-67601.63</v>
      </c>
      <c r="AN24" s="75">
        <f t="shared" si="52"/>
        <v>25013.863333333327</v>
      </c>
      <c r="AO24" s="86">
        <v>0</v>
      </c>
      <c r="AP24" s="79">
        <v>0</v>
      </c>
      <c r="AQ24" s="87"/>
      <c r="AR24" s="20">
        <f t="shared" si="53"/>
        <v>4656.63</v>
      </c>
      <c r="AS24" s="20">
        <v>750</v>
      </c>
      <c r="AT24" s="20">
        <v>0</v>
      </c>
      <c r="AU24" s="20">
        <f t="shared" si="54"/>
        <v>5406.63</v>
      </c>
      <c r="AV24" s="20"/>
      <c r="AW24" s="51">
        <f t="shared" si="5"/>
        <v>0</v>
      </c>
      <c r="AX24" s="51">
        <f t="shared" si="14"/>
        <v>0</v>
      </c>
      <c r="AY24" s="51">
        <f t="shared" si="15"/>
        <v>0</v>
      </c>
      <c r="AZ24" s="51">
        <f t="shared" si="16"/>
        <v>0</v>
      </c>
      <c r="BA24" s="51">
        <f t="shared" si="17"/>
        <v>0</v>
      </c>
      <c r="BB24" s="51">
        <f t="shared" si="18"/>
        <v>0</v>
      </c>
      <c r="BC24" s="51">
        <f t="shared" si="19"/>
        <v>0</v>
      </c>
      <c r="BD24" s="51">
        <f t="shared" si="20"/>
        <v>1</v>
      </c>
      <c r="BE24" s="51">
        <f t="shared" si="21"/>
        <v>0</v>
      </c>
      <c r="BF24" s="51">
        <f t="shared" si="22"/>
        <v>0</v>
      </c>
      <c r="BG24" s="51">
        <f t="shared" si="23"/>
        <v>0</v>
      </c>
      <c r="BH24" s="51">
        <f t="shared" si="24"/>
        <v>0</v>
      </c>
      <c r="BI24" s="51">
        <f t="shared" si="25"/>
        <v>0</v>
      </c>
      <c r="BJ24" s="51">
        <f t="shared" si="26"/>
        <v>0</v>
      </c>
      <c r="BK24" s="51">
        <f t="shared" si="27"/>
        <v>0</v>
      </c>
      <c r="BL24" s="51">
        <f t="shared" si="28"/>
        <v>0</v>
      </c>
      <c r="BM24" s="51">
        <f t="shared" si="29"/>
        <v>0</v>
      </c>
      <c r="BN24" s="51">
        <f t="shared" si="30"/>
        <v>0</v>
      </c>
      <c r="BO24" s="51">
        <f t="shared" si="31"/>
        <v>0</v>
      </c>
      <c r="BP24" s="51">
        <f t="shared" si="32"/>
        <v>5406.63</v>
      </c>
      <c r="BQ24" s="51">
        <f t="shared" si="33"/>
        <v>0</v>
      </c>
      <c r="BR24" s="51">
        <f t="shared" si="34"/>
        <v>0</v>
      </c>
      <c r="BS24" s="51">
        <f t="shared" si="35"/>
        <v>0</v>
      </c>
      <c r="BT24" s="51">
        <f t="shared" si="36"/>
        <v>0</v>
      </c>
      <c r="BU24" s="20">
        <f t="shared" si="59"/>
        <v>4392.753333333334</v>
      </c>
      <c r="BV24" s="20"/>
      <c r="BW24" s="20">
        <f t="shared" si="55"/>
        <v>64879.56</v>
      </c>
      <c r="BX24" s="20">
        <f t="shared" si="60"/>
        <v>52713.040000000008</v>
      </c>
      <c r="BY24" s="20"/>
      <c r="BZ24" s="21">
        <f t="shared" si="56"/>
        <v>58796.3</v>
      </c>
      <c r="CA24" s="19">
        <f t="shared" si="47"/>
        <v>1469907.5</v>
      </c>
      <c r="CB24" s="20">
        <f t="shared" si="43"/>
        <v>1172432.1666666667</v>
      </c>
      <c r="CC24" s="20"/>
      <c r="CD24" s="20">
        <f t="shared" si="48"/>
        <v>0</v>
      </c>
      <c r="CE24" s="20">
        <f t="shared" si="49"/>
        <v>1400000</v>
      </c>
      <c r="CF24" s="20">
        <f t="shared" si="37"/>
        <v>67114.259999999995</v>
      </c>
      <c r="CG24" s="20">
        <f t="shared" si="38"/>
        <v>2684.5704000000001</v>
      </c>
      <c r="CH24" s="20">
        <f t="shared" si="39"/>
        <v>223.71420000000001</v>
      </c>
      <c r="CI24" s="20">
        <f t="shared" si="45"/>
        <v>65049.420000000006</v>
      </c>
      <c r="CJ24" s="24">
        <f t="shared" si="57"/>
        <v>5.7243618785052658E-2</v>
      </c>
      <c r="CK24" s="24">
        <f t="shared" si="58"/>
        <v>3.5594987242205403E-2</v>
      </c>
      <c r="CL24" s="24">
        <f t="shared" ref="CL24:CL31" si="61">(CF24-CF21)/CF21</f>
        <v>0.10909562636541818</v>
      </c>
      <c r="CM24" s="25"/>
      <c r="CN24" s="17"/>
      <c r="CO24" s="17"/>
      <c r="CP24" s="17"/>
      <c r="CQ24" s="17"/>
      <c r="CR24" s="17"/>
      <c r="CS24" s="17"/>
      <c r="CT24" s="17"/>
      <c r="CU24" s="17"/>
      <c r="CV24" s="17"/>
      <c r="CW24" s="30">
        <v>0</v>
      </c>
      <c r="CX24" s="17"/>
      <c r="CZ24" t="s">
        <v>51</v>
      </c>
      <c r="DA24" s="55">
        <f>DA19*DA25^3 + DA20*DA25^2 + DA21*DA25 + DA22</f>
        <v>148667.28013528849</v>
      </c>
      <c r="DC24">
        <f>(DC19*LN(DC25)) + DC20</f>
        <v>1444234.9950067997</v>
      </c>
    </row>
    <row r="25" spans="1:108" ht="15.75" thickBot="1" x14ac:dyDescent="0.3">
      <c r="A25" s="5">
        <v>25</v>
      </c>
      <c r="B25" s="5">
        <v>23</v>
      </c>
      <c r="C25" s="1">
        <v>42979</v>
      </c>
      <c r="D25" s="4">
        <v>42979</v>
      </c>
      <c r="E25" s="30">
        <f t="shared" si="10"/>
        <v>42979</v>
      </c>
      <c r="F25" s="30">
        <f t="shared" si="50"/>
        <v>0</v>
      </c>
      <c r="G25" s="30">
        <f t="shared" si="51"/>
        <v>0</v>
      </c>
      <c r="H25" s="30"/>
      <c r="I25" s="10">
        <v>10354.51</v>
      </c>
      <c r="J25" s="11">
        <v>2936.01</v>
      </c>
      <c r="K25" s="11">
        <v>7866.65</v>
      </c>
      <c r="L25" s="11">
        <v>0</v>
      </c>
      <c r="M25" s="13">
        <f>(M26-M23)/3*2+M23</f>
        <v>639.14666666666665</v>
      </c>
      <c r="N25" s="11">
        <v>1835.52</v>
      </c>
      <c r="O25" s="11">
        <v>0</v>
      </c>
      <c r="P25" s="11">
        <v>2229.42</v>
      </c>
      <c r="Q25" s="11">
        <v>8280.17</v>
      </c>
      <c r="R25" s="11">
        <v>0</v>
      </c>
      <c r="S25" s="13">
        <f>(S26-S23)/3*2+S23</f>
        <v>3527.3133333333335</v>
      </c>
      <c r="T25" s="13">
        <f>(T26-T23)/3*2+T23</f>
        <v>26678.636666666665</v>
      </c>
      <c r="U25" s="101">
        <v>0</v>
      </c>
      <c r="V25" s="11">
        <v>3192.23</v>
      </c>
      <c r="W25" s="11">
        <v>1260.42</v>
      </c>
      <c r="X25" s="11">
        <v>0</v>
      </c>
      <c r="Y25" s="11">
        <v>26825.77</v>
      </c>
      <c r="Z25" s="11">
        <v>0</v>
      </c>
      <c r="AA25" s="12">
        <f t="shared" si="2"/>
        <v>95625.796666666662</v>
      </c>
      <c r="AB25" s="11">
        <v>108.68</v>
      </c>
      <c r="AC25" s="11">
        <v>983.27</v>
      </c>
      <c r="AD25" s="11">
        <v>3775.31</v>
      </c>
      <c r="AE25" s="11">
        <v>0</v>
      </c>
      <c r="AF25" s="11">
        <v>337.9</v>
      </c>
      <c r="AG25" s="11">
        <v>0</v>
      </c>
      <c r="AH25" s="13">
        <v>44945</v>
      </c>
      <c r="AI25" s="13">
        <f>(AI$24+AI$31)/2</f>
        <v>16322.865</v>
      </c>
      <c r="AJ25" s="11">
        <v>0</v>
      </c>
      <c r="AK25" s="11">
        <v>0</v>
      </c>
      <c r="AL25" s="11">
        <v>0</v>
      </c>
      <c r="AM25" s="12">
        <f t="shared" si="12"/>
        <v>-66473.025000000009</v>
      </c>
      <c r="AN25" s="75">
        <f t="shared" si="52"/>
        <v>29152.771666666653</v>
      </c>
      <c r="AO25" s="86">
        <v>0</v>
      </c>
      <c r="AP25" s="79">
        <v>0</v>
      </c>
      <c r="AQ25" s="87"/>
      <c r="AR25" s="20">
        <f t="shared" si="53"/>
        <v>5205.16</v>
      </c>
      <c r="AS25" s="20">
        <v>750</v>
      </c>
      <c r="AT25" s="20">
        <v>0</v>
      </c>
      <c r="AU25" s="20">
        <f t="shared" si="54"/>
        <v>5955.16</v>
      </c>
      <c r="AV25" s="20"/>
      <c r="AW25" s="51">
        <f t="shared" si="5"/>
        <v>0</v>
      </c>
      <c r="AX25" s="51">
        <f t="shared" si="14"/>
        <v>0</v>
      </c>
      <c r="AY25" s="51">
        <f t="shared" si="15"/>
        <v>0</v>
      </c>
      <c r="AZ25" s="51">
        <f t="shared" si="16"/>
        <v>0</v>
      </c>
      <c r="BA25" s="51">
        <f t="shared" si="17"/>
        <v>0</v>
      </c>
      <c r="BB25" s="51">
        <f t="shared" si="18"/>
        <v>0</v>
      </c>
      <c r="BC25" s="51">
        <f t="shared" si="19"/>
        <v>0</v>
      </c>
      <c r="BD25" s="51">
        <f t="shared" si="20"/>
        <v>0</v>
      </c>
      <c r="BE25" s="51">
        <f t="shared" si="21"/>
        <v>1</v>
      </c>
      <c r="BF25" s="51">
        <f t="shared" si="22"/>
        <v>0</v>
      </c>
      <c r="BG25" s="51">
        <f t="shared" si="23"/>
        <v>0</v>
      </c>
      <c r="BH25" s="51">
        <f t="shared" si="24"/>
        <v>0</v>
      </c>
      <c r="BI25" s="51">
        <f t="shared" si="25"/>
        <v>0</v>
      </c>
      <c r="BJ25" s="51">
        <f t="shared" si="26"/>
        <v>0</v>
      </c>
      <c r="BK25" s="51">
        <f t="shared" si="27"/>
        <v>0</v>
      </c>
      <c r="BL25" s="51">
        <f t="shared" si="28"/>
        <v>0</v>
      </c>
      <c r="BM25" s="51">
        <f t="shared" si="29"/>
        <v>0</v>
      </c>
      <c r="BN25" s="51">
        <f t="shared" si="30"/>
        <v>0</v>
      </c>
      <c r="BO25" s="51">
        <f t="shared" si="31"/>
        <v>0</v>
      </c>
      <c r="BP25" s="51">
        <f t="shared" si="32"/>
        <v>0</v>
      </c>
      <c r="BQ25" s="51">
        <f t="shared" si="33"/>
        <v>5955.16</v>
      </c>
      <c r="BR25" s="51">
        <f t="shared" si="34"/>
        <v>0</v>
      </c>
      <c r="BS25" s="51">
        <f t="shared" si="35"/>
        <v>0</v>
      </c>
      <c r="BT25" s="51">
        <f t="shared" si="36"/>
        <v>0</v>
      </c>
      <c r="BU25" s="20">
        <f t="shared" si="59"/>
        <v>5371.27</v>
      </c>
      <c r="BV25" s="20">
        <f t="shared" ref="BV25:BV31" si="62">AVERAGE(AU14:AU25)</f>
        <v>3116.2175000000002</v>
      </c>
      <c r="BW25" s="20">
        <f t="shared" si="55"/>
        <v>71461.919999999998</v>
      </c>
      <c r="BX25" s="20">
        <f t="shared" si="60"/>
        <v>64455.240000000005</v>
      </c>
      <c r="BY25" s="20">
        <f t="shared" ref="BY25:BY30" si="63">BV25*12</f>
        <v>37394.61</v>
      </c>
      <c r="BZ25" s="21">
        <f t="shared" si="56"/>
        <v>57770.590000000004</v>
      </c>
      <c r="CA25" s="19">
        <f t="shared" si="47"/>
        <v>1444264.75</v>
      </c>
      <c r="CB25" s="20">
        <f t="shared" si="43"/>
        <v>1371418.25</v>
      </c>
      <c r="CC25" s="20">
        <f t="shared" ref="CC25:CC31" si="64">AVERAGE(CA14:CA25)</f>
        <v>867499.9375</v>
      </c>
      <c r="CD25" s="20">
        <f t="shared" si="48"/>
        <v>0</v>
      </c>
      <c r="CE25" s="20">
        <f t="shared" si="49"/>
        <v>1400000</v>
      </c>
      <c r="CF25" s="20">
        <f t="shared" si="37"/>
        <v>68801.73</v>
      </c>
      <c r="CG25" s="20">
        <f t="shared" si="38"/>
        <v>2752.0691999999999</v>
      </c>
      <c r="CH25" s="20">
        <f t="shared" si="39"/>
        <v>229.3391</v>
      </c>
      <c r="CI25" s="20">
        <f t="shared" si="45"/>
        <v>66907.81</v>
      </c>
      <c r="CJ25" s="24">
        <f t="shared" si="57"/>
        <v>5.0168305693758991E-2</v>
      </c>
      <c r="CK25" s="24">
        <f t="shared" si="58"/>
        <v>2.5143240795622291E-2</v>
      </c>
      <c r="CL25" s="24">
        <f t="shared" si="61"/>
        <v>8.8177658249950511E-2</v>
      </c>
      <c r="CM25" s="25"/>
      <c r="CN25" s="17"/>
      <c r="CO25" s="17"/>
      <c r="CP25" s="17"/>
      <c r="CQ25" s="17"/>
      <c r="CR25" s="17"/>
      <c r="CS25" s="17"/>
      <c r="CT25" s="17"/>
      <c r="CU25" s="17"/>
      <c r="CV25" s="17"/>
      <c r="CW25" s="30">
        <v>0</v>
      </c>
      <c r="CX25" s="17"/>
      <c r="CZ25" t="s">
        <v>52</v>
      </c>
      <c r="DA25" s="1">
        <v>45276.545011461123</v>
      </c>
      <c r="DC25" s="1">
        <v>69702.305998879732</v>
      </c>
    </row>
    <row r="26" spans="1:108" ht="15.75" thickBot="1" x14ac:dyDescent="0.3">
      <c r="A26" s="5">
        <v>25</v>
      </c>
      <c r="B26" s="5">
        <f>B14+1</f>
        <v>24</v>
      </c>
      <c r="C26" s="1">
        <v>43009</v>
      </c>
      <c r="D26" s="4">
        <v>43009</v>
      </c>
      <c r="E26" s="30">
        <f t="shared" si="10"/>
        <v>43009</v>
      </c>
      <c r="F26" s="30">
        <f t="shared" si="50"/>
        <v>0</v>
      </c>
      <c r="G26" s="30">
        <f t="shared" si="51"/>
        <v>0</v>
      </c>
      <c r="H26" s="30"/>
      <c r="I26" s="10">
        <v>12168.98</v>
      </c>
      <c r="J26" s="11">
        <v>1649.36</v>
      </c>
      <c r="K26" s="11">
        <v>4787.99</v>
      </c>
      <c r="L26" s="11">
        <v>0</v>
      </c>
      <c r="M26" s="11">
        <v>639.15</v>
      </c>
      <c r="N26" s="11">
        <v>2157.58</v>
      </c>
      <c r="O26" s="11">
        <v>0</v>
      </c>
      <c r="P26" s="11">
        <v>2258.31</v>
      </c>
      <c r="Q26" s="11">
        <v>8357.69</v>
      </c>
      <c r="R26" s="11">
        <v>0</v>
      </c>
      <c r="S26" s="11">
        <v>3580.38</v>
      </c>
      <c r="T26" s="11">
        <v>28194.67</v>
      </c>
      <c r="U26" s="101">
        <v>0</v>
      </c>
      <c r="V26" s="11">
        <v>3160.29</v>
      </c>
      <c r="W26" s="11">
        <v>1454.47</v>
      </c>
      <c r="X26" s="11">
        <v>0</v>
      </c>
      <c r="Y26" s="11">
        <v>27819.32</v>
      </c>
      <c r="Z26" s="11">
        <v>0</v>
      </c>
      <c r="AA26" s="12">
        <f t="shared" si="2"/>
        <v>96228.19</v>
      </c>
      <c r="AB26" s="11">
        <v>56.17</v>
      </c>
      <c r="AC26" s="11">
        <v>565.94000000000005</v>
      </c>
      <c r="AD26" s="11">
        <v>4184.07</v>
      </c>
      <c r="AE26" s="11">
        <v>0</v>
      </c>
      <c r="AF26" s="11">
        <v>321.88</v>
      </c>
      <c r="AG26" s="11">
        <v>0</v>
      </c>
      <c r="AH26" s="13">
        <v>44945</v>
      </c>
      <c r="AI26" s="13">
        <f t="shared" ref="AI26:AI28" si="65">(AI$24+AI$30)/2</f>
        <v>16921.5</v>
      </c>
      <c r="AJ26" s="11">
        <v>0</v>
      </c>
      <c r="AK26" s="11">
        <v>0</v>
      </c>
      <c r="AL26" s="11">
        <v>0</v>
      </c>
      <c r="AM26" s="12">
        <f t="shared" si="12"/>
        <v>-66994.559999999998</v>
      </c>
      <c r="AN26" s="75">
        <f t="shared" si="52"/>
        <v>29233.630000000005</v>
      </c>
      <c r="AO26" s="86">
        <v>0</v>
      </c>
      <c r="AP26" s="79">
        <v>0</v>
      </c>
      <c r="AQ26" s="87"/>
      <c r="AR26" s="20">
        <f t="shared" si="53"/>
        <v>5128.0599999999995</v>
      </c>
      <c r="AS26" s="20">
        <v>750</v>
      </c>
      <c r="AT26" s="20">
        <v>0</v>
      </c>
      <c r="AU26" s="20">
        <f t="shared" si="54"/>
        <v>5878.0599999999995</v>
      </c>
      <c r="AV26" s="20">
        <f t="shared" ref="AV26:AV29" si="66">AU14</f>
        <v>3468.83</v>
      </c>
      <c r="AW26" s="51">
        <f t="shared" si="5"/>
        <v>0</v>
      </c>
      <c r="AX26" s="51">
        <f t="shared" si="14"/>
        <v>0</v>
      </c>
      <c r="AY26" s="51">
        <f t="shared" si="15"/>
        <v>0</v>
      </c>
      <c r="AZ26" s="51">
        <f t="shared" si="16"/>
        <v>0</v>
      </c>
      <c r="BA26" s="51">
        <f t="shared" si="17"/>
        <v>0</v>
      </c>
      <c r="BB26" s="51">
        <f t="shared" si="18"/>
        <v>0</v>
      </c>
      <c r="BC26" s="51">
        <f t="shared" si="19"/>
        <v>0</v>
      </c>
      <c r="BD26" s="51">
        <f t="shared" si="20"/>
        <v>0</v>
      </c>
      <c r="BE26" s="51">
        <f t="shared" si="21"/>
        <v>0</v>
      </c>
      <c r="BF26" s="51">
        <f t="shared" si="22"/>
        <v>1</v>
      </c>
      <c r="BG26" s="51">
        <f t="shared" si="23"/>
        <v>0</v>
      </c>
      <c r="BH26" s="51">
        <f t="shared" si="24"/>
        <v>0</v>
      </c>
      <c r="BI26" s="51">
        <f t="shared" si="25"/>
        <v>0</v>
      </c>
      <c r="BJ26" s="51">
        <f t="shared" si="26"/>
        <v>0</v>
      </c>
      <c r="BK26" s="51">
        <f t="shared" si="27"/>
        <v>0</v>
      </c>
      <c r="BL26" s="51">
        <f t="shared" si="28"/>
        <v>0</v>
      </c>
      <c r="BM26" s="51">
        <f t="shared" si="29"/>
        <v>0</v>
      </c>
      <c r="BN26" s="51">
        <f t="shared" si="30"/>
        <v>0</v>
      </c>
      <c r="BO26" s="51">
        <f t="shared" si="31"/>
        <v>0</v>
      </c>
      <c r="BP26" s="51">
        <f t="shared" si="32"/>
        <v>0</v>
      </c>
      <c r="BQ26" s="51">
        <f t="shared" si="33"/>
        <v>0</v>
      </c>
      <c r="BR26" s="51">
        <f t="shared" si="34"/>
        <v>5878.0599999999995</v>
      </c>
      <c r="BS26" s="51">
        <f t="shared" si="35"/>
        <v>0</v>
      </c>
      <c r="BT26" s="51">
        <f t="shared" si="36"/>
        <v>0</v>
      </c>
      <c r="BU26" s="20">
        <f t="shared" si="59"/>
        <v>5746.6166666666659</v>
      </c>
      <c r="BV26" s="20">
        <f t="shared" si="62"/>
        <v>3316.9866666666662</v>
      </c>
      <c r="BW26" s="20">
        <f t="shared" si="55"/>
        <v>70536.72</v>
      </c>
      <c r="BX26" s="20">
        <f t="shared" si="60"/>
        <v>68959.399999999994</v>
      </c>
      <c r="BY26" s="20">
        <f t="shared" si="63"/>
        <v>39803.839999999997</v>
      </c>
      <c r="BZ26" s="21">
        <f t="shared" si="56"/>
        <v>59766.653333333328</v>
      </c>
      <c r="CA26" s="19">
        <f t="shared" si="47"/>
        <v>1494166.3333333333</v>
      </c>
      <c r="CB26" s="20">
        <f t="shared" ref="CB26:CB32" si="67">AVERAGE(CA24:CA26)</f>
        <v>1469446.1944444443</v>
      </c>
      <c r="CC26" s="20">
        <f t="shared" si="64"/>
        <v>905293.04861111112</v>
      </c>
      <c r="CD26" s="20">
        <f t="shared" si="48"/>
        <v>0</v>
      </c>
      <c r="CE26" s="20">
        <f t="shared" si="49"/>
        <v>1400000</v>
      </c>
      <c r="CF26" s="20">
        <f t="shared" si="37"/>
        <v>71664.84</v>
      </c>
      <c r="CG26" s="20">
        <f t="shared" si="38"/>
        <v>2866.5935999999997</v>
      </c>
      <c r="CH26" s="20">
        <f t="shared" si="39"/>
        <v>238.88279999999997</v>
      </c>
      <c r="CI26" s="20">
        <f t="shared" si="45"/>
        <v>69193.61</v>
      </c>
      <c r="CJ26" s="24">
        <f t="shared" si="57"/>
        <v>4.8769965359020465E-2</v>
      </c>
      <c r="CK26" s="24">
        <f t="shared" si="58"/>
        <v>4.1613924533583688E-2</v>
      </c>
      <c r="CL26" s="24">
        <f t="shared" si="61"/>
        <v>0.10581192529746575</v>
      </c>
      <c r="CM26" s="25">
        <f t="shared" ref="CM26:CM31" si="68">(CF26-CF14)/CF14</f>
        <v>0.38113625571226833</v>
      </c>
      <c r="CN26" s="17"/>
      <c r="CO26" s="17"/>
      <c r="CP26" s="17"/>
      <c r="CQ26" s="17"/>
      <c r="CR26" s="17"/>
      <c r="CS26" s="17"/>
      <c r="CT26" s="17"/>
      <c r="CU26" s="17"/>
      <c r="CV26" s="17"/>
      <c r="CW26" s="30">
        <v>0</v>
      </c>
      <c r="CX26" s="17"/>
    </row>
    <row r="27" spans="1:108" ht="15.75" thickBot="1" x14ac:dyDescent="0.3">
      <c r="A27" s="5">
        <v>25</v>
      </c>
      <c r="B27" s="5">
        <f t="shared" ref="B27:B90" si="69">B15+1</f>
        <v>24</v>
      </c>
      <c r="C27" s="1">
        <v>43040</v>
      </c>
      <c r="D27" s="4">
        <v>43040</v>
      </c>
      <c r="E27" s="30">
        <f t="shared" si="10"/>
        <v>43040</v>
      </c>
      <c r="F27" s="30">
        <f t="shared" si="50"/>
        <v>0</v>
      </c>
      <c r="G27" s="30">
        <f t="shared" si="51"/>
        <v>0</v>
      </c>
      <c r="H27" s="30"/>
      <c r="I27" s="10">
        <v>7885.76</v>
      </c>
      <c r="J27" s="11">
        <v>5033.6099999999997</v>
      </c>
      <c r="K27" s="11">
        <v>4337.08</v>
      </c>
      <c r="L27" s="11">
        <v>1000</v>
      </c>
      <c r="M27" s="13">
        <f>(M29-M26)/3+M26</f>
        <v>639.15666666666664</v>
      </c>
      <c r="N27" s="11">
        <v>2684.96</v>
      </c>
      <c r="O27" s="11">
        <v>0</v>
      </c>
      <c r="P27" s="11">
        <v>0</v>
      </c>
      <c r="Q27" s="11">
        <v>8504.2900000000009</v>
      </c>
      <c r="R27" s="11">
        <v>0</v>
      </c>
      <c r="S27" s="13">
        <f>(S29-S26)/3+S26</f>
        <v>3642.4133333333334</v>
      </c>
      <c r="T27" s="13">
        <f>(T29-T26)/3+T26</f>
        <v>29673.863333333331</v>
      </c>
      <c r="U27" s="101">
        <v>0</v>
      </c>
      <c r="V27" s="11">
        <v>3160.29</v>
      </c>
      <c r="W27" s="11">
        <v>1600.61</v>
      </c>
      <c r="X27" s="11">
        <v>0</v>
      </c>
      <c r="Y27" s="11">
        <v>28419.01</v>
      </c>
      <c r="Z27" s="11">
        <v>0</v>
      </c>
      <c r="AA27" s="12">
        <f t="shared" si="2"/>
        <v>96581.04333333332</v>
      </c>
      <c r="AB27" s="11">
        <v>0</v>
      </c>
      <c r="AC27" s="11">
        <v>1723.47</v>
      </c>
      <c r="AD27" s="11">
        <v>2956.19</v>
      </c>
      <c r="AE27" s="11">
        <v>977.55</v>
      </c>
      <c r="AF27" s="11">
        <v>223.66</v>
      </c>
      <c r="AG27" s="11">
        <v>0</v>
      </c>
      <c r="AH27" s="13">
        <v>44945</v>
      </c>
      <c r="AI27" s="13">
        <f t="shared" si="65"/>
        <v>16921.5</v>
      </c>
      <c r="AJ27" s="11">
        <v>0</v>
      </c>
      <c r="AK27" s="11">
        <v>0</v>
      </c>
      <c r="AL27" s="11">
        <v>0</v>
      </c>
      <c r="AM27" s="12">
        <f t="shared" si="12"/>
        <v>-67747.37</v>
      </c>
      <c r="AN27" s="75">
        <f t="shared" si="52"/>
        <v>28833.673333333325</v>
      </c>
      <c r="AO27" s="86">
        <v>0</v>
      </c>
      <c r="AP27" s="79">
        <v>0</v>
      </c>
      <c r="AQ27" s="87"/>
      <c r="AR27" s="20">
        <f t="shared" si="53"/>
        <v>5880.87</v>
      </c>
      <c r="AS27" s="20">
        <v>750</v>
      </c>
      <c r="AT27" s="20">
        <v>0</v>
      </c>
      <c r="AU27" s="20">
        <f t="shared" si="54"/>
        <v>6630.87</v>
      </c>
      <c r="AV27" s="20">
        <f t="shared" si="66"/>
        <v>1387.22</v>
      </c>
      <c r="AW27" s="51">
        <f t="shared" si="5"/>
        <v>0</v>
      </c>
      <c r="AX27" s="51">
        <f t="shared" si="14"/>
        <v>0</v>
      </c>
      <c r="AY27" s="51">
        <f t="shared" si="15"/>
        <v>0</v>
      </c>
      <c r="AZ27" s="51">
        <f t="shared" si="16"/>
        <v>0</v>
      </c>
      <c r="BA27" s="51">
        <f t="shared" si="17"/>
        <v>0</v>
      </c>
      <c r="BB27" s="51">
        <f t="shared" si="18"/>
        <v>0</v>
      </c>
      <c r="BC27" s="51">
        <f t="shared" si="19"/>
        <v>0</v>
      </c>
      <c r="BD27" s="51">
        <f t="shared" si="20"/>
        <v>0</v>
      </c>
      <c r="BE27" s="51">
        <f t="shared" si="21"/>
        <v>0</v>
      </c>
      <c r="BF27" s="51">
        <f t="shared" si="22"/>
        <v>0</v>
      </c>
      <c r="BG27" s="51">
        <f t="shared" si="23"/>
        <v>1</v>
      </c>
      <c r="BH27" s="51">
        <f t="shared" si="24"/>
        <v>0</v>
      </c>
      <c r="BI27" s="51">
        <f t="shared" si="25"/>
        <v>0</v>
      </c>
      <c r="BJ27" s="51">
        <f t="shared" si="26"/>
        <v>0</v>
      </c>
      <c r="BK27" s="51">
        <f t="shared" si="27"/>
        <v>0</v>
      </c>
      <c r="BL27" s="51">
        <f t="shared" si="28"/>
        <v>0</v>
      </c>
      <c r="BM27" s="51">
        <f t="shared" si="29"/>
        <v>0</v>
      </c>
      <c r="BN27" s="51">
        <f t="shared" si="30"/>
        <v>0</v>
      </c>
      <c r="BO27" s="51">
        <f t="shared" si="31"/>
        <v>0</v>
      </c>
      <c r="BP27" s="51">
        <f t="shared" si="32"/>
        <v>0</v>
      </c>
      <c r="BQ27" s="51">
        <f t="shared" si="33"/>
        <v>0</v>
      </c>
      <c r="BR27" s="51">
        <f t="shared" si="34"/>
        <v>0</v>
      </c>
      <c r="BS27" s="51">
        <f t="shared" si="35"/>
        <v>6630.87</v>
      </c>
      <c r="BT27" s="51">
        <f t="shared" si="36"/>
        <v>0</v>
      </c>
      <c r="BU27" s="20">
        <f t="shared" si="59"/>
        <v>6154.6966666666667</v>
      </c>
      <c r="BV27" s="20">
        <f t="shared" si="62"/>
        <v>3753.9575000000004</v>
      </c>
      <c r="BW27" s="20">
        <f t="shared" si="55"/>
        <v>79570.44</v>
      </c>
      <c r="BX27" s="20">
        <f t="shared" si="60"/>
        <v>73856.36</v>
      </c>
      <c r="BY27" s="20">
        <f t="shared" si="63"/>
        <v>45047.490000000005</v>
      </c>
      <c r="BZ27" s="21">
        <f t="shared" si="56"/>
        <v>66158.096666666665</v>
      </c>
      <c r="CA27" s="19">
        <f t="shared" si="47"/>
        <v>1653952.4166666665</v>
      </c>
      <c r="CB27" s="20">
        <f t="shared" si="67"/>
        <v>1530794.5</v>
      </c>
      <c r="CC27" s="20">
        <f t="shared" si="64"/>
        <v>1008441.9166666666</v>
      </c>
      <c r="CD27" s="20">
        <f t="shared" si="48"/>
        <v>0</v>
      </c>
      <c r="CE27" s="20">
        <f t="shared" si="49"/>
        <v>1400000</v>
      </c>
      <c r="CF27" s="20">
        <f t="shared" si="37"/>
        <v>71840.186666666661</v>
      </c>
      <c r="CG27" s="20">
        <f t="shared" si="38"/>
        <v>2873.6074666666664</v>
      </c>
      <c r="CH27" s="20">
        <f t="shared" si="39"/>
        <v>239.46728888888887</v>
      </c>
      <c r="CI27" s="20">
        <f t="shared" si="45"/>
        <v>70768.918888888889</v>
      </c>
      <c r="CJ27" s="24">
        <f t="shared" si="57"/>
        <v>4.6930000510628081E-2</v>
      </c>
      <c r="CK27" s="24">
        <f t="shared" si="58"/>
        <v>2.4467600383488546E-3</v>
      </c>
      <c r="CL27" s="24">
        <f t="shared" si="61"/>
        <v>7.0416133123819988E-2</v>
      </c>
      <c r="CM27" s="25">
        <f t="shared" si="68"/>
        <v>0.38271452228851494</v>
      </c>
      <c r="CN27" s="17"/>
      <c r="CO27" s="17"/>
      <c r="CP27" s="17"/>
      <c r="CQ27" s="17"/>
      <c r="CR27" s="17"/>
      <c r="CS27" s="17"/>
      <c r="CT27" s="17"/>
      <c r="CU27" s="17"/>
      <c r="CV27" s="17"/>
      <c r="CW27" s="30">
        <v>0</v>
      </c>
      <c r="CX27" s="17"/>
      <c r="CY27" s="17"/>
      <c r="CZ27" s="17"/>
      <c r="DA27" s="17"/>
      <c r="DB27" s="17"/>
    </row>
    <row r="28" spans="1:108" ht="15.75" thickBot="1" x14ac:dyDescent="0.3">
      <c r="A28" s="5">
        <f>A16+1</f>
        <v>26</v>
      </c>
      <c r="B28" s="5">
        <f t="shared" si="69"/>
        <v>24</v>
      </c>
      <c r="C28" s="1">
        <v>43070</v>
      </c>
      <c r="D28" s="4">
        <v>43070</v>
      </c>
      <c r="E28" s="30">
        <f t="shared" si="10"/>
        <v>43070</v>
      </c>
      <c r="F28" s="30">
        <f t="shared" si="50"/>
        <v>0</v>
      </c>
      <c r="G28" s="30">
        <f t="shared" si="51"/>
        <v>0</v>
      </c>
      <c r="H28" s="30"/>
      <c r="I28" s="10">
        <v>5157.72</v>
      </c>
      <c r="J28" s="11">
        <v>5341.42</v>
      </c>
      <c r="K28" s="11">
        <v>3579.88</v>
      </c>
      <c r="L28" s="11">
        <v>4000.42</v>
      </c>
      <c r="M28" s="13">
        <f>(M29-M26)/3*2+M26</f>
        <v>639.1633333333333</v>
      </c>
      <c r="N28" s="11">
        <v>2703.16</v>
      </c>
      <c r="O28" s="11">
        <v>0</v>
      </c>
      <c r="P28" s="11">
        <v>0</v>
      </c>
      <c r="Q28" s="11">
        <v>8659.92</v>
      </c>
      <c r="R28" s="11">
        <v>2232.13</v>
      </c>
      <c r="S28" s="13">
        <f>(S29-S26)/3*2+S26</f>
        <v>3704.4466666666667</v>
      </c>
      <c r="T28" s="13">
        <f>(T29-T26)/3*2+T26</f>
        <v>31153.056666666667</v>
      </c>
      <c r="U28" s="101">
        <v>0</v>
      </c>
      <c r="V28" s="11">
        <v>3160.28</v>
      </c>
      <c r="W28" s="11">
        <v>1766.88</v>
      </c>
      <c r="X28" s="11">
        <v>0</v>
      </c>
      <c r="Y28" s="11">
        <v>28456.49</v>
      </c>
      <c r="Z28" s="11">
        <v>0</v>
      </c>
      <c r="AA28" s="12">
        <f t="shared" si="2"/>
        <v>100554.96666666667</v>
      </c>
      <c r="AB28" s="11">
        <v>19.329999999999998</v>
      </c>
      <c r="AC28" s="11">
        <v>1912.66</v>
      </c>
      <c r="AD28" s="11">
        <v>1876.97</v>
      </c>
      <c r="AE28" s="11">
        <v>635.15</v>
      </c>
      <c r="AF28" s="11">
        <v>240.23</v>
      </c>
      <c r="AG28" s="11">
        <v>0</v>
      </c>
      <c r="AH28" s="13">
        <v>44945</v>
      </c>
      <c r="AI28" s="13">
        <f t="shared" si="65"/>
        <v>16921.5</v>
      </c>
      <c r="AJ28" s="11">
        <v>0</v>
      </c>
      <c r="AK28" s="11">
        <v>0</v>
      </c>
      <c r="AL28" s="11">
        <v>0</v>
      </c>
      <c r="AM28" s="12">
        <f t="shared" si="12"/>
        <v>-66550.84</v>
      </c>
      <c r="AN28" s="75">
        <f t="shared" si="52"/>
        <v>34004.126666666678</v>
      </c>
      <c r="AO28" s="86">
        <v>0</v>
      </c>
      <c r="AP28" s="79">
        <v>0</v>
      </c>
      <c r="AQ28" s="87"/>
      <c r="AR28" s="20">
        <f t="shared" si="53"/>
        <v>4684.3399999999992</v>
      </c>
      <c r="AS28" s="20">
        <v>750</v>
      </c>
      <c r="AT28" s="20">
        <v>0</v>
      </c>
      <c r="AU28" s="20">
        <f t="shared" si="54"/>
        <v>5434.3399999999992</v>
      </c>
      <c r="AV28" s="20">
        <f t="shared" si="66"/>
        <v>1325.67</v>
      </c>
      <c r="AW28" s="51">
        <f t="shared" si="5"/>
        <v>0</v>
      </c>
      <c r="AX28" s="51">
        <f t="shared" si="14"/>
        <v>0</v>
      </c>
      <c r="AY28" s="51">
        <f t="shared" si="15"/>
        <v>0</v>
      </c>
      <c r="AZ28" s="51">
        <f t="shared" si="16"/>
        <v>0</v>
      </c>
      <c r="BA28" s="51">
        <f t="shared" si="17"/>
        <v>0</v>
      </c>
      <c r="BB28" s="51">
        <f t="shared" si="18"/>
        <v>0</v>
      </c>
      <c r="BC28" s="51">
        <f t="shared" si="19"/>
        <v>0</v>
      </c>
      <c r="BD28" s="51">
        <f t="shared" si="20"/>
        <v>0</v>
      </c>
      <c r="BE28" s="51">
        <f t="shared" si="21"/>
        <v>0</v>
      </c>
      <c r="BF28" s="51">
        <f t="shared" si="22"/>
        <v>0</v>
      </c>
      <c r="BG28" s="51">
        <f t="shared" si="23"/>
        <v>0</v>
      </c>
      <c r="BH28" s="51">
        <f t="shared" si="24"/>
        <v>1</v>
      </c>
      <c r="BI28" s="51">
        <f t="shared" si="25"/>
        <v>0</v>
      </c>
      <c r="BJ28" s="51">
        <f t="shared" si="26"/>
        <v>0</v>
      </c>
      <c r="BK28" s="51">
        <f t="shared" si="27"/>
        <v>0</v>
      </c>
      <c r="BL28" s="51">
        <f t="shared" si="28"/>
        <v>0</v>
      </c>
      <c r="BM28" s="51">
        <f t="shared" si="29"/>
        <v>0</v>
      </c>
      <c r="BN28" s="51">
        <f t="shared" si="30"/>
        <v>0</v>
      </c>
      <c r="BO28" s="51">
        <f t="shared" si="31"/>
        <v>0</v>
      </c>
      <c r="BP28" s="51">
        <f t="shared" si="32"/>
        <v>0</v>
      </c>
      <c r="BQ28" s="51">
        <f t="shared" si="33"/>
        <v>0</v>
      </c>
      <c r="BR28" s="51">
        <f t="shared" si="34"/>
        <v>0</v>
      </c>
      <c r="BS28" s="51">
        <f t="shared" si="35"/>
        <v>0</v>
      </c>
      <c r="BT28" s="51">
        <f t="shared" si="36"/>
        <v>5434.3399999999992</v>
      </c>
      <c r="BU28" s="20">
        <f t="shared" si="59"/>
        <v>5981.09</v>
      </c>
      <c r="BV28" s="20">
        <f t="shared" si="62"/>
        <v>4096.3466666666673</v>
      </c>
      <c r="BW28" s="20">
        <f t="shared" si="55"/>
        <v>65212.079999999987</v>
      </c>
      <c r="BX28" s="20">
        <f t="shared" si="60"/>
        <v>71773.08</v>
      </c>
      <c r="BY28" s="20">
        <f t="shared" si="63"/>
        <v>49156.160000000003</v>
      </c>
      <c r="BZ28" s="21">
        <f t="shared" si="56"/>
        <v>62047.106666666659</v>
      </c>
      <c r="CA28" s="19">
        <f t="shared" si="47"/>
        <v>1551177.6666666665</v>
      </c>
      <c r="CB28" s="20">
        <f t="shared" si="67"/>
        <v>1566432.1388888888</v>
      </c>
      <c r="CC28" s="20">
        <f t="shared" si="64"/>
        <v>1095378.6805555555</v>
      </c>
      <c r="CD28" s="20">
        <f t="shared" si="48"/>
        <v>0</v>
      </c>
      <c r="CE28" s="20">
        <f t="shared" si="49"/>
        <v>1400000</v>
      </c>
      <c r="CF28" s="20">
        <f t="shared" si="37"/>
        <v>75972.923333333325</v>
      </c>
      <c r="CG28" s="20">
        <f t="shared" si="38"/>
        <v>3038.916933333333</v>
      </c>
      <c r="CH28" s="20">
        <f t="shared" si="39"/>
        <v>253.24307777777776</v>
      </c>
      <c r="CI28" s="20">
        <f t="shared" si="45"/>
        <v>73159.316666666666</v>
      </c>
      <c r="CJ28" s="24">
        <f t="shared" si="57"/>
        <v>4.8500615792537879E-2</v>
      </c>
      <c r="CK28" s="24">
        <f t="shared" si="58"/>
        <v>5.7526808579190743E-2</v>
      </c>
      <c r="CL28" s="24">
        <f t="shared" si="61"/>
        <v>0.10422984034461531</v>
      </c>
      <c r="CM28" s="25">
        <f t="shared" si="68"/>
        <v>0.41857234412564892</v>
      </c>
      <c r="CN28" s="17"/>
      <c r="CO28" s="17"/>
      <c r="CP28" s="17"/>
      <c r="CQ28" s="17"/>
      <c r="CR28" s="17"/>
      <c r="CS28" s="17"/>
      <c r="CT28" s="17"/>
      <c r="CU28" s="17"/>
      <c r="CV28" s="17"/>
      <c r="CW28" s="30">
        <v>0</v>
      </c>
      <c r="CX28" s="17"/>
      <c r="CY28" s="17"/>
      <c r="CZ28" s="17"/>
      <c r="DA28" s="17"/>
      <c r="DB28" s="17"/>
    </row>
    <row r="29" spans="1:108" ht="15.75" thickBot="1" x14ac:dyDescent="0.3">
      <c r="A29" s="5">
        <f t="shared" ref="A29:B92" si="70">A17+1</f>
        <v>26</v>
      </c>
      <c r="B29" s="5">
        <f t="shared" si="69"/>
        <v>24</v>
      </c>
      <c r="C29" s="1">
        <v>43101</v>
      </c>
      <c r="D29" s="4">
        <v>43101</v>
      </c>
      <c r="E29" s="30">
        <f t="shared" si="10"/>
        <v>43101</v>
      </c>
      <c r="F29" s="30">
        <f t="shared" si="50"/>
        <v>0</v>
      </c>
      <c r="G29" s="30">
        <f>IF(F29=0,IF(F30=1,1,0),0)</f>
        <v>0</v>
      </c>
      <c r="H29" s="30"/>
      <c r="I29" s="10">
        <v>5157.7700000000004</v>
      </c>
      <c r="J29" s="11">
        <v>4107.0200000000004</v>
      </c>
      <c r="K29" s="11">
        <v>3514.88</v>
      </c>
      <c r="L29" s="11">
        <v>4004.23</v>
      </c>
      <c r="M29" s="11">
        <v>639.16999999999996</v>
      </c>
      <c r="N29" s="11">
        <v>2943.3</v>
      </c>
      <c r="O29" s="11">
        <v>0</v>
      </c>
      <c r="P29" s="11">
        <v>0</v>
      </c>
      <c r="Q29" s="11">
        <v>8739.07</v>
      </c>
      <c r="R29" s="11">
        <v>2210.83</v>
      </c>
      <c r="S29" s="11">
        <v>3766.48</v>
      </c>
      <c r="T29" s="11">
        <v>32632.25</v>
      </c>
      <c r="U29" s="101">
        <v>0</v>
      </c>
      <c r="V29" s="11">
        <v>3160.3</v>
      </c>
      <c r="W29" s="11">
        <v>1924.72</v>
      </c>
      <c r="X29" s="11">
        <v>0</v>
      </c>
      <c r="Y29" s="11">
        <v>29614.46</v>
      </c>
      <c r="Z29" s="11">
        <v>0</v>
      </c>
      <c r="AA29" s="12">
        <f t="shared" si="2"/>
        <v>102414.48000000001</v>
      </c>
      <c r="AB29" s="11">
        <v>0</v>
      </c>
      <c r="AC29" s="11">
        <v>1611.28</v>
      </c>
      <c r="AD29" s="11">
        <v>1131.1600000000001</v>
      </c>
      <c r="AE29" s="11">
        <v>672.48</v>
      </c>
      <c r="AF29" s="11">
        <v>377.36</v>
      </c>
      <c r="AG29" s="11">
        <v>0</v>
      </c>
      <c r="AH29" s="13">
        <v>44945</v>
      </c>
      <c r="AI29" s="13">
        <f>(AI$24+AI$30)/2</f>
        <v>16921.5</v>
      </c>
      <c r="AJ29" s="11">
        <v>0</v>
      </c>
      <c r="AK29" s="11">
        <v>0</v>
      </c>
      <c r="AL29" s="11">
        <v>0</v>
      </c>
      <c r="AM29" s="12">
        <f t="shared" si="12"/>
        <v>-65658.78</v>
      </c>
      <c r="AN29" s="75">
        <f t="shared" si="52"/>
        <v>36755.700000000012</v>
      </c>
      <c r="AO29" s="86">
        <v>0</v>
      </c>
      <c r="AP29" s="79">
        <v>0</v>
      </c>
      <c r="AQ29" s="87"/>
      <c r="AR29" s="20">
        <f t="shared" si="53"/>
        <v>3792.28</v>
      </c>
      <c r="AS29" s="20">
        <v>750</v>
      </c>
      <c r="AT29" s="20">
        <v>0</v>
      </c>
      <c r="AU29" s="20">
        <f t="shared" si="54"/>
        <v>4542.2800000000007</v>
      </c>
      <c r="AV29" s="20">
        <f t="shared" si="66"/>
        <v>2697.3</v>
      </c>
      <c r="AW29" s="51">
        <f t="shared" si="5"/>
        <v>1</v>
      </c>
      <c r="AX29" s="51">
        <f t="shared" si="14"/>
        <v>0</v>
      </c>
      <c r="AY29" s="51">
        <f t="shared" si="15"/>
        <v>0</v>
      </c>
      <c r="AZ29" s="51">
        <f t="shared" si="16"/>
        <v>0</v>
      </c>
      <c r="BA29" s="51">
        <f t="shared" si="17"/>
        <v>0</v>
      </c>
      <c r="BB29" s="51">
        <f t="shared" si="18"/>
        <v>0</v>
      </c>
      <c r="BC29" s="51">
        <f t="shared" si="19"/>
        <v>0</v>
      </c>
      <c r="BD29" s="51">
        <f t="shared" si="20"/>
        <v>0</v>
      </c>
      <c r="BE29" s="51">
        <f t="shared" si="21"/>
        <v>0</v>
      </c>
      <c r="BF29" s="51">
        <f t="shared" si="22"/>
        <v>0</v>
      </c>
      <c r="BG29" s="51">
        <f t="shared" si="23"/>
        <v>0</v>
      </c>
      <c r="BH29" s="51">
        <f t="shared" si="24"/>
        <v>0</v>
      </c>
      <c r="BI29" s="51">
        <f t="shared" si="25"/>
        <v>4542.2800000000007</v>
      </c>
      <c r="BJ29" s="51">
        <f t="shared" si="26"/>
        <v>0</v>
      </c>
      <c r="BK29" s="51">
        <f t="shared" si="27"/>
        <v>0</v>
      </c>
      <c r="BL29" s="51">
        <f t="shared" si="28"/>
        <v>0</v>
      </c>
      <c r="BM29" s="51">
        <f t="shared" si="29"/>
        <v>0</v>
      </c>
      <c r="BN29" s="51">
        <f t="shared" si="30"/>
        <v>0</v>
      </c>
      <c r="BO29" s="51">
        <f t="shared" si="31"/>
        <v>0</v>
      </c>
      <c r="BP29" s="51">
        <f t="shared" si="32"/>
        <v>0</v>
      </c>
      <c r="BQ29" s="51">
        <f t="shared" si="33"/>
        <v>0</v>
      </c>
      <c r="BR29" s="51">
        <f t="shared" si="34"/>
        <v>0</v>
      </c>
      <c r="BS29" s="51">
        <f t="shared" si="35"/>
        <v>0</v>
      </c>
      <c r="BT29" s="51">
        <f t="shared" si="36"/>
        <v>0</v>
      </c>
      <c r="BU29" s="20">
        <f t="shared" si="59"/>
        <v>5535.829999999999</v>
      </c>
      <c r="BV29" s="20">
        <f t="shared" si="62"/>
        <v>4250.0950000000003</v>
      </c>
      <c r="BW29" s="20">
        <f t="shared" si="55"/>
        <v>54507.360000000008</v>
      </c>
      <c r="BX29" s="20">
        <f t="shared" si="60"/>
        <v>66429.959999999992</v>
      </c>
      <c r="BY29" s="20">
        <f t="shared" si="63"/>
        <v>51001.14</v>
      </c>
      <c r="BZ29" s="21">
        <f t="shared" si="56"/>
        <v>57312.820000000007</v>
      </c>
      <c r="CA29" s="19">
        <f t="shared" si="47"/>
        <v>1432820.5000000002</v>
      </c>
      <c r="CB29" s="20">
        <f t="shared" si="67"/>
        <v>1545983.5277777778</v>
      </c>
      <c r="CC29" s="20">
        <f t="shared" si="64"/>
        <v>1158521.6805555555</v>
      </c>
      <c r="CD29" s="20">
        <f t="shared" si="48"/>
        <v>0</v>
      </c>
      <c r="CE29" s="20">
        <f t="shared" si="49"/>
        <v>1400000</v>
      </c>
      <c r="CF29" s="20">
        <f t="shared" si="37"/>
        <v>78887.81</v>
      </c>
      <c r="CG29" s="20">
        <f t="shared" si="38"/>
        <v>3155.5124000000001</v>
      </c>
      <c r="CH29" s="20">
        <f t="shared" si="39"/>
        <v>262.95936666666665</v>
      </c>
      <c r="CI29" s="20">
        <f t="shared" si="45"/>
        <v>75566.973333333328</v>
      </c>
      <c r="CJ29" s="24">
        <f t="shared" si="57"/>
        <v>5.1027587669963494E-2</v>
      </c>
      <c r="CK29" s="24">
        <f t="shared" si="58"/>
        <v>3.8367441172133469E-2</v>
      </c>
      <c r="CL29" s="24">
        <f t="shared" si="61"/>
        <v>0.10078819683404025</v>
      </c>
      <c r="CM29" s="25">
        <f t="shared" si="68"/>
        <v>0.45259107533023479</v>
      </c>
      <c r="CN29" s="17"/>
      <c r="CO29" s="17"/>
      <c r="CP29" s="17"/>
      <c r="CQ29" s="17"/>
      <c r="CR29" s="17"/>
      <c r="CS29" s="17"/>
      <c r="CT29" s="17"/>
      <c r="CU29" s="17"/>
      <c r="CV29" s="17"/>
      <c r="CW29" s="30">
        <v>0</v>
      </c>
      <c r="CX29" s="17"/>
      <c r="CY29" s="17"/>
      <c r="CZ29" s="17"/>
      <c r="DA29" s="17"/>
      <c r="DB29" s="17"/>
    </row>
    <row r="30" spans="1:108" ht="15.75" thickBot="1" x14ac:dyDescent="0.3">
      <c r="A30" s="5">
        <f t="shared" si="70"/>
        <v>26</v>
      </c>
      <c r="B30" s="5">
        <f t="shared" si="69"/>
        <v>24</v>
      </c>
      <c r="C30" s="1">
        <v>43132</v>
      </c>
      <c r="D30" s="4">
        <v>43132</v>
      </c>
      <c r="E30" s="30">
        <f t="shared" si="10"/>
        <v>43132</v>
      </c>
      <c r="F30" s="30">
        <f t="shared" si="50"/>
        <v>0</v>
      </c>
      <c r="G30" s="30">
        <f t="shared" si="51"/>
        <v>0</v>
      </c>
      <c r="H30" s="30"/>
      <c r="I30" s="10">
        <v>0</v>
      </c>
      <c r="J30" s="11">
        <v>7913.53</v>
      </c>
      <c r="K30" s="11">
        <v>3678.34</v>
      </c>
      <c r="L30" s="11">
        <v>9009.31</v>
      </c>
      <c r="M30" s="13">
        <v>639.16999999999996</v>
      </c>
      <c r="N30" s="11">
        <v>3354.62</v>
      </c>
      <c r="O30" s="11">
        <v>0</v>
      </c>
      <c r="P30" s="11">
        <v>0</v>
      </c>
      <c r="Q30" s="11">
        <v>9050.3700000000008</v>
      </c>
      <c r="R30" s="11">
        <v>2377.15</v>
      </c>
      <c r="S30" s="13">
        <f>(S32-S29)/3+S29</f>
        <v>3786.8817666666669</v>
      </c>
      <c r="T30" s="13">
        <v>35620</v>
      </c>
      <c r="U30" s="101">
        <v>0</v>
      </c>
      <c r="V30" s="11">
        <v>3100.29</v>
      </c>
      <c r="W30" s="11">
        <v>2240.11</v>
      </c>
      <c r="X30" s="11">
        <v>0</v>
      </c>
      <c r="Y30" s="11">
        <v>31644.82</v>
      </c>
      <c r="Z30" s="11">
        <v>0</v>
      </c>
      <c r="AA30" s="12">
        <f t="shared" si="2"/>
        <v>112414.59176666665</v>
      </c>
      <c r="AB30" s="11">
        <v>0</v>
      </c>
      <c r="AC30" s="11">
        <v>1744.9</v>
      </c>
      <c r="AD30" s="11">
        <v>1520.5</v>
      </c>
      <c r="AE30" s="11">
        <v>866.37</v>
      </c>
      <c r="AF30" s="11">
        <v>234.87</v>
      </c>
      <c r="AG30" s="11">
        <v>0</v>
      </c>
      <c r="AH30" s="13">
        <v>44945</v>
      </c>
      <c r="AI30" s="13">
        <v>15843</v>
      </c>
      <c r="AJ30" s="11">
        <v>0</v>
      </c>
      <c r="AK30" s="11">
        <v>0</v>
      </c>
      <c r="AL30" s="11">
        <v>0</v>
      </c>
      <c r="AM30" s="12">
        <f t="shared" si="12"/>
        <v>-65154.64</v>
      </c>
      <c r="AN30" s="75">
        <f t="shared" si="52"/>
        <v>47259.951766666651</v>
      </c>
      <c r="AO30" s="86">
        <v>0</v>
      </c>
      <c r="AP30" s="79">
        <v>0</v>
      </c>
      <c r="AQ30" s="87"/>
      <c r="AR30" s="20">
        <f t="shared" si="53"/>
        <v>4366.6400000000003</v>
      </c>
      <c r="AS30" s="20">
        <v>750</v>
      </c>
      <c r="AT30" s="20">
        <v>0</v>
      </c>
      <c r="AU30" s="20">
        <f t="shared" si="54"/>
        <v>5116.6400000000003</v>
      </c>
      <c r="AV30" s="20">
        <f>AU18</f>
        <v>3455.39</v>
      </c>
      <c r="AW30" s="51">
        <f t="shared" si="5"/>
        <v>0</v>
      </c>
      <c r="AX30" s="51">
        <f t="shared" si="14"/>
        <v>1</v>
      </c>
      <c r="AY30" s="51">
        <f t="shared" si="15"/>
        <v>0</v>
      </c>
      <c r="AZ30" s="51">
        <f t="shared" si="16"/>
        <v>0</v>
      </c>
      <c r="BA30" s="51">
        <f t="shared" si="17"/>
        <v>0</v>
      </c>
      <c r="BB30" s="51">
        <f t="shared" si="18"/>
        <v>0</v>
      </c>
      <c r="BC30" s="51">
        <f t="shared" si="19"/>
        <v>0</v>
      </c>
      <c r="BD30" s="51">
        <f t="shared" si="20"/>
        <v>0</v>
      </c>
      <c r="BE30" s="51">
        <f t="shared" si="21"/>
        <v>0</v>
      </c>
      <c r="BF30" s="51">
        <f t="shared" si="22"/>
        <v>0</v>
      </c>
      <c r="BG30" s="51">
        <f t="shared" si="23"/>
        <v>0</v>
      </c>
      <c r="BH30" s="51">
        <f t="shared" si="24"/>
        <v>0</v>
      </c>
      <c r="BI30" s="51">
        <f t="shared" si="25"/>
        <v>0</v>
      </c>
      <c r="BJ30" s="51">
        <f t="shared" si="26"/>
        <v>5116.6400000000003</v>
      </c>
      <c r="BK30" s="51">
        <f t="shared" si="27"/>
        <v>0</v>
      </c>
      <c r="BL30" s="51">
        <f t="shared" si="28"/>
        <v>0</v>
      </c>
      <c r="BM30" s="51">
        <f t="shared" si="29"/>
        <v>0</v>
      </c>
      <c r="BN30" s="51">
        <f t="shared" si="30"/>
        <v>0</v>
      </c>
      <c r="BO30" s="51">
        <f t="shared" si="31"/>
        <v>0</v>
      </c>
      <c r="BP30" s="51">
        <f t="shared" si="32"/>
        <v>0</v>
      </c>
      <c r="BQ30" s="51">
        <f t="shared" si="33"/>
        <v>0</v>
      </c>
      <c r="BR30" s="51">
        <f t="shared" si="34"/>
        <v>0</v>
      </c>
      <c r="BS30" s="51">
        <f t="shared" si="35"/>
        <v>0</v>
      </c>
      <c r="BT30" s="51">
        <f t="shared" si="36"/>
        <v>0</v>
      </c>
      <c r="BU30" s="20">
        <f t="shared" si="59"/>
        <v>5031.0866666666661</v>
      </c>
      <c r="BV30" s="20">
        <f t="shared" si="62"/>
        <v>4388.5325000000003</v>
      </c>
      <c r="BW30" s="20">
        <f t="shared" si="55"/>
        <v>61399.680000000008</v>
      </c>
      <c r="BX30" s="20">
        <f t="shared" si="60"/>
        <v>60373.039999999994</v>
      </c>
      <c r="BY30" s="20">
        <f t="shared" si="63"/>
        <v>52662.39</v>
      </c>
      <c r="BZ30" s="21">
        <f t="shared" si="56"/>
        <v>58145.03666666666</v>
      </c>
      <c r="CA30" s="19">
        <f t="shared" si="47"/>
        <v>1453625.9166666665</v>
      </c>
      <c r="CB30" s="20">
        <f t="shared" si="67"/>
        <v>1479208.027777778</v>
      </c>
      <c r="CC30" s="20">
        <f t="shared" si="64"/>
        <v>1205304.9652777778</v>
      </c>
      <c r="CD30" s="20">
        <f t="shared" si="48"/>
        <v>0</v>
      </c>
      <c r="CE30" s="20">
        <f t="shared" si="49"/>
        <v>1400000</v>
      </c>
      <c r="CF30" s="20">
        <f t="shared" si="37"/>
        <v>84719.33176666667</v>
      </c>
      <c r="CG30" s="20">
        <f t="shared" si="38"/>
        <v>3388.773270666667</v>
      </c>
      <c r="CH30" s="20">
        <f t="shared" si="39"/>
        <v>282.3977725555556</v>
      </c>
      <c r="CI30" s="20">
        <f t="shared" si="45"/>
        <v>79860.021699999998</v>
      </c>
      <c r="CJ30" s="24">
        <f t="shared" si="57"/>
        <v>5.7273439689170001E-2</v>
      </c>
      <c r="CK30" s="24">
        <f t="shared" si="58"/>
        <v>7.3921709408166766E-2</v>
      </c>
      <c r="CL30" s="24">
        <f t="shared" si="61"/>
        <v>0.17927493924477567</v>
      </c>
      <c r="CM30" s="25">
        <f t="shared" si="68"/>
        <v>0.51264834073827248</v>
      </c>
      <c r="CN30" s="17"/>
      <c r="CO30" s="17"/>
      <c r="CP30" s="17"/>
      <c r="CQ30" s="17"/>
      <c r="CR30" s="17"/>
      <c r="CS30" s="17"/>
      <c r="CT30" s="17"/>
      <c r="CU30" s="17"/>
      <c r="CV30" s="17"/>
      <c r="CW30" s="30">
        <v>0</v>
      </c>
      <c r="CX30" s="17"/>
      <c r="CY30" s="17"/>
      <c r="CZ30" s="17"/>
      <c r="DA30" s="17"/>
      <c r="DB30" s="17"/>
    </row>
    <row r="31" spans="1:108" ht="15.75" thickBot="1" x14ac:dyDescent="0.3">
      <c r="A31" s="5">
        <f t="shared" si="70"/>
        <v>26</v>
      </c>
      <c r="B31" s="5">
        <f t="shared" si="69"/>
        <v>24</v>
      </c>
      <c r="C31" s="1">
        <v>43160</v>
      </c>
      <c r="D31" s="4">
        <v>43160</v>
      </c>
      <c r="E31" s="30">
        <f t="shared" si="10"/>
        <v>43160</v>
      </c>
      <c r="F31" s="30">
        <f t="shared" si="50"/>
        <v>0</v>
      </c>
      <c r="G31" s="30">
        <f t="shared" si="51"/>
        <v>0</v>
      </c>
      <c r="H31" s="30"/>
      <c r="I31" s="10">
        <v>0</v>
      </c>
      <c r="J31" s="11">
        <v>12465.5</v>
      </c>
      <c r="K31" s="11">
        <v>550</v>
      </c>
      <c r="L31" s="11">
        <v>9019.43</v>
      </c>
      <c r="M31" s="11">
        <v>305</v>
      </c>
      <c r="N31" s="11">
        <v>3498.84</v>
      </c>
      <c r="O31" s="11">
        <v>0</v>
      </c>
      <c r="P31" s="11">
        <v>0</v>
      </c>
      <c r="Q31" s="11">
        <v>8827.0499999999993</v>
      </c>
      <c r="R31" s="11">
        <v>5272.95</v>
      </c>
      <c r="S31" s="13">
        <f>(S32-S29)/3*2+S29</f>
        <v>3807.2835333333333</v>
      </c>
      <c r="T31" s="13">
        <v>35470</v>
      </c>
      <c r="U31" s="101">
        <v>0</v>
      </c>
      <c r="V31" s="11">
        <v>3100.27</v>
      </c>
      <c r="W31" s="11">
        <v>2350.27</v>
      </c>
      <c r="X31" s="11">
        <v>0</v>
      </c>
      <c r="Y31" s="11">
        <v>30289.09</v>
      </c>
      <c r="Z31" s="11">
        <v>0</v>
      </c>
      <c r="AA31" s="12">
        <f t="shared" si="2"/>
        <v>114955.68353333333</v>
      </c>
      <c r="AB31" s="11">
        <v>0</v>
      </c>
      <c r="AC31" s="11">
        <v>1716.38</v>
      </c>
      <c r="AD31" s="11">
        <v>908.45</v>
      </c>
      <c r="AE31" s="11">
        <v>802.56</v>
      </c>
      <c r="AF31" s="56">
        <f>AVERAGE(AF19:AF30)</f>
        <v>247.28416666666666</v>
      </c>
      <c r="AG31" s="11">
        <v>0</v>
      </c>
      <c r="AH31" s="11">
        <v>44946</v>
      </c>
      <c r="AI31" s="11">
        <v>14645.73</v>
      </c>
      <c r="AJ31" s="11">
        <v>0</v>
      </c>
      <c r="AK31" s="11">
        <v>0</v>
      </c>
      <c r="AL31" s="11">
        <v>0</v>
      </c>
      <c r="AM31" s="12">
        <f t="shared" si="12"/>
        <v>-63266.40416666666</v>
      </c>
      <c r="AN31" s="75">
        <f t="shared" si="52"/>
        <v>51689.279366666669</v>
      </c>
      <c r="AO31" s="86">
        <v>0</v>
      </c>
      <c r="AP31" s="79">
        <v>0</v>
      </c>
      <c r="AQ31" s="87"/>
      <c r="AR31" s="20">
        <f t="shared" si="53"/>
        <v>3674.6741666666667</v>
      </c>
      <c r="AS31" s="20">
        <v>750</v>
      </c>
      <c r="AT31" s="20">
        <v>0</v>
      </c>
      <c r="AU31" s="20">
        <f t="shared" si="54"/>
        <v>4424.6741666666667</v>
      </c>
      <c r="AV31" s="20">
        <f t="shared" ref="AV31:AV53" si="71">AU19</f>
        <v>1059.0900000000001</v>
      </c>
      <c r="AW31" s="51">
        <f t="shared" si="5"/>
        <v>0</v>
      </c>
      <c r="AX31" s="51">
        <f t="shared" si="14"/>
        <v>0</v>
      </c>
      <c r="AY31" s="51">
        <f t="shared" si="15"/>
        <v>1</v>
      </c>
      <c r="AZ31" s="51">
        <f t="shared" si="16"/>
        <v>0</v>
      </c>
      <c r="BA31" s="51">
        <f t="shared" si="17"/>
        <v>0</v>
      </c>
      <c r="BB31" s="51">
        <f t="shared" si="18"/>
        <v>0</v>
      </c>
      <c r="BC31" s="51">
        <f t="shared" si="19"/>
        <v>0</v>
      </c>
      <c r="BD31" s="51">
        <f t="shared" si="20"/>
        <v>0</v>
      </c>
      <c r="BE31" s="51">
        <f t="shared" si="21"/>
        <v>0</v>
      </c>
      <c r="BF31" s="51">
        <f t="shared" si="22"/>
        <v>0</v>
      </c>
      <c r="BG31" s="51">
        <f t="shared" si="23"/>
        <v>0</v>
      </c>
      <c r="BH31" s="51">
        <f t="shared" si="24"/>
        <v>0</v>
      </c>
      <c r="BI31" s="51">
        <f t="shared" si="25"/>
        <v>0</v>
      </c>
      <c r="BJ31" s="51">
        <f t="shared" si="26"/>
        <v>0</v>
      </c>
      <c r="BK31" s="51">
        <f t="shared" si="27"/>
        <v>4424.6741666666667</v>
      </c>
      <c r="BL31" s="51">
        <f t="shared" si="28"/>
        <v>0</v>
      </c>
      <c r="BM31" s="51">
        <f t="shared" si="29"/>
        <v>0</v>
      </c>
      <c r="BN31" s="51">
        <f t="shared" si="30"/>
        <v>0</v>
      </c>
      <c r="BO31" s="51">
        <f t="shared" si="31"/>
        <v>0</v>
      </c>
      <c r="BP31" s="51">
        <f t="shared" si="32"/>
        <v>0</v>
      </c>
      <c r="BQ31" s="51">
        <f t="shared" si="33"/>
        <v>0</v>
      </c>
      <c r="BR31" s="51">
        <f t="shared" si="34"/>
        <v>0</v>
      </c>
      <c r="BS31" s="51">
        <f t="shared" si="35"/>
        <v>0</v>
      </c>
      <c r="BT31" s="51">
        <f t="shared" si="36"/>
        <v>0</v>
      </c>
      <c r="BU31" s="20">
        <f t="shared" si="59"/>
        <v>4694.5313888888895</v>
      </c>
      <c r="BV31" s="20">
        <f t="shared" si="62"/>
        <v>4668.9978472222219</v>
      </c>
      <c r="BW31" s="20">
        <f t="shared" si="55"/>
        <v>53096.09</v>
      </c>
      <c r="BX31" s="20">
        <f t="shared" si="60"/>
        <v>56334.376666666678</v>
      </c>
      <c r="BY31" s="20">
        <f>BV31*12</f>
        <v>56027.974166666667</v>
      </c>
      <c r="BZ31" s="21">
        <f t="shared" si="56"/>
        <v>55152.813611111116</v>
      </c>
      <c r="CA31" s="19">
        <f t="shared" si="47"/>
        <v>1378820.340277778</v>
      </c>
      <c r="CB31" s="20">
        <f t="shared" si="67"/>
        <v>1421755.5856481483</v>
      </c>
      <c r="CC31" s="20">
        <f t="shared" si="64"/>
        <v>1276918.9519675926</v>
      </c>
      <c r="CD31" s="20">
        <f t="shared" si="48"/>
        <v>0</v>
      </c>
      <c r="CE31" s="20">
        <f t="shared" si="49"/>
        <v>1400000</v>
      </c>
      <c r="CF31" s="20">
        <f t="shared" si="37"/>
        <v>86016.643533333336</v>
      </c>
      <c r="CG31" s="20">
        <f t="shared" si="38"/>
        <v>3440.6657413333337</v>
      </c>
      <c r="CH31" s="20">
        <f t="shared" si="39"/>
        <v>286.72214511111116</v>
      </c>
      <c r="CI31" s="20">
        <f t="shared" si="45"/>
        <v>83207.928433333334</v>
      </c>
      <c r="CJ31" s="24">
        <f t="shared" si="57"/>
        <v>6.0500302866135856E-2</v>
      </c>
      <c r="CK31" s="24">
        <f t="shared" si="58"/>
        <v>1.5313054761098822E-2</v>
      </c>
      <c r="CL31" s="24">
        <f t="shared" si="61"/>
        <v>0.1322013127747225</v>
      </c>
      <c r="CM31" s="25">
        <f t="shared" si="68"/>
        <v>0.4906180032853103</v>
      </c>
      <c r="CN31" s="17"/>
      <c r="CO31" s="17"/>
      <c r="CP31" s="17"/>
      <c r="CQ31" s="17"/>
      <c r="CR31" s="17"/>
      <c r="CS31" s="17"/>
      <c r="CT31" s="17"/>
      <c r="CU31" s="17"/>
      <c r="CV31" s="17"/>
      <c r="CW31" s="30">
        <v>0</v>
      </c>
      <c r="CX31" s="17"/>
      <c r="CY31" s="17"/>
      <c r="CZ31" s="17"/>
      <c r="DA31" s="17"/>
      <c r="DB31" s="17"/>
    </row>
    <row r="32" spans="1:108" ht="15.75" thickBot="1" x14ac:dyDescent="0.3">
      <c r="A32" s="5">
        <f t="shared" si="70"/>
        <v>26</v>
      </c>
      <c r="B32" s="5">
        <f t="shared" si="69"/>
        <v>24</v>
      </c>
      <c r="C32" s="1">
        <v>43191</v>
      </c>
      <c r="D32" s="4"/>
      <c r="E32" s="30"/>
      <c r="F32" s="30"/>
      <c r="G32" s="30"/>
      <c r="H32" s="30"/>
      <c r="I32" s="10">
        <v>0</v>
      </c>
      <c r="J32" s="60">
        <v>9000</v>
      </c>
      <c r="K32" s="11">
        <v>550</v>
      </c>
      <c r="L32" s="60">
        <f t="shared" ref="L32:L285" si="72">L31*(1+(0.0145/12))</f>
        <v>9030.3284779166661</v>
      </c>
      <c r="M32" s="11">
        <v>305</v>
      </c>
      <c r="N32" s="60">
        <f>(N31*($K$1/12))+N31 + $N$5</f>
        <v>3717.79205</v>
      </c>
      <c r="O32" s="11">
        <v>0</v>
      </c>
      <c r="P32" s="11">
        <v>0</v>
      </c>
      <c r="Q32" s="60">
        <f>(Q31*($K$1/12))+Q31</f>
        <v>8874.8631874999992</v>
      </c>
      <c r="R32" s="60">
        <f>(R31*($K$1/12))+R31</f>
        <v>5301.5118124999999</v>
      </c>
      <c r="S32" s="60">
        <f>(S29*($K$1/4))+S29</f>
        <v>3827.6853000000001</v>
      </c>
      <c r="T32" s="60">
        <f>(T31*($K$1/12))+T31+$T$5 + ((3%/12)*T$11)</f>
        <v>36762.129166666666</v>
      </c>
      <c r="U32" s="60">
        <v>0</v>
      </c>
      <c r="V32" s="60">
        <v>3100</v>
      </c>
      <c r="W32" s="60">
        <f>(W31*($K$1/12))+W31+$W$5</f>
        <v>2493.0006291666668</v>
      </c>
      <c r="X32" s="11">
        <v>0</v>
      </c>
      <c r="Y32" s="60">
        <f>(Y31*$K$1/12)+Y31</f>
        <v>30453.155904166666</v>
      </c>
      <c r="Z32" s="11">
        <v>0</v>
      </c>
      <c r="AA32" s="12">
        <f t="shared" si="2"/>
        <v>113415.46652791665</v>
      </c>
      <c r="AB32" s="56">
        <f t="shared" ref="AB32:AG41" si="73">$AC$1/5</f>
        <v>750</v>
      </c>
      <c r="AC32" s="56">
        <f t="shared" si="73"/>
        <v>750</v>
      </c>
      <c r="AD32" s="56">
        <f t="shared" si="73"/>
        <v>750</v>
      </c>
      <c r="AE32" s="56">
        <f t="shared" si="73"/>
        <v>750</v>
      </c>
      <c r="AF32" s="56">
        <f t="shared" ref="AF32:AF95" si="74">AVERAGE(AF20:AF31)</f>
        <v>250.95534722222223</v>
      </c>
      <c r="AG32" s="56">
        <f t="shared" si="73"/>
        <v>750</v>
      </c>
      <c r="AH32" s="56">
        <f>(AH31*(AH$11/12))+AH31</f>
        <v>45144.886050000001</v>
      </c>
      <c r="AI32" s="56">
        <f>(AI31*(AI$11/12))+AI31</f>
        <v>14718.958649999999</v>
      </c>
      <c r="AJ32" s="11">
        <v>0</v>
      </c>
      <c r="AK32" s="11">
        <v>0</v>
      </c>
      <c r="AL32" s="11">
        <v>0</v>
      </c>
      <c r="AM32" s="12">
        <f t="shared" si="12"/>
        <v>-63864.800047222227</v>
      </c>
      <c r="AN32" s="75">
        <f t="shared" si="52"/>
        <v>49550.666480694425</v>
      </c>
      <c r="AO32" s="86">
        <v>0</v>
      </c>
      <c r="AP32" s="79">
        <v>0</v>
      </c>
      <c r="AQ32" s="87"/>
      <c r="AR32" s="20">
        <f t="shared" ref="AR32" si="75">SUM(AB32:AG32)</f>
        <v>4000.9553472222224</v>
      </c>
      <c r="AS32" s="20">
        <v>750</v>
      </c>
      <c r="AT32" s="20">
        <v>0</v>
      </c>
      <c r="AU32" s="20">
        <f t="shared" ref="AU32" si="76">SUM(AR32:AT32)</f>
        <v>4750.9553472222224</v>
      </c>
      <c r="AV32" s="20">
        <f t="shared" si="71"/>
        <v>2893.73</v>
      </c>
      <c r="AW32" s="51">
        <f t="shared" si="5"/>
        <v>0</v>
      </c>
      <c r="AX32" s="51">
        <f t="shared" si="14"/>
        <v>0</v>
      </c>
      <c r="AY32" s="51">
        <f t="shared" si="15"/>
        <v>0</v>
      </c>
      <c r="AZ32" s="51">
        <f t="shared" si="16"/>
        <v>0</v>
      </c>
      <c r="BA32" s="51">
        <f t="shared" si="17"/>
        <v>0</v>
      </c>
      <c r="BB32" s="51">
        <f t="shared" si="18"/>
        <v>0</v>
      </c>
      <c r="BC32" s="51">
        <f t="shared" si="19"/>
        <v>0</v>
      </c>
      <c r="BD32" s="51">
        <f t="shared" si="20"/>
        <v>0</v>
      </c>
      <c r="BE32" s="51">
        <f t="shared" si="21"/>
        <v>0</v>
      </c>
      <c r="BF32" s="51">
        <f t="shared" si="22"/>
        <v>0</v>
      </c>
      <c r="BG32" s="51">
        <f t="shared" si="23"/>
        <v>0</v>
      </c>
      <c r="BH32" s="51">
        <f t="shared" si="24"/>
        <v>0</v>
      </c>
      <c r="BI32" s="51">
        <f t="shared" si="25"/>
        <v>0</v>
      </c>
      <c r="BJ32" s="51">
        <f t="shared" si="26"/>
        <v>0</v>
      </c>
      <c r="BK32" s="51">
        <f t="shared" si="27"/>
        <v>0</v>
      </c>
      <c r="BL32" s="51">
        <f t="shared" si="28"/>
        <v>0</v>
      </c>
      <c r="BM32" s="51">
        <f t="shared" si="29"/>
        <v>0</v>
      </c>
      <c r="BN32" s="51">
        <f t="shared" si="30"/>
        <v>0</v>
      </c>
      <c r="BO32" s="51">
        <f t="shared" si="31"/>
        <v>0</v>
      </c>
      <c r="BP32" s="51">
        <f t="shared" si="32"/>
        <v>0</v>
      </c>
      <c r="BQ32" s="51">
        <f t="shared" si="33"/>
        <v>0</v>
      </c>
      <c r="BR32" s="51">
        <f t="shared" si="34"/>
        <v>0</v>
      </c>
      <c r="BS32" s="51">
        <f t="shared" si="35"/>
        <v>0</v>
      </c>
      <c r="BT32" s="51">
        <f t="shared" si="36"/>
        <v>0</v>
      </c>
      <c r="BU32" s="20">
        <f t="shared" si="59"/>
        <v>4764.0898379629625</v>
      </c>
      <c r="BV32" s="20">
        <f>AVERAGE(AU21:AU32)</f>
        <v>4823.7666261574077</v>
      </c>
      <c r="BW32" s="20">
        <f t="shared" ref="BW32" si="77">AU32*12</f>
        <v>57011.464166666672</v>
      </c>
      <c r="BX32" s="20">
        <f t="shared" ref="BX32" si="78">BU32*12</f>
        <v>57169.078055555554</v>
      </c>
      <c r="BY32" s="20">
        <f t="shared" ref="BY32" si="79">BV32*12</f>
        <v>57885.199513888889</v>
      </c>
      <c r="BZ32" s="21">
        <f t="shared" ref="BZ32" si="80">IF(BY32&gt;0,AVERAGE(BW32:BY32), IF(BX32&gt;0,AVERAGE(BW32:BX32), BW32))</f>
        <v>57355.247245370374</v>
      </c>
      <c r="CA32" s="19">
        <f t="shared" si="47"/>
        <v>1433881.1811342593</v>
      </c>
      <c r="CB32" s="20">
        <f t="shared" si="67"/>
        <v>1422109.1460262344</v>
      </c>
      <c r="CC32" s="20">
        <f>AVERAGE(CA21:CA32)</f>
        <v>1329369.8837287808</v>
      </c>
      <c r="CD32" s="20">
        <f t="shared" si="48"/>
        <v>0</v>
      </c>
      <c r="CE32" s="20">
        <f t="shared" si="49"/>
        <v>1400000</v>
      </c>
      <c r="CF32" s="20">
        <f t="shared" si="37"/>
        <v>87712.34599999999</v>
      </c>
      <c r="CG32" s="20">
        <f t="shared" si="38"/>
        <v>3508.4938399999996</v>
      </c>
      <c r="CH32" s="20">
        <f t="shared" si="39"/>
        <v>292.37448666666666</v>
      </c>
      <c r="CI32" s="20">
        <f t="shared" si="45"/>
        <v>86149.440433333322</v>
      </c>
      <c r="CJ32" s="24">
        <f t="shared" si="57"/>
        <v>6.1677647067450839E-2</v>
      </c>
      <c r="CK32" s="24">
        <f t="shared" ref="CK32" si="81">(CF32-CF31)/CF31</f>
        <v>1.9713655369609173E-2</v>
      </c>
      <c r="CL32" s="24">
        <f t="shared" ref="CL32" si="82">(CF32-CF29)/CF29</f>
        <v>0.11186184532185636</v>
      </c>
      <c r="CM32" s="25">
        <f>(CF32-CF20)/CF20</f>
        <v>0.49819133805182914</v>
      </c>
      <c r="CN32" s="17"/>
      <c r="CO32" s="17"/>
      <c r="CP32" s="17"/>
      <c r="CQ32" s="17"/>
      <c r="CR32" s="17"/>
      <c r="CS32" s="17"/>
      <c r="CT32" s="17"/>
      <c r="CU32" s="17"/>
      <c r="CV32" s="17"/>
      <c r="CW32" s="30">
        <v>0</v>
      </c>
      <c r="CX32" s="17"/>
      <c r="CY32" s="17"/>
      <c r="CZ32" s="17"/>
      <c r="DA32" s="17"/>
      <c r="DB32" s="17"/>
    </row>
    <row r="33" spans="1:106" ht="15.75" thickBot="1" x14ac:dyDescent="0.3">
      <c r="A33" s="5">
        <f t="shared" si="70"/>
        <v>26</v>
      </c>
      <c r="B33" s="5">
        <f t="shared" si="69"/>
        <v>24</v>
      </c>
      <c r="C33" s="1">
        <v>43221</v>
      </c>
      <c r="D33" s="4"/>
      <c r="E33" s="30"/>
      <c r="F33" s="30"/>
      <c r="G33" s="30"/>
      <c r="H33" s="30"/>
      <c r="I33" s="10">
        <v>0</v>
      </c>
      <c r="J33" s="60">
        <v>9000</v>
      </c>
      <c r="K33" s="11">
        <v>550</v>
      </c>
      <c r="L33" s="60">
        <f t="shared" si="72"/>
        <v>9041.2401248274818</v>
      </c>
      <c r="M33" s="11">
        <v>305</v>
      </c>
      <c r="N33" s="60">
        <f>(N32*($K$1/12))+N32 + $N$5</f>
        <v>3937.9300902708333</v>
      </c>
      <c r="O33" s="11">
        <v>0</v>
      </c>
      <c r="P33" s="11">
        <v>0</v>
      </c>
      <c r="Q33" s="60">
        <f>(Q32*($K$1/12))+Q32</f>
        <v>8922.9353630989572</v>
      </c>
      <c r="R33" s="60">
        <f>(R32*($K$1/12))+R32</f>
        <v>5330.2283348177079</v>
      </c>
      <c r="S33" s="60">
        <f>(S32*($K$1/12))+S32</f>
        <v>3848.4185953750002</v>
      </c>
      <c r="T33" s="60">
        <f>(T32*($K$1/12))+T32+$T$5 + ((3%/12)*T$11)</f>
        <v>38061.257366319442</v>
      </c>
      <c r="U33" s="60">
        <v>0</v>
      </c>
      <c r="V33" s="60">
        <v>3100</v>
      </c>
      <c r="W33" s="60">
        <f>(W32*($K$1/12))+W32+$W$5</f>
        <v>2636.5043825746529</v>
      </c>
      <c r="X33" s="11">
        <v>0</v>
      </c>
      <c r="Y33" s="60">
        <f>(Y32*$K$1/12)+Y32</f>
        <v>30618.110498647569</v>
      </c>
      <c r="Z33" s="11">
        <v>0</v>
      </c>
      <c r="AA33" s="12">
        <f t="shared" si="2"/>
        <v>115351.62475593164</v>
      </c>
      <c r="AB33" s="56">
        <f t="shared" si="73"/>
        <v>750</v>
      </c>
      <c r="AC33" s="56">
        <f t="shared" si="73"/>
        <v>750</v>
      </c>
      <c r="AD33" s="56">
        <f t="shared" si="73"/>
        <v>750</v>
      </c>
      <c r="AE33" s="56">
        <f t="shared" si="73"/>
        <v>750</v>
      </c>
      <c r="AF33" s="56">
        <f t="shared" si="74"/>
        <v>254.23162615740742</v>
      </c>
      <c r="AG33" s="56">
        <f t="shared" si="73"/>
        <v>750</v>
      </c>
      <c r="AH33" s="56">
        <f t="shared" ref="AH33:AH58" si="83">(AH32*(AH$11/12))+AH32</f>
        <v>45344.652170771253</v>
      </c>
      <c r="AI33" s="56">
        <f t="shared" ref="AI33:AI58" si="84">(AI32*(AI$11/12))+AI32</f>
        <v>14792.553443249999</v>
      </c>
      <c r="AJ33" s="11">
        <v>0</v>
      </c>
      <c r="AK33" s="11">
        <v>0</v>
      </c>
      <c r="AL33" s="11">
        <v>0</v>
      </c>
      <c r="AM33" s="12">
        <f t="shared" si="12"/>
        <v>-64141.43724017866</v>
      </c>
      <c r="AN33" s="75">
        <f t="shared" ref="AN33:AN314" si="85">AA33+AM33</f>
        <v>51210.187515752979</v>
      </c>
      <c r="AO33" s="86">
        <v>0</v>
      </c>
      <c r="AP33" s="79">
        <v>0</v>
      </c>
      <c r="AQ33" s="87"/>
      <c r="AR33" s="20">
        <f t="shared" ref="AR33:AR34" si="86">SUM(AB33:AG33)</f>
        <v>4004.2316261574074</v>
      </c>
      <c r="AS33" s="20">
        <v>750</v>
      </c>
      <c r="AT33" s="20">
        <v>0</v>
      </c>
      <c r="AU33" s="20">
        <f t="shared" ref="AU33:AU34" si="87">SUM(AR33:AT33)</f>
        <v>4754.2316261574069</v>
      </c>
      <c r="AV33" s="20">
        <f t="shared" si="71"/>
        <v>1973.96</v>
      </c>
      <c r="AW33" s="51">
        <f t="shared" si="5"/>
        <v>0</v>
      </c>
      <c r="AX33" s="51">
        <f t="shared" si="14"/>
        <v>0</v>
      </c>
      <c r="AY33" s="51">
        <f t="shared" si="15"/>
        <v>0</v>
      </c>
      <c r="AZ33" s="51">
        <f t="shared" si="16"/>
        <v>0</v>
      </c>
      <c r="BA33" s="51">
        <f t="shared" si="17"/>
        <v>0</v>
      </c>
      <c r="BB33" s="51">
        <f t="shared" si="18"/>
        <v>0</v>
      </c>
      <c r="BC33" s="51">
        <f t="shared" si="19"/>
        <v>0</v>
      </c>
      <c r="BD33" s="51">
        <f t="shared" si="20"/>
        <v>0</v>
      </c>
      <c r="BE33" s="51">
        <f t="shared" si="21"/>
        <v>0</v>
      </c>
      <c r="BF33" s="51">
        <f t="shared" si="22"/>
        <v>0</v>
      </c>
      <c r="BG33" s="51">
        <f t="shared" si="23"/>
        <v>0</v>
      </c>
      <c r="BH33" s="51">
        <f t="shared" si="24"/>
        <v>0</v>
      </c>
      <c r="BI33" s="51">
        <f t="shared" ref="BI33:BI34" si="88">$AU33*AW33</f>
        <v>0</v>
      </c>
      <c r="BJ33" s="51">
        <f t="shared" ref="BJ33:BJ34" si="89">$AU33*AX33</f>
        <v>0</v>
      </c>
      <c r="BK33" s="51">
        <f t="shared" ref="BK33:BK34" si="90">$AU33*AY33</f>
        <v>0</v>
      </c>
      <c r="BL33" s="51">
        <f t="shared" ref="BL33:BL34" si="91">$AU33*AZ33</f>
        <v>0</v>
      </c>
      <c r="BM33" s="51">
        <f t="shared" ref="BM33:BM34" si="92">$AU33*BA33</f>
        <v>0</v>
      </c>
      <c r="BN33" s="51">
        <f t="shared" ref="BN33:BN34" si="93">$AU33*BB33</f>
        <v>0</v>
      </c>
      <c r="BO33" s="51">
        <f t="shared" ref="BO33:BO34" si="94">$AU33*BC33</f>
        <v>0</v>
      </c>
      <c r="BP33" s="51">
        <f t="shared" ref="BP33:BP34" si="95">$AU33*BD33</f>
        <v>0</v>
      </c>
      <c r="BQ33" s="51">
        <f t="shared" ref="BQ33:BQ34" si="96">$AU33*BE33</f>
        <v>0</v>
      </c>
      <c r="BR33" s="51">
        <f t="shared" ref="BR33:BR34" si="97">$AU33*BF33</f>
        <v>0</v>
      </c>
      <c r="BS33" s="51">
        <f t="shared" ref="BS33:BS34" si="98">$AU33*BG33</f>
        <v>0</v>
      </c>
      <c r="BT33" s="51">
        <f t="shared" ref="BT33:BT34" si="99">$AU33*BH33</f>
        <v>0</v>
      </c>
      <c r="BU33" s="20">
        <f t="shared" ref="BU33:BU34" si="100">AVERAGE(AU31:AU33)</f>
        <v>4643.2870466820987</v>
      </c>
      <c r="BV33" s="20">
        <f>AVERAGE(AU22:AU33)</f>
        <v>5055.4559283371918</v>
      </c>
      <c r="BW33" s="20">
        <f t="shared" ref="BW33:BW34" si="101">AU33*12</f>
        <v>57050.779513888883</v>
      </c>
      <c r="BX33" s="20">
        <f t="shared" ref="BX33:BX34" si="102">BU33*12</f>
        <v>55719.444560185184</v>
      </c>
      <c r="BY33" s="20">
        <f t="shared" ref="BY33:BY34" si="103">BV33*12</f>
        <v>60665.471140046298</v>
      </c>
      <c r="BZ33" s="21">
        <f t="shared" ref="BZ33:BZ34" si="104">IF(BY33&gt;0,AVERAGE(BW33:BY33), IF(BX33&gt;0,AVERAGE(BW33:BX33), BW33))</f>
        <v>57811.898404706793</v>
      </c>
      <c r="CA33" s="19">
        <f t="shared" si="47"/>
        <v>1445297.4601176698</v>
      </c>
      <c r="CB33" s="20">
        <f t="shared" ref="CB33:CB34" si="105">AVERAGE(CA31:CA33)</f>
        <v>1419332.9938432358</v>
      </c>
      <c r="CC33" s="20">
        <f>AVERAGE(CA22:CA33)</f>
        <v>1400441.92207192</v>
      </c>
      <c r="CD33" s="20">
        <f t="shared" si="48"/>
        <v>0</v>
      </c>
      <c r="CE33" s="20">
        <f t="shared" si="49"/>
        <v>1400000</v>
      </c>
      <c r="CF33" s="20">
        <f t="shared" si="37"/>
        <v>89417.454540833336</v>
      </c>
      <c r="CG33" s="20">
        <f t="shared" ref="CG33:CG34" si="106">CA$11*CF33</f>
        <v>3576.6981816333337</v>
      </c>
      <c r="CH33" s="20">
        <f t="shared" si="39"/>
        <v>298.05818180277782</v>
      </c>
      <c r="CI33" s="20">
        <f t="shared" ref="CI33:CI34" si="107">AVERAGE(CF31:CF33)</f>
        <v>87715.481358055564</v>
      </c>
      <c r="CJ33" s="24">
        <f t="shared" ref="CJ33:CJ34" si="108">CF33/CB33</f>
        <v>6.299963076227158E-2</v>
      </c>
      <c r="CK33" s="24">
        <f t="shared" ref="CK33:CK34" si="109">(CF33-CF32)/CF32</f>
        <v>1.9439778076775483E-2</v>
      </c>
      <c r="CL33" s="24">
        <f t="shared" ref="CL33:CL34" si="110">(CF33-CF30)/CF30</f>
        <v>5.5455144371372049E-2</v>
      </c>
      <c r="CM33" s="25">
        <f>(CF33-CF21)/CF21</f>
        <v>0.47766670975686631</v>
      </c>
      <c r="CN33" s="17"/>
      <c r="CO33" s="17"/>
      <c r="CP33" s="17"/>
      <c r="CQ33" s="17"/>
      <c r="CR33" s="17"/>
      <c r="CS33" s="17"/>
      <c r="CT33" s="17"/>
      <c r="CU33" s="17"/>
      <c r="CV33" s="17"/>
      <c r="CW33" s="30">
        <v>0</v>
      </c>
      <c r="CX33" s="17"/>
      <c r="CY33" s="17"/>
      <c r="CZ33" s="17"/>
      <c r="DA33" s="17"/>
      <c r="DB33" s="17"/>
    </row>
    <row r="34" spans="1:106" ht="15.75" thickBot="1" x14ac:dyDescent="0.3">
      <c r="A34" s="5">
        <f t="shared" si="70"/>
        <v>26</v>
      </c>
      <c r="B34" s="5">
        <f t="shared" si="69"/>
        <v>24</v>
      </c>
      <c r="C34" s="1">
        <v>43252</v>
      </c>
      <c r="D34" s="4"/>
      <c r="E34" s="30"/>
      <c r="F34" s="30"/>
      <c r="G34" s="30"/>
      <c r="H34" s="30"/>
      <c r="I34" s="10">
        <v>0</v>
      </c>
      <c r="J34" s="60">
        <v>9000</v>
      </c>
      <c r="K34" s="11">
        <v>550</v>
      </c>
      <c r="L34" s="60">
        <f t="shared" si="72"/>
        <v>9052.1649566449814</v>
      </c>
      <c r="M34" s="11">
        <v>305</v>
      </c>
      <c r="N34" s="60">
        <f>(N33*($K$1/12))+N33 + $N$5</f>
        <v>4159.2605449264665</v>
      </c>
      <c r="O34" s="11">
        <v>0</v>
      </c>
      <c r="P34" s="11">
        <v>0</v>
      </c>
      <c r="Q34" s="60">
        <f>(Q33*($K$1/12))+Q33</f>
        <v>8971.2679296490769</v>
      </c>
      <c r="R34" s="60">
        <f>(R33*($K$1/12))+R33</f>
        <v>5359.1004049646372</v>
      </c>
      <c r="S34" s="60">
        <f>(S33*($K$1/12))+S33</f>
        <v>3869.2641960999481</v>
      </c>
      <c r="T34" s="60">
        <f>(T33*($K$1/12))+T33+$T$5 + ((3%/12)*T$11)</f>
        <v>39367.422510387005</v>
      </c>
      <c r="U34" s="60">
        <v>0</v>
      </c>
      <c r="V34" s="60">
        <v>3100</v>
      </c>
      <c r="W34" s="60">
        <f>(W33*($K$1/12))+W33+$W$5</f>
        <v>2780.7854479802654</v>
      </c>
      <c r="X34" s="11">
        <v>0</v>
      </c>
      <c r="Y34" s="60">
        <f>(Y33*$K$1/12)+Y33</f>
        <v>30783.958597181911</v>
      </c>
      <c r="Z34" s="11">
        <v>0</v>
      </c>
      <c r="AA34" s="12">
        <f t="shared" si="2"/>
        <v>117298.22458783429</v>
      </c>
      <c r="AB34" s="56">
        <f t="shared" si="73"/>
        <v>750</v>
      </c>
      <c r="AC34" s="56">
        <f t="shared" si="73"/>
        <v>750</v>
      </c>
      <c r="AD34" s="56">
        <f t="shared" si="73"/>
        <v>750</v>
      </c>
      <c r="AE34" s="56">
        <f t="shared" si="73"/>
        <v>750</v>
      </c>
      <c r="AF34" s="56">
        <f t="shared" si="74"/>
        <v>255.59676167052473</v>
      </c>
      <c r="AG34" s="56">
        <f t="shared" si="73"/>
        <v>750</v>
      </c>
      <c r="AH34" s="56">
        <f t="shared" si="83"/>
        <v>45545.302256626914</v>
      </c>
      <c r="AI34" s="56">
        <f t="shared" si="84"/>
        <v>14866.516210466249</v>
      </c>
      <c r="AJ34" s="11">
        <v>0</v>
      </c>
      <c r="AK34" s="11">
        <v>0</v>
      </c>
      <c r="AL34" s="11">
        <v>0</v>
      </c>
      <c r="AM34" s="12">
        <f t="shared" si="12"/>
        <v>-64417.415228763683</v>
      </c>
      <c r="AN34" s="75">
        <f t="shared" si="85"/>
        <v>52880.809359070612</v>
      </c>
      <c r="AO34" s="86">
        <v>0</v>
      </c>
      <c r="AP34" s="79">
        <v>0</v>
      </c>
      <c r="AQ34" s="87"/>
      <c r="AR34" s="20">
        <f t="shared" si="86"/>
        <v>4005.5967616705248</v>
      </c>
      <c r="AS34" s="20">
        <v>750</v>
      </c>
      <c r="AT34" s="20">
        <v>0</v>
      </c>
      <c r="AU34" s="20">
        <f t="shared" si="87"/>
        <v>4755.5967616705248</v>
      </c>
      <c r="AV34" s="20">
        <f t="shared" si="71"/>
        <v>3019.61</v>
      </c>
      <c r="AW34" s="51">
        <f t="shared" si="5"/>
        <v>0</v>
      </c>
      <c r="AX34" s="51">
        <f t="shared" si="14"/>
        <v>0</v>
      </c>
      <c r="AY34" s="51">
        <f t="shared" si="15"/>
        <v>0</v>
      </c>
      <c r="AZ34" s="51">
        <f t="shared" si="16"/>
        <v>0</v>
      </c>
      <c r="BA34" s="51">
        <f t="shared" si="17"/>
        <v>0</v>
      </c>
      <c r="BB34" s="51">
        <f t="shared" si="18"/>
        <v>0</v>
      </c>
      <c r="BC34" s="51">
        <f t="shared" si="19"/>
        <v>0</v>
      </c>
      <c r="BD34" s="51">
        <f t="shared" si="20"/>
        <v>0</v>
      </c>
      <c r="BE34" s="51">
        <f t="shared" si="21"/>
        <v>0</v>
      </c>
      <c r="BF34" s="51">
        <f t="shared" si="22"/>
        <v>0</v>
      </c>
      <c r="BG34" s="51">
        <f t="shared" si="23"/>
        <v>0</v>
      </c>
      <c r="BH34" s="51">
        <f t="shared" si="24"/>
        <v>0</v>
      </c>
      <c r="BI34" s="51">
        <f t="shared" si="88"/>
        <v>0</v>
      </c>
      <c r="BJ34" s="51">
        <f t="shared" si="89"/>
        <v>0</v>
      </c>
      <c r="BK34" s="51">
        <f t="shared" si="90"/>
        <v>0</v>
      </c>
      <c r="BL34" s="51">
        <f t="shared" si="91"/>
        <v>0</v>
      </c>
      <c r="BM34" s="51">
        <f t="shared" si="92"/>
        <v>0</v>
      </c>
      <c r="BN34" s="51">
        <f t="shared" si="93"/>
        <v>0</v>
      </c>
      <c r="BO34" s="51">
        <f t="shared" si="94"/>
        <v>0</v>
      </c>
      <c r="BP34" s="51">
        <f t="shared" si="95"/>
        <v>0</v>
      </c>
      <c r="BQ34" s="51">
        <f t="shared" si="96"/>
        <v>0</v>
      </c>
      <c r="BR34" s="51">
        <f t="shared" si="97"/>
        <v>0</v>
      </c>
      <c r="BS34" s="51">
        <f t="shared" si="98"/>
        <v>0</v>
      </c>
      <c r="BT34" s="51">
        <f t="shared" si="99"/>
        <v>0</v>
      </c>
      <c r="BU34" s="20">
        <f t="shared" si="100"/>
        <v>4753.5945783500511</v>
      </c>
      <c r="BV34" s="20">
        <f t="shared" ref="BV34:BV53" si="111">AVERAGE(AU23:AU34)</f>
        <v>5200.1214918097348</v>
      </c>
      <c r="BW34" s="20">
        <f t="shared" si="101"/>
        <v>57067.161140046301</v>
      </c>
      <c r="BX34" s="20">
        <f t="shared" si="102"/>
        <v>57043.134940200616</v>
      </c>
      <c r="BY34" s="20">
        <f t="shared" si="103"/>
        <v>62401.457901716814</v>
      </c>
      <c r="BZ34" s="21">
        <f t="shared" si="104"/>
        <v>58837.251327321246</v>
      </c>
      <c r="CA34" s="19">
        <f t="shared" si="47"/>
        <v>1470931.283183031</v>
      </c>
      <c r="CB34" s="20">
        <f t="shared" si="105"/>
        <v>1450036.6414783199</v>
      </c>
      <c r="CC34" s="20">
        <f t="shared" ref="CC34:CC45" si="112">AVERAGE(CA23:CA34)</f>
        <v>1452410.6540038392</v>
      </c>
      <c r="CD34" s="20">
        <f t="shared" si="48"/>
        <v>0</v>
      </c>
      <c r="CE34" s="20">
        <f t="shared" ref="CE34:CE97" si="113">$CC$11</f>
        <v>1400000</v>
      </c>
      <c r="CF34" s="20">
        <f t="shared" si="37"/>
        <v>91131.79908626285</v>
      </c>
      <c r="CG34" s="20">
        <f t="shared" si="106"/>
        <v>3645.2719634505142</v>
      </c>
      <c r="CH34" s="20">
        <f t="shared" si="39"/>
        <v>303.77266362087619</v>
      </c>
      <c r="CI34" s="20">
        <f t="shared" si="107"/>
        <v>89420.533209032074</v>
      </c>
      <c r="CJ34" s="24">
        <f t="shared" si="108"/>
        <v>6.2847928445003642E-2</v>
      </c>
      <c r="CK34" s="24">
        <f t="shared" si="109"/>
        <v>1.9172370251790631E-2</v>
      </c>
      <c r="CL34" s="24">
        <f t="shared" si="110"/>
        <v>5.9467044316223287E-2</v>
      </c>
      <c r="CM34" s="25">
        <f t="shared" ref="CM34:CM45" si="114">(CF34-CF22)/CF22</f>
        <v>0.44135311309460523</v>
      </c>
      <c r="CN34" s="17"/>
      <c r="CO34" s="17"/>
      <c r="CP34" s="17"/>
      <c r="CQ34" s="17"/>
      <c r="CR34" s="17"/>
      <c r="CS34" s="17"/>
      <c r="CT34" s="17"/>
      <c r="CU34" s="17"/>
      <c r="CV34" s="17"/>
      <c r="CW34" s="30">
        <v>0</v>
      </c>
      <c r="CX34" s="17"/>
      <c r="CY34" s="17"/>
      <c r="CZ34" s="17"/>
      <c r="DA34" s="17"/>
      <c r="DB34" s="17"/>
    </row>
    <row r="35" spans="1:106" ht="15.75" thickBot="1" x14ac:dyDescent="0.3">
      <c r="A35" s="5">
        <f t="shared" si="70"/>
        <v>26</v>
      </c>
      <c r="B35" s="5">
        <f t="shared" si="69"/>
        <v>24</v>
      </c>
      <c r="C35" s="1">
        <v>43282</v>
      </c>
      <c r="D35" s="4"/>
      <c r="E35" s="30"/>
      <c r="F35" s="30"/>
      <c r="G35" s="30"/>
      <c r="H35" s="30"/>
      <c r="I35" s="10">
        <v>0</v>
      </c>
      <c r="J35" s="60">
        <v>9000</v>
      </c>
      <c r="K35" s="11">
        <v>550</v>
      </c>
      <c r="L35" s="60">
        <f t="shared" si="72"/>
        <v>9063.1029893009272</v>
      </c>
      <c r="M35" s="11">
        <v>305</v>
      </c>
      <c r="N35" s="60">
        <f>(N34*($K$1/12))+N34 + $N$5</f>
        <v>4381.789872878152</v>
      </c>
      <c r="O35" s="11">
        <v>0</v>
      </c>
      <c r="P35" s="11">
        <v>0</v>
      </c>
      <c r="Q35" s="60">
        <f>(Q34*($K$1/12))+Q34</f>
        <v>9019.862297601343</v>
      </c>
      <c r="R35" s="60">
        <f>(R34*($K$1/12))+R34</f>
        <v>5388.1288654915288</v>
      </c>
      <c r="S35" s="60">
        <f>(S34*($K$1/12))+S34</f>
        <v>3890.2227104954895</v>
      </c>
      <c r="T35" s="60">
        <f>(T34*($K$1/12))+T34+$T$5 + ((3%/12)*T$11)</f>
        <v>40680.662715651604</v>
      </c>
      <c r="U35" s="60">
        <v>0</v>
      </c>
      <c r="V35" s="60">
        <v>3100</v>
      </c>
      <c r="W35" s="60">
        <f>(W34*($K$1/12))+W34+$W$5</f>
        <v>2925.848035823492</v>
      </c>
      <c r="X35" s="11">
        <v>0</v>
      </c>
      <c r="Y35" s="60">
        <f>(Y34*$K$1/12)+Y34</f>
        <v>30950.705039583314</v>
      </c>
      <c r="Z35" s="11">
        <v>0</v>
      </c>
      <c r="AA35" s="12">
        <f t="shared" si="2"/>
        <v>119255.32252682585</v>
      </c>
      <c r="AB35" s="56">
        <f t="shared" si="73"/>
        <v>750</v>
      </c>
      <c r="AC35" s="56">
        <f t="shared" si="73"/>
        <v>750</v>
      </c>
      <c r="AD35" s="56">
        <f t="shared" si="73"/>
        <v>750</v>
      </c>
      <c r="AE35" s="56">
        <f t="shared" si="73"/>
        <v>750</v>
      </c>
      <c r="AF35" s="56">
        <f t="shared" si="74"/>
        <v>253.50982514306841</v>
      </c>
      <c r="AG35" s="56">
        <f t="shared" si="73"/>
        <v>750</v>
      </c>
      <c r="AH35" s="56">
        <f t="shared" si="83"/>
        <v>45746.840219112491</v>
      </c>
      <c r="AI35" s="56">
        <f t="shared" si="84"/>
        <v>14940.84879151858</v>
      </c>
      <c r="AJ35" s="11">
        <v>0</v>
      </c>
      <c r="AK35" s="11">
        <v>0</v>
      </c>
      <c r="AL35" s="11">
        <v>0</v>
      </c>
      <c r="AM35" s="12">
        <f t="shared" si="12"/>
        <v>-64691.198835774136</v>
      </c>
      <c r="AN35" s="75">
        <f t="shared" si="85"/>
        <v>54564.123691051718</v>
      </c>
      <c r="AO35" s="86">
        <v>0</v>
      </c>
      <c r="AP35" s="79">
        <v>0</v>
      </c>
      <c r="AQ35" s="87"/>
      <c r="AR35" s="20">
        <f t="shared" ref="AR35:AR314" si="115">SUM(AB35:AG35)</f>
        <v>4003.5098251430686</v>
      </c>
      <c r="AS35" s="20">
        <v>750</v>
      </c>
      <c r="AT35" s="20">
        <v>0</v>
      </c>
      <c r="AU35" s="20">
        <f t="shared" ref="AU35:AU314" si="116">SUM(AR35:AT35)</f>
        <v>4753.5098251430682</v>
      </c>
      <c r="AV35" s="20">
        <f t="shared" si="71"/>
        <v>4752.0200000000004</v>
      </c>
      <c r="AW35" s="51">
        <f t="shared" si="5"/>
        <v>0</v>
      </c>
      <c r="AX35" s="51">
        <f t="shared" si="14"/>
        <v>0</v>
      </c>
      <c r="AY35" s="51">
        <f t="shared" si="15"/>
        <v>0</v>
      </c>
      <c r="AZ35" s="51">
        <f t="shared" si="16"/>
        <v>0</v>
      </c>
      <c r="BA35" s="51">
        <f t="shared" si="17"/>
        <v>0</v>
      </c>
      <c r="BB35" s="51">
        <f t="shared" si="18"/>
        <v>0</v>
      </c>
      <c r="BC35" s="51">
        <f t="shared" si="19"/>
        <v>0</v>
      </c>
      <c r="BD35" s="51">
        <f t="shared" si="20"/>
        <v>0</v>
      </c>
      <c r="BE35" s="51">
        <f t="shared" si="21"/>
        <v>0</v>
      </c>
      <c r="BF35" s="51">
        <f t="shared" si="22"/>
        <v>0</v>
      </c>
      <c r="BG35" s="51">
        <f t="shared" si="23"/>
        <v>0</v>
      </c>
      <c r="BH35" s="51">
        <f t="shared" si="24"/>
        <v>0</v>
      </c>
      <c r="BI35" s="51">
        <f t="shared" ref="BI35:BI314" si="117">$AU35*AW35</f>
        <v>0</v>
      </c>
      <c r="BJ35" s="51">
        <f t="shared" ref="BJ35:BJ314" si="118">$AU35*AX35</f>
        <v>0</v>
      </c>
      <c r="BK35" s="51">
        <f t="shared" ref="BK35:BK314" si="119">$AU35*AY35</f>
        <v>0</v>
      </c>
      <c r="BL35" s="51">
        <f t="shared" ref="BL35:BL314" si="120">$AU35*AZ35</f>
        <v>0</v>
      </c>
      <c r="BM35" s="51">
        <f t="shared" ref="BM35:BM314" si="121">$AU35*BA35</f>
        <v>0</v>
      </c>
      <c r="BN35" s="51">
        <f t="shared" ref="BN35:BN314" si="122">$AU35*BB35</f>
        <v>0</v>
      </c>
      <c r="BO35" s="51">
        <f t="shared" ref="BO35:BO314" si="123">$AU35*BC35</f>
        <v>0</v>
      </c>
      <c r="BP35" s="51">
        <f t="shared" ref="BP35:BP314" si="124">$AU35*BD35</f>
        <v>0</v>
      </c>
      <c r="BQ35" s="51">
        <f t="shared" ref="BQ35:BQ314" si="125">$AU35*BE35</f>
        <v>0</v>
      </c>
      <c r="BR35" s="51">
        <f t="shared" ref="BR35:BR314" si="126">$AU35*BF35</f>
        <v>0</v>
      </c>
      <c r="BS35" s="51">
        <f t="shared" ref="BS35:BS314" si="127">$AU35*BG35</f>
        <v>0</v>
      </c>
      <c r="BT35" s="51">
        <f t="shared" ref="BT35:BT314" si="128">$AU35*BH35</f>
        <v>0</v>
      </c>
      <c r="BU35" s="20">
        <f t="shared" ref="BU35:BU53" si="129">AVERAGE(AU33:AU35)</f>
        <v>4754.4460709903333</v>
      </c>
      <c r="BV35" s="20">
        <f t="shared" si="111"/>
        <v>5200.2456439049902</v>
      </c>
      <c r="BW35" s="20">
        <f t="shared" ref="BW35:BW314" si="130">AU35*12</f>
        <v>57042.117901716818</v>
      </c>
      <c r="BX35" s="20">
        <f t="shared" ref="BX35:BX314" si="131">BU35*12</f>
        <v>57053.352851884003</v>
      </c>
      <c r="BY35" s="20">
        <f t="shared" ref="BY35:BY314" si="132">BV35*12</f>
        <v>62402.947726859886</v>
      </c>
      <c r="BZ35" s="21">
        <f t="shared" ref="BZ35:BZ314" si="133">IF(BY35&gt;0,AVERAGE(BW35:BY35), IF(BX35&gt;0,AVERAGE(BW35:BX35), BW35))</f>
        <v>58832.806160153566</v>
      </c>
      <c r="CA35" s="19">
        <f t="shared" si="47"/>
        <v>1470820.1540038392</v>
      </c>
      <c r="CB35" s="20">
        <f t="shared" ref="CB35:CB46" si="134">AVERAGE(CA33:CA35)</f>
        <v>1462349.6324348466</v>
      </c>
      <c r="CC35" s="20">
        <f t="shared" si="112"/>
        <v>1474972.1251708257</v>
      </c>
      <c r="CD35" s="20">
        <f t="shared" si="48"/>
        <v>0</v>
      </c>
      <c r="CE35" s="20">
        <f t="shared" si="113"/>
        <v>1400000</v>
      </c>
      <c r="CF35" s="20">
        <f t="shared" si="37"/>
        <v>92855.42966464677</v>
      </c>
      <c r="CG35" s="20">
        <f t="shared" ref="CG35:CG46" si="135">CA$11*CF35</f>
        <v>3714.2171865858709</v>
      </c>
      <c r="CH35" s="20">
        <f t="shared" si="39"/>
        <v>309.51809888215593</v>
      </c>
      <c r="CI35" s="20">
        <f t="shared" ref="CI35:CI46" si="136">AVERAGE(CF33:CF35)</f>
        <v>91134.894430580971</v>
      </c>
      <c r="CJ35" s="24">
        <f t="shared" ref="CJ35:CJ46" si="137">CF35/CB35</f>
        <v>6.3497420592940071E-2</v>
      </c>
      <c r="CK35" s="24">
        <f t="shared" ref="CK35:CK46" si="138">(CF35-CF34)/CF34</f>
        <v>1.8913602010121391E-2</v>
      </c>
      <c r="CL35" s="24">
        <f t="shared" ref="CL35:CL46" si="139">(CF35-CF32)/CF32</f>
        <v>5.8635800992562444E-2</v>
      </c>
      <c r="CM35" s="25">
        <f t="shared" si="114"/>
        <v>0.43278965601243879</v>
      </c>
      <c r="CN35" s="17"/>
      <c r="CO35" s="17"/>
      <c r="CP35" s="17"/>
      <c r="CQ35" s="17"/>
      <c r="CR35" s="17"/>
      <c r="CS35" s="17"/>
      <c r="CT35" s="17"/>
      <c r="CU35" s="17"/>
      <c r="CV35" s="17"/>
      <c r="CW35" s="30">
        <v>0</v>
      </c>
      <c r="CX35" s="17"/>
      <c r="CY35" s="17"/>
      <c r="CZ35" s="17"/>
      <c r="DA35" s="17"/>
      <c r="DB35" s="17"/>
    </row>
    <row r="36" spans="1:106" ht="15.75" thickBot="1" x14ac:dyDescent="0.3">
      <c r="A36" s="5">
        <f t="shared" si="70"/>
        <v>26</v>
      </c>
      <c r="B36" s="5">
        <f t="shared" si="69"/>
        <v>24</v>
      </c>
      <c r="C36" s="1">
        <v>43313</v>
      </c>
      <c r="D36" s="4"/>
      <c r="E36" s="30"/>
      <c r="F36" s="30"/>
      <c r="G36" s="30"/>
      <c r="H36" s="30"/>
      <c r="I36" s="10">
        <v>0</v>
      </c>
      <c r="J36" s="60">
        <v>9000</v>
      </c>
      <c r="K36" s="11">
        <v>550</v>
      </c>
      <c r="L36" s="60">
        <f t="shared" si="72"/>
        <v>9074.054238746332</v>
      </c>
      <c r="M36" s="11">
        <v>305</v>
      </c>
      <c r="N36" s="60">
        <f>(N35*($K$1/12))+N35 + $N$5</f>
        <v>4605.5245680229091</v>
      </c>
      <c r="O36" s="11">
        <v>0</v>
      </c>
      <c r="P36" s="11">
        <v>0</v>
      </c>
      <c r="Q36" s="60">
        <f>(Q35*($K$1/12))+Q35</f>
        <v>9068.719885046683</v>
      </c>
      <c r="R36" s="60">
        <f>(R35*($K$1/12))+R35</f>
        <v>5417.3145635129413</v>
      </c>
      <c r="S36" s="60">
        <f>(S35*($K$1/12))+S35</f>
        <v>3911.2947501773401</v>
      </c>
      <c r="T36" s="60">
        <f>(T35*($K$1/12))+T35+$T$5 + ((3%/12)*T$11)</f>
        <v>42001.016305361387</v>
      </c>
      <c r="U36" s="60">
        <f>(U35*$K$1/12) + U35 + ((U$11/12*7%))</f>
        <v>408.33333333333337</v>
      </c>
      <c r="V36" s="60">
        <v>3100</v>
      </c>
      <c r="W36" s="60">
        <f>(W35*($K$1/12))+W35+$W$5</f>
        <v>3071.6963793508694</v>
      </c>
      <c r="X36" s="11">
        <v>0</v>
      </c>
      <c r="Y36" s="60">
        <f>(Y35*$K$1/12)+Y35</f>
        <v>31118.354691881057</v>
      </c>
      <c r="Z36" s="11">
        <v>0</v>
      </c>
      <c r="AA36" s="12">
        <f t="shared" si="2"/>
        <v>121631.30871543284</v>
      </c>
      <c r="AB36" s="56">
        <f t="shared" si="73"/>
        <v>750</v>
      </c>
      <c r="AC36" s="56">
        <f t="shared" si="73"/>
        <v>750</v>
      </c>
      <c r="AD36" s="56">
        <f t="shared" si="73"/>
        <v>750</v>
      </c>
      <c r="AE36" s="56">
        <f t="shared" si="73"/>
        <v>750</v>
      </c>
      <c r="AF36" s="56">
        <f t="shared" si="74"/>
        <v>259.28481057165749</v>
      </c>
      <c r="AG36" s="56">
        <f t="shared" si="73"/>
        <v>750</v>
      </c>
      <c r="AH36" s="56">
        <f t="shared" si="83"/>
        <v>45949.269987082065</v>
      </c>
      <c r="AI36" s="56">
        <f t="shared" si="84"/>
        <v>15015.553035476172</v>
      </c>
      <c r="AJ36" s="56">
        <v>16000</v>
      </c>
      <c r="AK36" s="11">
        <v>0</v>
      </c>
      <c r="AL36" s="11">
        <v>0</v>
      </c>
      <c r="AM36" s="12">
        <f t="shared" si="12"/>
        <v>-80974.107833129892</v>
      </c>
      <c r="AN36" s="75">
        <f t="shared" si="85"/>
        <v>40657.200882302946</v>
      </c>
      <c r="AO36" s="86">
        <v>0</v>
      </c>
      <c r="AP36" s="79">
        <v>0</v>
      </c>
      <c r="AQ36" s="87"/>
      <c r="AR36" s="20">
        <f t="shared" si="115"/>
        <v>4009.2848105716575</v>
      </c>
      <c r="AS36" s="20">
        <v>750</v>
      </c>
      <c r="AT36" s="20">
        <v>0</v>
      </c>
      <c r="AU36" s="20">
        <f t="shared" si="116"/>
        <v>4759.2848105716575</v>
      </c>
      <c r="AV36" s="20">
        <f t="shared" si="71"/>
        <v>5406.63</v>
      </c>
      <c r="AW36" s="51">
        <f t="shared" si="5"/>
        <v>0</v>
      </c>
      <c r="AX36" s="51">
        <f t="shared" si="14"/>
        <v>0</v>
      </c>
      <c r="AY36" s="51">
        <f t="shared" si="15"/>
        <v>0</v>
      </c>
      <c r="AZ36" s="51">
        <f t="shared" si="16"/>
        <v>0</v>
      </c>
      <c r="BA36" s="51">
        <f t="shared" si="17"/>
        <v>0</v>
      </c>
      <c r="BB36" s="51">
        <f t="shared" si="18"/>
        <v>0</v>
      </c>
      <c r="BC36" s="51">
        <f t="shared" si="19"/>
        <v>0</v>
      </c>
      <c r="BD36" s="51">
        <f t="shared" si="20"/>
        <v>0</v>
      </c>
      <c r="BE36" s="51">
        <f t="shared" si="21"/>
        <v>0</v>
      </c>
      <c r="BF36" s="51">
        <f t="shared" si="22"/>
        <v>0</v>
      </c>
      <c r="BG36" s="51">
        <f t="shared" si="23"/>
        <v>0</v>
      </c>
      <c r="BH36" s="51">
        <f t="shared" si="24"/>
        <v>0</v>
      </c>
      <c r="BI36" s="51">
        <f t="shared" si="117"/>
        <v>0</v>
      </c>
      <c r="BJ36" s="51">
        <f t="shared" si="118"/>
        <v>0</v>
      </c>
      <c r="BK36" s="51">
        <f t="shared" si="119"/>
        <v>0</v>
      </c>
      <c r="BL36" s="51">
        <f t="shared" si="120"/>
        <v>0</v>
      </c>
      <c r="BM36" s="51">
        <f t="shared" si="121"/>
        <v>0</v>
      </c>
      <c r="BN36" s="51">
        <f t="shared" si="122"/>
        <v>0</v>
      </c>
      <c r="BO36" s="51">
        <f t="shared" si="123"/>
        <v>0</v>
      </c>
      <c r="BP36" s="51">
        <f t="shared" si="124"/>
        <v>0</v>
      </c>
      <c r="BQ36" s="51">
        <f t="shared" si="125"/>
        <v>0</v>
      </c>
      <c r="BR36" s="51">
        <f t="shared" si="126"/>
        <v>0</v>
      </c>
      <c r="BS36" s="51">
        <f t="shared" si="127"/>
        <v>0</v>
      </c>
      <c r="BT36" s="51">
        <f t="shared" si="128"/>
        <v>0</v>
      </c>
      <c r="BU36" s="20">
        <f t="shared" si="129"/>
        <v>4756.1304657950832</v>
      </c>
      <c r="BV36" s="20">
        <f t="shared" si="111"/>
        <v>5146.3002114526289</v>
      </c>
      <c r="BW36" s="20">
        <f t="shared" si="130"/>
        <v>57111.417726859887</v>
      </c>
      <c r="BX36" s="20">
        <f t="shared" si="131"/>
        <v>57073.565589541002</v>
      </c>
      <c r="BY36" s="20">
        <f t="shared" si="132"/>
        <v>61755.60253743155</v>
      </c>
      <c r="BZ36" s="21">
        <f t="shared" si="133"/>
        <v>58646.861951277475</v>
      </c>
      <c r="CA36" s="19">
        <f t="shared" si="47"/>
        <v>1466171.5487819368</v>
      </c>
      <c r="CB36" s="20">
        <f t="shared" si="134"/>
        <v>1469307.6619896023</v>
      </c>
      <c r="CC36" s="20">
        <f t="shared" si="112"/>
        <v>1474660.7959026538</v>
      </c>
      <c r="CD36" s="20">
        <f t="shared" si="48"/>
        <v>0</v>
      </c>
      <c r="CE36" s="20">
        <f t="shared" si="113"/>
        <v>1400000</v>
      </c>
      <c r="CF36" s="20">
        <f t="shared" si="37"/>
        <v>94996.729908663605</v>
      </c>
      <c r="CG36" s="20">
        <f t="shared" si="135"/>
        <v>3799.8691963465444</v>
      </c>
      <c r="CH36" s="20">
        <f t="shared" si="39"/>
        <v>316.65576636221203</v>
      </c>
      <c r="CI36" s="20">
        <f t="shared" si="136"/>
        <v>92994.652886524404</v>
      </c>
      <c r="CJ36" s="24">
        <f t="shared" si="137"/>
        <v>6.4654076451236706E-2</v>
      </c>
      <c r="CK36" s="24">
        <f t="shared" si="138"/>
        <v>2.3060581936352839E-2</v>
      </c>
      <c r="CL36" s="24">
        <f t="shared" si="139"/>
        <v>6.2395819658257433E-2</v>
      </c>
      <c r="CM36" s="25">
        <f t="shared" si="114"/>
        <v>0.41544777382129539</v>
      </c>
      <c r="CN36" s="17"/>
      <c r="CO36" s="17"/>
      <c r="CP36" s="17"/>
      <c r="CQ36" s="17"/>
      <c r="CR36" s="17"/>
      <c r="CS36" s="17"/>
      <c r="CT36" s="17"/>
      <c r="CU36" s="17"/>
      <c r="CV36" s="17"/>
      <c r="CW36" s="30">
        <v>0</v>
      </c>
      <c r="CX36" s="17"/>
      <c r="CY36" s="17"/>
      <c r="CZ36" s="17"/>
      <c r="DA36" s="17"/>
      <c r="DB36" s="17"/>
    </row>
    <row r="37" spans="1:106" ht="15.75" thickBot="1" x14ac:dyDescent="0.3">
      <c r="A37" s="5">
        <f t="shared" si="70"/>
        <v>26</v>
      </c>
      <c r="B37" s="5">
        <f t="shared" si="69"/>
        <v>24</v>
      </c>
      <c r="C37" s="1">
        <v>43344</v>
      </c>
      <c r="D37" s="4"/>
      <c r="E37" s="30"/>
      <c r="F37" s="30"/>
      <c r="G37" s="30"/>
      <c r="H37" s="30"/>
      <c r="I37" s="10">
        <v>0</v>
      </c>
      <c r="J37" s="60">
        <v>9000</v>
      </c>
      <c r="K37" s="11">
        <v>550</v>
      </c>
      <c r="L37" s="60">
        <f t="shared" si="72"/>
        <v>9085.0187209514825</v>
      </c>
      <c r="M37" s="11">
        <v>305</v>
      </c>
      <c r="N37" s="60">
        <f>(N36*($K$1/12))+N36 + $N$5</f>
        <v>4830.4711594330329</v>
      </c>
      <c r="O37" s="11">
        <v>0</v>
      </c>
      <c r="P37" s="11">
        <v>0</v>
      </c>
      <c r="Q37" s="60">
        <f>(Q36*($K$1/12))+Q36</f>
        <v>9117.8421177573528</v>
      </c>
      <c r="R37" s="60">
        <f>(R36*($K$1/12))+R36</f>
        <v>5446.6583507319701</v>
      </c>
      <c r="S37" s="60">
        <f>(S36*($K$1/12))+S36</f>
        <v>3932.480930074134</v>
      </c>
      <c r="T37" s="60">
        <f>(T36*($K$1/12))+T36+$T$5 + ((3%/12)*T$11)</f>
        <v>43328.521810348764</v>
      </c>
      <c r="U37" s="60">
        <f>(U36*$K$1/12) + U36 + ((U$11/12*7%))</f>
        <v>818.87847222222229</v>
      </c>
      <c r="V37" s="60">
        <v>3100</v>
      </c>
      <c r="W37" s="60">
        <f>(W36*($K$1/12))+W36+$W$5</f>
        <v>3218.33473473902</v>
      </c>
      <c r="X37" s="11">
        <v>0</v>
      </c>
      <c r="Y37" s="60">
        <f>(Y36*$K$1/12)+Y36</f>
        <v>31286.91244646208</v>
      </c>
      <c r="Z37" s="11">
        <v>0</v>
      </c>
      <c r="AA37" s="12">
        <f t="shared" si="2"/>
        <v>124020.11874272006</v>
      </c>
      <c r="AB37" s="56">
        <f t="shared" si="73"/>
        <v>750</v>
      </c>
      <c r="AC37" s="56">
        <f t="shared" si="73"/>
        <v>750</v>
      </c>
      <c r="AD37" s="56">
        <f t="shared" si="73"/>
        <v>750</v>
      </c>
      <c r="AE37" s="56">
        <f t="shared" si="73"/>
        <v>750</v>
      </c>
      <c r="AF37" s="56">
        <f t="shared" si="74"/>
        <v>271.39687811929554</v>
      </c>
      <c r="AG37" s="56">
        <f t="shared" si="73"/>
        <v>750</v>
      </c>
      <c r="AH37" s="56">
        <f t="shared" si="83"/>
        <v>46152.595506774902</v>
      </c>
      <c r="AI37" s="56">
        <f t="shared" si="84"/>
        <v>15090.630800653553</v>
      </c>
      <c r="AJ37" s="56">
        <f t="shared" ref="AJ37:AJ58" si="140">(AJ36*(AJ$11/12))+AJ36</f>
        <v>16086.666666666666</v>
      </c>
      <c r="AK37" s="11">
        <v>0</v>
      </c>
      <c r="AL37" s="11">
        <v>0</v>
      </c>
      <c r="AM37" s="12">
        <f t="shared" si="12"/>
        <v>-81351.289852214424</v>
      </c>
      <c r="AN37" s="75">
        <f t="shared" si="85"/>
        <v>42668.82889050564</v>
      </c>
      <c r="AO37" s="86">
        <v>0</v>
      </c>
      <c r="AP37" s="79">
        <v>0</v>
      </c>
      <c r="AQ37" s="87"/>
      <c r="AR37" s="20">
        <f t="shared" si="115"/>
        <v>4021.3968781192957</v>
      </c>
      <c r="AS37" s="20">
        <v>750</v>
      </c>
      <c r="AT37" s="20">
        <v>0</v>
      </c>
      <c r="AU37" s="20">
        <f t="shared" si="116"/>
        <v>4771.3968781192962</v>
      </c>
      <c r="AV37" s="20">
        <f t="shared" si="71"/>
        <v>5955.16</v>
      </c>
      <c r="AW37" s="51">
        <f t="shared" si="5"/>
        <v>0</v>
      </c>
      <c r="AX37" s="51">
        <f t="shared" si="14"/>
        <v>0</v>
      </c>
      <c r="AY37" s="51">
        <f t="shared" si="15"/>
        <v>0</v>
      </c>
      <c r="AZ37" s="51">
        <f t="shared" si="16"/>
        <v>0</v>
      </c>
      <c r="BA37" s="51">
        <f t="shared" si="17"/>
        <v>0</v>
      </c>
      <c r="BB37" s="51">
        <f t="shared" si="18"/>
        <v>0</v>
      </c>
      <c r="BC37" s="51">
        <f t="shared" si="19"/>
        <v>0</v>
      </c>
      <c r="BD37" s="51">
        <f t="shared" si="20"/>
        <v>0</v>
      </c>
      <c r="BE37" s="51">
        <f t="shared" si="21"/>
        <v>0</v>
      </c>
      <c r="BF37" s="51">
        <f t="shared" si="22"/>
        <v>0</v>
      </c>
      <c r="BG37" s="51">
        <f t="shared" si="23"/>
        <v>0</v>
      </c>
      <c r="BH37" s="51">
        <f t="shared" si="24"/>
        <v>0</v>
      </c>
      <c r="BI37" s="51">
        <f t="shared" si="117"/>
        <v>0</v>
      </c>
      <c r="BJ37" s="51">
        <f t="shared" si="118"/>
        <v>0</v>
      </c>
      <c r="BK37" s="51">
        <f t="shared" si="119"/>
        <v>0</v>
      </c>
      <c r="BL37" s="51">
        <f t="shared" si="120"/>
        <v>0</v>
      </c>
      <c r="BM37" s="51">
        <f t="shared" si="121"/>
        <v>0</v>
      </c>
      <c r="BN37" s="51">
        <f t="shared" si="122"/>
        <v>0</v>
      </c>
      <c r="BO37" s="51">
        <f t="shared" si="123"/>
        <v>0</v>
      </c>
      <c r="BP37" s="51">
        <f t="shared" si="124"/>
        <v>0</v>
      </c>
      <c r="BQ37" s="51">
        <f t="shared" si="125"/>
        <v>0</v>
      </c>
      <c r="BR37" s="51">
        <f t="shared" si="126"/>
        <v>0</v>
      </c>
      <c r="BS37" s="51">
        <f t="shared" si="127"/>
        <v>0</v>
      </c>
      <c r="BT37" s="51">
        <f t="shared" si="128"/>
        <v>0</v>
      </c>
      <c r="BU37" s="20">
        <f t="shared" si="129"/>
        <v>4761.3971712780076</v>
      </c>
      <c r="BV37" s="20">
        <f t="shared" si="111"/>
        <v>5047.6532846292366</v>
      </c>
      <c r="BW37" s="20">
        <f t="shared" si="130"/>
        <v>57256.762537431554</v>
      </c>
      <c r="BX37" s="20">
        <f t="shared" si="131"/>
        <v>57136.766055336091</v>
      </c>
      <c r="BY37" s="20">
        <f t="shared" si="132"/>
        <v>60571.839415550843</v>
      </c>
      <c r="BZ37" s="21">
        <f t="shared" si="133"/>
        <v>58321.789336106158</v>
      </c>
      <c r="CA37" s="19">
        <f t="shared" si="47"/>
        <v>1458044.7334026538</v>
      </c>
      <c r="CB37" s="20">
        <f t="shared" si="134"/>
        <v>1465012.1453961432</v>
      </c>
      <c r="CC37" s="20">
        <f t="shared" si="112"/>
        <v>1475809.127852875</v>
      </c>
      <c r="CD37" s="20">
        <f t="shared" si="48"/>
        <v>0</v>
      </c>
      <c r="CE37" s="20">
        <f t="shared" si="113"/>
        <v>1400000</v>
      </c>
      <c r="CF37" s="20">
        <f t="shared" si="37"/>
        <v>97149.62886233555</v>
      </c>
      <c r="CG37" s="20">
        <f t="shared" si="135"/>
        <v>3885.9851544934222</v>
      </c>
      <c r="CH37" s="20">
        <f t="shared" si="39"/>
        <v>323.83209620778518</v>
      </c>
      <c r="CI37" s="20">
        <f t="shared" si="136"/>
        <v>95000.596145215313</v>
      </c>
      <c r="CJ37" s="24">
        <f t="shared" si="137"/>
        <v>6.6313190076704817E-2</v>
      </c>
      <c r="CK37" s="24">
        <f t="shared" si="138"/>
        <v>2.2662874350958088E-2</v>
      </c>
      <c r="CL37" s="24">
        <f t="shared" si="139"/>
        <v>6.6034357232170826E-2</v>
      </c>
      <c r="CM37" s="25">
        <f t="shared" si="114"/>
        <v>0.41202305323333521</v>
      </c>
      <c r="CN37" s="17"/>
      <c r="CO37" s="17"/>
      <c r="CP37" s="17"/>
      <c r="CQ37" s="17"/>
      <c r="CR37" s="17"/>
      <c r="CS37" s="17"/>
      <c r="CT37" s="17"/>
      <c r="CU37" s="17"/>
      <c r="CV37" s="17"/>
      <c r="CW37" s="30">
        <v>0</v>
      </c>
      <c r="CX37" s="17"/>
      <c r="CY37" s="17"/>
      <c r="CZ37" s="17"/>
      <c r="DA37" s="17"/>
      <c r="DB37" s="17"/>
    </row>
    <row r="38" spans="1:106" ht="15.75" thickBot="1" x14ac:dyDescent="0.3">
      <c r="A38" s="5">
        <f t="shared" si="70"/>
        <v>26</v>
      </c>
      <c r="B38" s="5">
        <f t="shared" si="69"/>
        <v>25</v>
      </c>
      <c r="C38" s="1">
        <v>43374</v>
      </c>
      <c r="D38" s="4"/>
      <c r="E38" s="30"/>
      <c r="F38" s="30"/>
      <c r="G38" s="30"/>
      <c r="H38" s="30"/>
      <c r="I38" s="10">
        <v>0</v>
      </c>
      <c r="J38" s="60">
        <v>9000</v>
      </c>
      <c r="K38" s="11">
        <v>550</v>
      </c>
      <c r="L38" s="60">
        <f t="shared" si="72"/>
        <v>9095.9964519059649</v>
      </c>
      <c r="M38" s="11">
        <v>305</v>
      </c>
      <c r="N38" s="60">
        <f>(N37*($K$1/12))+N37 + $N$5</f>
        <v>5056.6362115466281</v>
      </c>
      <c r="O38" s="11">
        <v>0</v>
      </c>
      <c r="P38" s="11">
        <v>0</v>
      </c>
      <c r="Q38" s="60">
        <f>(Q37*($K$1/12))+Q37</f>
        <v>9167.2304292285389</v>
      </c>
      <c r="R38" s="60">
        <f>(R37*($K$1/12))+R37</f>
        <v>5476.1610834651019</v>
      </c>
      <c r="S38" s="60">
        <f>(S37*($K$1/12))+S37</f>
        <v>3953.7818684453687</v>
      </c>
      <c r="T38" s="60">
        <f>(T37*($K$1/12))+T37+$T$5 + ((3%/12)*T$11)</f>
        <v>44663.217970154823</v>
      </c>
      <c r="U38" s="60">
        <f>(U37*$K$1/12) + U37 + ((U$11/12*7%))</f>
        <v>1231.6473972800927</v>
      </c>
      <c r="V38" s="60">
        <v>3100</v>
      </c>
      <c r="W38" s="60">
        <f>(W37*($K$1/12))+W37+$W$5</f>
        <v>3365.7673812188564</v>
      </c>
      <c r="X38" s="11">
        <v>0</v>
      </c>
      <c r="Y38" s="60">
        <f>(Y37*$K$1/12)+Y37</f>
        <v>31456.38322221375</v>
      </c>
      <c r="Z38" s="11">
        <v>0</v>
      </c>
      <c r="AA38" s="12">
        <f t="shared" si="2"/>
        <v>126421.82201545913</v>
      </c>
      <c r="AB38" s="56">
        <f t="shared" si="73"/>
        <v>750</v>
      </c>
      <c r="AC38" s="56">
        <f t="shared" si="73"/>
        <v>750</v>
      </c>
      <c r="AD38" s="56">
        <f t="shared" si="73"/>
        <v>750</v>
      </c>
      <c r="AE38" s="56">
        <f t="shared" si="73"/>
        <v>750</v>
      </c>
      <c r="AF38" s="56">
        <f t="shared" si="74"/>
        <v>265.85495129590356</v>
      </c>
      <c r="AG38" s="56">
        <f t="shared" si="73"/>
        <v>750</v>
      </c>
      <c r="AH38" s="56">
        <f t="shared" si="83"/>
        <v>46356.820741892378</v>
      </c>
      <c r="AI38" s="56">
        <f t="shared" si="84"/>
        <v>15166.08395465682</v>
      </c>
      <c r="AJ38" s="56">
        <f t="shared" si="140"/>
        <v>16173.802777777777</v>
      </c>
      <c r="AK38" s="11">
        <v>0</v>
      </c>
      <c r="AL38" s="11">
        <v>0</v>
      </c>
      <c r="AM38" s="12">
        <f t="shared" si="12"/>
        <v>-81712.562425622877</v>
      </c>
      <c r="AN38" s="75">
        <f t="shared" si="85"/>
        <v>44709.259589836249</v>
      </c>
      <c r="AO38" s="86">
        <v>0</v>
      </c>
      <c r="AP38" s="79">
        <v>0</v>
      </c>
      <c r="AQ38" s="87"/>
      <c r="AR38" s="20">
        <f t="shared" si="115"/>
        <v>4015.8549512959034</v>
      </c>
      <c r="AS38" s="20">
        <v>750</v>
      </c>
      <c r="AT38" s="20">
        <v>0</v>
      </c>
      <c r="AU38" s="20">
        <f t="shared" si="116"/>
        <v>4765.8549512959034</v>
      </c>
      <c r="AV38" s="20">
        <f t="shared" si="71"/>
        <v>5878.0599999999995</v>
      </c>
      <c r="AW38" s="51">
        <f t="shared" si="5"/>
        <v>0</v>
      </c>
      <c r="AX38" s="51">
        <f t="shared" si="14"/>
        <v>0</v>
      </c>
      <c r="AY38" s="51">
        <f t="shared" si="15"/>
        <v>0</v>
      </c>
      <c r="AZ38" s="51">
        <f t="shared" si="16"/>
        <v>0</v>
      </c>
      <c r="BA38" s="51">
        <f t="shared" si="17"/>
        <v>0</v>
      </c>
      <c r="BB38" s="51">
        <f t="shared" si="18"/>
        <v>0</v>
      </c>
      <c r="BC38" s="51">
        <f t="shared" si="19"/>
        <v>0</v>
      </c>
      <c r="BD38" s="51">
        <f t="shared" si="20"/>
        <v>0</v>
      </c>
      <c r="BE38" s="51">
        <f t="shared" si="21"/>
        <v>0</v>
      </c>
      <c r="BF38" s="51">
        <f t="shared" si="22"/>
        <v>0</v>
      </c>
      <c r="BG38" s="51">
        <f t="shared" si="23"/>
        <v>0</v>
      </c>
      <c r="BH38" s="51">
        <f t="shared" si="24"/>
        <v>0</v>
      </c>
      <c r="BI38" s="51">
        <f t="shared" si="117"/>
        <v>0</v>
      </c>
      <c r="BJ38" s="51">
        <f t="shared" si="118"/>
        <v>0</v>
      </c>
      <c r="BK38" s="51">
        <f t="shared" si="119"/>
        <v>0</v>
      </c>
      <c r="BL38" s="51">
        <f t="shared" si="120"/>
        <v>0</v>
      </c>
      <c r="BM38" s="51">
        <f t="shared" si="121"/>
        <v>0</v>
      </c>
      <c r="BN38" s="51">
        <f t="shared" si="122"/>
        <v>0</v>
      </c>
      <c r="BO38" s="51">
        <f t="shared" si="123"/>
        <v>0</v>
      </c>
      <c r="BP38" s="51">
        <f t="shared" si="124"/>
        <v>0</v>
      </c>
      <c r="BQ38" s="51">
        <f t="shared" si="125"/>
        <v>0</v>
      </c>
      <c r="BR38" s="51">
        <f t="shared" si="126"/>
        <v>0</v>
      </c>
      <c r="BS38" s="51">
        <f t="shared" si="127"/>
        <v>0</v>
      </c>
      <c r="BT38" s="51">
        <f t="shared" si="128"/>
        <v>0</v>
      </c>
      <c r="BU38" s="20">
        <f t="shared" si="129"/>
        <v>4765.5122133289524</v>
      </c>
      <c r="BV38" s="20">
        <f t="shared" si="111"/>
        <v>4954.9695305705618</v>
      </c>
      <c r="BW38" s="20">
        <f t="shared" si="130"/>
        <v>57190.259415550841</v>
      </c>
      <c r="BX38" s="20">
        <f t="shared" si="131"/>
        <v>57186.146559947432</v>
      </c>
      <c r="BY38" s="20">
        <f t="shared" si="132"/>
        <v>59459.634366846745</v>
      </c>
      <c r="BZ38" s="21">
        <f t="shared" si="133"/>
        <v>57945.346780781671</v>
      </c>
      <c r="CA38" s="19">
        <f t="shared" si="47"/>
        <v>1448633.6695195418</v>
      </c>
      <c r="CB38" s="20">
        <f t="shared" si="134"/>
        <v>1457616.650568044</v>
      </c>
      <c r="CC38" s="20">
        <f t="shared" si="112"/>
        <v>1472014.7392017257</v>
      </c>
      <c r="CD38" s="20">
        <f t="shared" si="48"/>
        <v>0</v>
      </c>
      <c r="CE38" s="20">
        <f t="shared" si="113"/>
        <v>1400000</v>
      </c>
      <c r="CF38" s="20">
        <f t="shared" si="37"/>
        <v>99314.189352006535</v>
      </c>
      <c r="CG38" s="20">
        <f t="shared" si="135"/>
        <v>3972.5675740802617</v>
      </c>
      <c r="CH38" s="20">
        <f t="shared" si="39"/>
        <v>331.04729784002183</v>
      </c>
      <c r="CI38" s="20">
        <f t="shared" si="136"/>
        <v>97153.516041001887</v>
      </c>
      <c r="CJ38" s="24">
        <f t="shared" si="137"/>
        <v>6.8134642474962856E-2</v>
      </c>
      <c r="CK38" s="24">
        <f t="shared" si="138"/>
        <v>2.2280687173167106E-2</v>
      </c>
      <c r="CL38" s="24">
        <f t="shared" si="139"/>
        <v>6.955715686940421E-2</v>
      </c>
      <c r="CM38" s="25">
        <f t="shared" si="114"/>
        <v>0.38581470846800942</v>
      </c>
      <c r="CN38" s="17"/>
      <c r="CO38" s="17"/>
      <c r="CP38" s="17"/>
      <c r="CQ38" s="17"/>
      <c r="CR38" s="17"/>
      <c r="CS38" s="17"/>
      <c r="CT38" s="17"/>
      <c r="CU38" s="17"/>
      <c r="CV38" s="17"/>
      <c r="CW38" s="30">
        <v>0</v>
      </c>
      <c r="CX38" s="17"/>
      <c r="CY38" s="17"/>
      <c r="CZ38" s="17"/>
      <c r="DA38" s="17"/>
      <c r="DB38" s="17"/>
    </row>
    <row r="39" spans="1:106" ht="15.75" thickBot="1" x14ac:dyDescent="0.3">
      <c r="A39" s="5">
        <f t="shared" si="70"/>
        <v>26</v>
      </c>
      <c r="B39" s="5">
        <f t="shared" si="69"/>
        <v>25</v>
      </c>
      <c r="C39" s="1">
        <v>43405</v>
      </c>
      <c r="D39" s="4"/>
      <c r="E39" s="30"/>
      <c r="F39" s="30"/>
      <c r="G39" s="30"/>
      <c r="H39" s="30"/>
      <c r="I39" s="10">
        <v>0</v>
      </c>
      <c r="J39" s="60">
        <v>9000</v>
      </c>
      <c r="K39" s="11">
        <v>550</v>
      </c>
      <c r="L39" s="60">
        <f t="shared" si="72"/>
        <v>9106.9874476186833</v>
      </c>
      <c r="M39" s="11">
        <v>305</v>
      </c>
      <c r="N39" s="60">
        <f>(N38*($K$1/12))+N38 + $N$5</f>
        <v>5284.0263243591726</v>
      </c>
      <c r="O39" s="11">
        <v>0</v>
      </c>
      <c r="P39" s="11">
        <v>0</v>
      </c>
      <c r="Q39" s="60">
        <f>(Q38*($K$1/12))+Q38</f>
        <v>9216.8862607201936</v>
      </c>
      <c r="R39" s="60">
        <f>(R38*($K$1/12))+R38</f>
        <v>5505.8236226672043</v>
      </c>
      <c r="S39" s="60">
        <f>(S38*($K$1/12))+S38</f>
        <v>3975.1981868994476</v>
      </c>
      <c r="T39" s="60">
        <f>(T38*($K$1/12))+T38+$T$5 + ((3%/12)*T$11)</f>
        <v>46005.143734159828</v>
      </c>
      <c r="U39" s="60">
        <f>(U38*$K$1/12) + U38 + ((U$11/12*7%))</f>
        <v>1646.6521540153599</v>
      </c>
      <c r="V39" s="60">
        <v>3100</v>
      </c>
      <c r="W39" s="60">
        <f>(W38*($K$1/12))+W38+$W$5</f>
        <v>3513.9986212004587</v>
      </c>
      <c r="X39" s="11">
        <v>0</v>
      </c>
      <c r="Y39" s="60">
        <f>(Y38*$K$1/12)+Y38</f>
        <v>31626.771964667409</v>
      </c>
      <c r="Z39" s="11">
        <v>0</v>
      </c>
      <c r="AA39" s="12">
        <f t="shared" si="2"/>
        <v>128836.48831630776</v>
      </c>
      <c r="AB39" s="56">
        <f t="shared" si="73"/>
        <v>750</v>
      </c>
      <c r="AC39" s="56">
        <f t="shared" si="73"/>
        <v>750</v>
      </c>
      <c r="AD39" s="56">
        <f t="shared" si="73"/>
        <v>750</v>
      </c>
      <c r="AE39" s="56">
        <f t="shared" si="73"/>
        <v>750</v>
      </c>
      <c r="AF39" s="56">
        <f t="shared" si="74"/>
        <v>261.18619723722884</v>
      </c>
      <c r="AG39" s="56">
        <f t="shared" si="73"/>
        <v>750</v>
      </c>
      <c r="AH39" s="56">
        <f t="shared" si="83"/>
        <v>46561.949673675248</v>
      </c>
      <c r="AI39" s="56">
        <f t="shared" si="84"/>
        <v>15241.914374430104</v>
      </c>
      <c r="AJ39" s="56">
        <f t="shared" si="140"/>
        <v>16261.410876157406</v>
      </c>
      <c r="AK39" s="11">
        <v>0</v>
      </c>
      <c r="AL39" s="11">
        <v>0</v>
      </c>
      <c r="AM39" s="12">
        <f t="shared" si="12"/>
        <v>-82076.461121499975</v>
      </c>
      <c r="AN39" s="75">
        <f t="shared" si="85"/>
        <v>46760.027194807786</v>
      </c>
      <c r="AO39" s="86">
        <v>0</v>
      </c>
      <c r="AP39" s="79">
        <v>0</v>
      </c>
      <c r="AQ39" s="87"/>
      <c r="AR39" s="20">
        <f t="shared" si="115"/>
        <v>4011.186197237229</v>
      </c>
      <c r="AS39" s="20">
        <v>750</v>
      </c>
      <c r="AT39" s="20">
        <v>0</v>
      </c>
      <c r="AU39" s="20">
        <f t="shared" si="116"/>
        <v>4761.186197237229</v>
      </c>
      <c r="AV39" s="20">
        <f t="shared" si="71"/>
        <v>6630.87</v>
      </c>
      <c r="AW39" s="51">
        <f t="shared" si="5"/>
        <v>0</v>
      </c>
      <c r="AX39" s="51">
        <f t="shared" si="14"/>
        <v>0</v>
      </c>
      <c r="AY39" s="51">
        <f t="shared" si="15"/>
        <v>0</v>
      </c>
      <c r="AZ39" s="51">
        <f t="shared" si="16"/>
        <v>0</v>
      </c>
      <c r="BA39" s="51">
        <f t="shared" si="17"/>
        <v>0</v>
      </c>
      <c r="BB39" s="51">
        <f t="shared" si="18"/>
        <v>0</v>
      </c>
      <c r="BC39" s="51">
        <f t="shared" si="19"/>
        <v>0</v>
      </c>
      <c r="BD39" s="51">
        <f t="shared" si="20"/>
        <v>0</v>
      </c>
      <c r="BE39" s="51">
        <f t="shared" si="21"/>
        <v>0</v>
      </c>
      <c r="BF39" s="51">
        <f t="shared" si="22"/>
        <v>0</v>
      </c>
      <c r="BG39" s="51">
        <f t="shared" si="23"/>
        <v>0</v>
      </c>
      <c r="BH39" s="51">
        <f t="shared" si="24"/>
        <v>0</v>
      </c>
      <c r="BI39" s="51">
        <f t="shared" si="117"/>
        <v>0</v>
      </c>
      <c r="BJ39" s="51">
        <f t="shared" si="118"/>
        <v>0</v>
      </c>
      <c r="BK39" s="51">
        <f t="shared" si="119"/>
        <v>0</v>
      </c>
      <c r="BL39" s="51">
        <f t="shared" si="120"/>
        <v>0</v>
      </c>
      <c r="BM39" s="51">
        <f t="shared" si="121"/>
        <v>0</v>
      </c>
      <c r="BN39" s="51">
        <f t="shared" si="122"/>
        <v>0</v>
      </c>
      <c r="BO39" s="51">
        <f t="shared" si="123"/>
        <v>0</v>
      </c>
      <c r="BP39" s="51">
        <f t="shared" si="124"/>
        <v>0</v>
      </c>
      <c r="BQ39" s="51">
        <f t="shared" si="125"/>
        <v>0</v>
      </c>
      <c r="BR39" s="51">
        <f t="shared" si="126"/>
        <v>0</v>
      </c>
      <c r="BS39" s="51">
        <f t="shared" si="127"/>
        <v>0</v>
      </c>
      <c r="BT39" s="51">
        <f t="shared" si="128"/>
        <v>0</v>
      </c>
      <c r="BU39" s="20">
        <f t="shared" si="129"/>
        <v>4766.1460088841422</v>
      </c>
      <c r="BV39" s="20">
        <f t="shared" si="111"/>
        <v>4799.1625470069966</v>
      </c>
      <c r="BW39" s="20">
        <f t="shared" si="130"/>
        <v>57134.234366846751</v>
      </c>
      <c r="BX39" s="20">
        <f t="shared" si="131"/>
        <v>57193.752106609711</v>
      </c>
      <c r="BY39" s="20">
        <f t="shared" si="132"/>
        <v>57589.950564083963</v>
      </c>
      <c r="BZ39" s="21">
        <f t="shared" si="133"/>
        <v>57305.979012513475</v>
      </c>
      <c r="CA39" s="19">
        <f t="shared" si="47"/>
        <v>1432649.4753128369</v>
      </c>
      <c r="CB39" s="20">
        <f t="shared" si="134"/>
        <v>1446442.6260783442</v>
      </c>
      <c r="CC39" s="20">
        <f t="shared" si="112"/>
        <v>1453572.8274222401</v>
      </c>
      <c r="CD39" s="20">
        <f t="shared" si="48"/>
        <v>0</v>
      </c>
      <c r="CE39" s="20">
        <f t="shared" si="113"/>
        <v>1400000</v>
      </c>
      <c r="CF39" s="20">
        <f t="shared" si="37"/>
        <v>101490.4745443299</v>
      </c>
      <c r="CG39" s="20">
        <f t="shared" si="135"/>
        <v>4059.6189817731961</v>
      </c>
      <c r="CH39" s="20">
        <f t="shared" si="39"/>
        <v>338.30158181443301</v>
      </c>
      <c r="CI39" s="20">
        <f t="shared" si="136"/>
        <v>99318.097586223987</v>
      </c>
      <c r="CJ39" s="24">
        <f t="shared" si="137"/>
        <v>7.0165572221481828E-2</v>
      </c>
      <c r="CK39" s="24">
        <f t="shared" si="138"/>
        <v>2.1913134533171306E-2</v>
      </c>
      <c r="CL39" s="24">
        <f t="shared" si="139"/>
        <v>6.8357559696105658E-2</v>
      </c>
      <c r="CM39" s="25">
        <f t="shared" si="114"/>
        <v>0.41272565194239352</v>
      </c>
      <c r="CN39" s="17"/>
      <c r="CO39" s="17"/>
      <c r="CP39" s="17"/>
      <c r="CQ39" s="17"/>
      <c r="CR39" s="17"/>
      <c r="CS39" s="17"/>
      <c r="CT39" s="17"/>
      <c r="CU39" s="17"/>
      <c r="CV39" s="17"/>
      <c r="CW39" s="30">
        <v>0</v>
      </c>
      <c r="CX39" s="17"/>
      <c r="CY39" s="17"/>
      <c r="CZ39" s="17"/>
      <c r="DA39" s="17"/>
      <c r="DB39" s="17"/>
    </row>
    <row r="40" spans="1:106" ht="15.75" thickBot="1" x14ac:dyDescent="0.3">
      <c r="A40" s="5">
        <f t="shared" si="70"/>
        <v>27</v>
      </c>
      <c r="B40" s="5">
        <f t="shared" si="69"/>
        <v>25</v>
      </c>
      <c r="C40" s="1">
        <v>43435</v>
      </c>
      <c r="D40" s="4"/>
      <c r="E40" s="30"/>
      <c r="F40" s="30"/>
      <c r="G40" s="30"/>
      <c r="H40" s="30"/>
      <c r="I40" s="10">
        <v>0</v>
      </c>
      <c r="J40" s="60">
        <v>9000</v>
      </c>
      <c r="K40" s="11">
        <v>550</v>
      </c>
      <c r="L40" s="60">
        <f t="shared" si="72"/>
        <v>9117.9917241178882</v>
      </c>
      <c r="M40" s="11">
        <v>305</v>
      </c>
      <c r="N40" s="60">
        <f>(N39*($K$1/12))+N39 + $N$5</f>
        <v>5512.6481336161178</v>
      </c>
      <c r="O40" s="11">
        <v>0</v>
      </c>
      <c r="P40" s="11">
        <v>0</v>
      </c>
      <c r="Q40" s="60">
        <f>(Q39*($K$1/12))+Q39</f>
        <v>9266.8110612990949</v>
      </c>
      <c r="R40" s="60">
        <f>(R39*($K$1/12))+R39</f>
        <v>5535.6468339566518</v>
      </c>
      <c r="S40" s="60">
        <f>(S39*($K$1/12))+S39</f>
        <v>3996.7305104118195</v>
      </c>
      <c r="T40" s="60">
        <f>(T39*($K$1/12))+T39+$T$5 + ((3%/12)*T$11)</f>
        <v>47354.338262719859</v>
      </c>
      <c r="U40" s="60">
        <f>(U39*$K$1/12) + U39 + ((U$11/12*7%))</f>
        <v>2063.904853182943</v>
      </c>
      <c r="V40" s="60">
        <v>3100</v>
      </c>
      <c r="W40" s="60">
        <f>(W39*($K$1/12))+W39+$W$5</f>
        <v>3663.0327803986279</v>
      </c>
      <c r="X40" s="11">
        <v>0</v>
      </c>
      <c r="Y40" s="60">
        <f>(Y39*$K$1/12)+Y39</f>
        <v>31798.083646142692</v>
      </c>
      <c r="Z40" s="11">
        <v>0</v>
      </c>
      <c r="AA40" s="12">
        <f t="shared" si="2"/>
        <v>131264.18780584569</v>
      </c>
      <c r="AB40" s="56">
        <f t="shared" si="73"/>
        <v>750</v>
      </c>
      <c r="AC40" s="56">
        <f t="shared" si="73"/>
        <v>750</v>
      </c>
      <c r="AD40" s="56">
        <f t="shared" si="73"/>
        <v>750</v>
      </c>
      <c r="AE40" s="56">
        <f t="shared" si="73"/>
        <v>750</v>
      </c>
      <c r="AF40" s="56">
        <f t="shared" si="74"/>
        <v>264.31338034033126</v>
      </c>
      <c r="AG40" s="56">
        <f t="shared" si="73"/>
        <v>750</v>
      </c>
      <c r="AH40" s="56">
        <f t="shared" si="83"/>
        <v>46767.986300981262</v>
      </c>
      <c r="AI40" s="56">
        <f t="shared" si="84"/>
        <v>15318.123946302254</v>
      </c>
      <c r="AJ40" s="56">
        <f t="shared" si="140"/>
        <v>16349.493518403258</v>
      </c>
      <c r="AK40" s="11">
        <v>0</v>
      </c>
      <c r="AL40" s="11">
        <v>0</v>
      </c>
      <c r="AM40" s="12">
        <f t="shared" si="12"/>
        <v>-82449.917146027117</v>
      </c>
      <c r="AN40" s="75">
        <f t="shared" si="85"/>
        <v>48814.270659818576</v>
      </c>
      <c r="AO40" s="86">
        <v>0</v>
      </c>
      <c r="AP40" s="79">
        <v>0</v>
      </c>
      <c r="AQ40" s="87"/>
      <c r="AR40" s="20">
        <f t="shared" si="115"/>
        <v>4014.3133803403312</v>
      </c>
      <c r="AS40" s="20">
        <v>750</v>
      </c>
      <c r="AT40" s="20">
        <v>0</v>
      </c>
      <c r="AU40" s="20">
        <f t="shared" si="116"/>
        <v>4764.3133803403307</v>
      </c>
      <c r="AV40" s="20">
        <f t="shared" si="71"/>
        <v>5434.3399999999992</v>
      </c>
      <c r="AW40" s="51">
        <f t="shared" si="5"/>
        <v>0</v>
      </c>
      <c r="AX40" s="51">
        <f t="shared" si="14"/>
        <v>0</v>
      </c>
      <c r="AY40" s="51">
        <f t="shared" si="15"/>
        <v>0</v>
      </c>
      <c r="AZ40" s="51">
        <f t="shared" si="16"/>
        <v>0</v>
      </c>
      <c r="BA40" s="51">
        <f t="shared" si="17"/>
        <v>0</v>
      </c>
      <c r="BB40" s="51">
        <f t="shared" si="18"/>
        <v>0</v>
      </c>
      <c r="BC40" s="51">
        <f t="shared" si="19"/>
        <v>0</v>
      </c>
      <c r="BD40" s="51">
        <f t="shared" si="20"/>
        <v>0</v>
      </c>
      <c r="BE40" s="51">
        <f t="shared" si="21"/>
        <v>0</v>
      </c>
      <c r="BF40" s="51">
        <f t="shared" si="22"/>
        <v>0</v>
      </c>
      <c r="BG40" s="51">
        <f t="shared" si="23"/>
        <v>0</v>
      </c>
      <c r="BH40" s="51">
        <f t="shared" si="24"/>
        <v>0</v>
      </c>
      <c r="BI40" s="51">
        <f t="shared" si="117"/>
        <v>0</v>
      </c>
      <c r="BJ40" s="51">
        <f t="shared" si="118"/>
        <v>0</v>
      </c>
      <c r="BK40" s="51">
        <f t="shared" si="119"/>
        <v>0</v>
      </c>
      <c r="BL40" s="51">
        <f t="shared" si="120"/>
        <v>0</v>
      </c>
      <c r="BM40" s="51">
        <f t="shared" si="121"/>
        <v>0</v>
      </c>
      <c r="BN40" s="51">
        <f t="shared" si="122"/>
        <v>0</v>
      </c>
      <c r="BO40" s="51">
        <f t="shared" si="123"/>
        <v>0</v>
      </c>
      <c r="BP40" s="51">
        <f t="shared" si="124"/>
        <v>0</v>
      </c>
      <c r="BQ40" s="51">
        <f t="shared" si="125"/>
        <v>0</v>
      </c>
      <c r="BR40" s="51">
        <f t="shared" si="126"/>
        <v>0</v>
      </c>
      <c r="BS40" s="51">
        <f t="shared" si="127"/>
        <v>0</v>
      </c>
      <c r="BT40" s="51">
        <f t="shared" si="128"/>
        <v>0</v>
      </c>
      <c r="BU40" s="20">
        <f t="shared" si="129"/>
        <v>4763.7848429578207</v>
      </c>
      <c r="BV40" s="20">
        <f t="shared" si="111"/>
        <v>4743.3269953686913</v>
      </c>
      <c r="BW40" s="20">
        <f t="shared" si="130"/>
        <v>57171.760564083968</v>
      </c>
      <c r="BX40" s="20">
        <f t="shared" si="131"/>
        <v>57165.418115493849</v>
      </c>
      <c r="BY40" s="20">
        <f t="shared" si="132"/>
        <v>56919.923944424299</v>
      </c>
      <c r="BZ40" s="21">
        <f t="shared" si="133"/>
        <v>57085.700874667375</v>
      </c>
      <c r="CA40" s="19">
        <f t="shared" si="47"/>
        <v>1427142.5218666843</v>
      </c>
      <c r="CB40" s="20">
        <f t="shared" si="134"/>
        <v>1436141.8888996877</v>
      </c>
      <c r="CC40" s="20">
        <f t="shared" si="112"/>
        <v>1443236.5653555749</v>
      </c>
      <c r="CD40" s="20">
        <f t="shared" si="48"/>
        <v>0</v>
      </c>
      <c r="CE40" s="20">
        <f t="shared" si="113"/>
        <v>1400000</v>
      </c>
      <c r="CF40" s="20">
        <f t="shared" si="37"/>
        <v>103678.54794811169</v>
      </c>
      <c r="CG40" s="20">
        <f t="shared" si="135"/>
        <v>4147.1419179244676</v>
      </c>
      <c r="CH40" s="20">
        <f t="shared" si="39"/>
        <v>345.59515982703897</v>
      </c>
      <c r="CI40" s="20">
        <f t="shared" si="136"/>
        <v>101494.40394814937</v>
      </c>
      <c r="CJ40" s="24">
        <f t="shared" si="137"/>
        <v>7.2192412706202649E-2</v>
      </c>
      <c r="CK40" s="24">
        <f t="shared" si="138"/>
        <v>2.1559396717827577E-2</v>
      </c>
      <c r="CL40" s="24">
        <f t="shared" si="139"/>
        <v>6.7204776407616032E-2</v>
      </c>
      <c r="CM40" s="25">
        <f t="shared" si="114"/>
        <v>0.36467761669798021</v>
      </c>
      <c r="CN40" s="17"/>
      <c r="CO40" s="17"/>
      <c r="CP40" s="17"/>
      <c r="CQ40" s="17"/>
      <c r="CR40" s="17"/>
      <c r="CS40" s="17"/>
      <c r="CT40" s="17"/>
      <c r="CU40" s="17"/>
      <c r="CV40" s="17"/>
      <c r="CW40" s="30">
        <v>0</v>
      </c>
      <c r="CX40" s="17"/>
      <c r="CY40" s="17"/>
      <c r="CZ40" s="17"/>
      <c r="DA40" s="17"/>
      <c r="DB40" s="17"/>
    </row>
    <row r="41" spans="1:106" ht="15.75" thickBot="1" x14ac:dyDescent="0.3">
      <c r="A41" s="5">
        <f t="shared" si="70"/>
        <v>27</v>
      </c>
      <c r="B41" s="5">
        <f t="shared" si="69"/>
        <v>25</v>
      </c>
      <c r="C41" s="1">
        <v>43466</v>
      </c>
      <c r="D41" s="4"/>
      <c r="E41" s="30"/>
      <c r="F41" s="30"/>
      <c r="G41" s="30"/>
      <c r="H41" s="30"/>
      <c r="I41" s="10">
        <v>0</v>
      </c>
      <c r="J41" s="60">
        <v>9000</v>
      </c>
      <c r="K41" s="11">
        <v>550</v>
      </c>
      <c r="L41" s="60">
        <f t="shared" si="72"/>
        <v>9129.0092974511972</v>
      </c>
      <c r="M41" s="11">
        <v>305</v>
      </c>
      <c r="N41" s="60">
        <f>(N40*($K$1/12))+N40 + $N$5</f>
        <v>5742.5083110065389</v>
      </c>
      <c r="O41" s="11">
        <v>0</v>
      </c>
      <c r="P41" s="11">
        <v>0</v>
      </c>
      <c r="Q41" s="60">
        <f>(Q40*($K$1/12))+Q40</f>
        <v>9317.0062878811314</v>
      </c>
      <c r="R41" s="60">
        <f>(R40*($K$1/12))+R40</f>
        <v>5565.6315876405833</v>
      </c>
      <c r="S41" s="60">
        <f>(S40*($K$1/12))+S40</f>
        <v>4018.3794673432167</v>
      </c>
      <c r="T41" s="60">
        <f>(T40*($K$1/12))+T40+$T$5 + ((3%/12)*T$11)</f>
        <v>48710.84092830959</v>
      </c>
      <c r="U41" s="60">
        <f>(U40*$K$1/12) + U40 + ((U$11/12*7%))</f>
        <v>2483.417671137684</v>
      </c>
      <c r="V41" s="60">
        <v>3100</v>
      </c>
      <c r="W41" s="60">
        <f>(W40*($K$1/12))+W40+$W$5</f>
        <v>3812.8742079591207</v>
      </c>
      <c r="X41" s="11">
        <v>0</v>
      </c>
      <c r="Y41" s="60">
        <f>(Y40*$K$1/12)+Y40</f>
        <v>31970.323265892632</v>
      </c>
      <c r="Z41" s="11">
        <v>0</v>
      </c>
      <c r="AA41" s="12">
        <f t="shared" si="2"/>
        <v>133704.99102462168</v>
      </c>
      <c r="AB41" s="56">
        <f t="shared" si="73"/>
        <v>750</v>
      </c>
      <c r="AC41" s="56">
        <f t="shared" si="73"/>
        <v>750</v>
      </c>
      <c r="AD41" s="56">
        <f t="shared" si="73"/>
        <v>750</v>
      </c>
      <c r="AE41" s="56">
        <f t="shared" si="73"/>
        <v>750</v>
      </c>
      <c r="AF41" s="56">
        <f t="shared" si="74"/>
        <v>266.32032870202551</v>
      </c>
      <c r="AG41" s="56">
        <f t="shared" si="73"/>
        <v>750</v>
      </c>
      <c r="AH41" s="56">
        <f t="shared" si="83"/>
        <v>46974.934640363106</v>
      </c>
      <c r="AI41" s="56">
        <f t="shared" si="84"/>
        <v>15394.714566033765</v>
      </c>
      <c r="AJ41" s="56">
        <f t="shared" si="140"/>
        <v>16438.053274961276</v>
      </c>
      <c r="AK41" s="11">
        <v>0</v>
      </c>
      <c r="AL41" s="11">
        <v>0</v>
      </c>
      <c r="AM41" s="12">
        <f t="shared" si="12"/>
        <v>-82824.022810060167</v>
      </c>
      <c r="AN41" s="75">
        <f t="shared" si="85"/>
        <v>50880.968214561508</v>
      </c>
      <c r="AO41" s="86">
        <v>0</v>
      </c>
      <c r="AP41" s="79">
        <v>0</v>
      </c>
      <c r="AQ41" s="87"/>
      <c r="AR41" s="20">
        <f t="shared" si="115"/>
        <v>4016.3203287020256</v>
      </c>
      <c r="AS41" s="20">
        <v>750</v>
      </c>
      <c r="AT41" s="20">
        <v>0</v>
      </c>
      <c r="AU41" s="20">
        <f t="shared" si="116"/>
        <v>4766.320328702026</v>
      </c>
      <c r="AV41" s="20">
        <f t="shared" si="71"/>
        <v>4542.2800000000007</v>
      </c>
      <c r="AW41" s="51">
        <f t="shared" si="5"/>
        <v>0</v>
      </c>
      <c r="AX41" s="51">
        <f t="shared" si="14"/>
        <v>0</v>
      </c>
      <c r="AY41" s="51">
        <f t="shared" si="15"/>
        <v>0</v>
      </c>
      <c r="AZ41" s="51">
        <f t="shared" si="16"/>
        <v>0</v>
      </c>
      <c r="BA41" s="51">
        <f t="shared" si="17"/>
        <v>0</v>
      </c>
      <c r="BB41" s="51">
        <f t="shared" si="18"/>
        <v>0</v>
      </c>
      <c r="BC41" s="51">
        <f t="shared" si="19"/>
        <v>0</v>
      </c>
      <c r="BD41" s="51">
        <f t="shared" si="20"/>
        <v>0</v>
      </c>
      <c r="BE41" s="51">
        <f t="shared" si="21"/>
        <v>0</v>
      </c>
      <c r="BF41" s="51">
        <f t="shared" si="22"/>
        <v>0</v>
      </c>
      <c r="BG41" s="51">
        <f t="shared" si="23"/>
        <v>0</v>
      </c>
      <c r="BH41" s="51">
        <f t="shared" si="24"/>
        <v>0</v>
      </c>
      <c r="BI41" s="51">
        <f t="shared" si="117"/>
        <v>0</v>
      </c>
      <c r="BJ41" s="51">
        <f t="shared" si="118"/>
        <v>0</v>
      </c>
      <c r="BK41" s="51">
        <f t="shared" si="119"/>
        <v>0</v>
      </c>
      <c r="BL41" s="51">
        <f t="shared" si="120"/>
        <v>0</v>
      </c>
      <c r="BM41" s="51">
        <f t="shared" si="121"/>
        <v>0</v>
      </c>
      <c r="BN41" s="51">
        <f t="shared" si="122"/>
        <v>0</v>
      </c>
      <c r="BO41" s="51">
        <f t="shared" si="123"/>
        <v>0</v>
      </c>
      <c r="BP41" s="51">
        <f t="shared" si="124"/>
        <v>0</v>
      </c>
      <c r="BQ41" s="51">
        <f t="shared" si="125"/>
        <v>0</v>
      </c>
      <c r="BR41" s="51">
        <f t="shared" si="126"/>
        <v>0</v>
      </c>
      <c r="BS41" s="51">
        <f t="shared" si="127"/>
        <v>0</v>
      </c>
      <c r="BT41" s="51">
        <f t="shared" si="128"/>
        <v>0</v>
      </c>
      <c r="BU41" s="20">
        <f t="shared" si="129"/>
        <v>4763.9399687598625</v>
      </c>
      <c r="BV41" s="20">
        <f t="shared" si="111"/>
        <v>4761.9970227605272</v>
      </c>
      <c r="BW41" s="20">
        <f t="shared" si="130"/>
        <v>57195.843944424312</v>
      </c>
      <c r="BX41" s="20">
        <f t="shared" si="131"/>
        <v>57167.279625118346</v>
      </c>
      <c r="BY41" s="20">
        <f t="shared" si="132"/>
        <v>57143.96427312633</v>
      </c>
      <c r="BZ41" s="21">
        <f t="shared" si="133"/>
        <v>57169.029280889663</v>
      </c>
      <c r="CA41" s="19">
        <f t="shared" si="47"/>
        <v>1429225.7320222415</v>
      </c>
      <c r="CB41" s="20">
        <f t="shared" si="134"/>
        <v>1429672.5764005876</v>
      </c>
      <c r="CC41" s="20">
        <f t="shared" si="112"/>
        <v>1442937.0013574285</v>
      </c>
      <c r="CD41" s="20">
        <f t="shared" si="48"/>
        <v>0</v>
      </c>
      <c r="CE41" s="20">
        <f t="shared" si="113"/>
        <v>1400000</v>
      </c>
      <c r="CF41" s="20">
        <f t="shared" si="37"/>
        <v>105878.47341616395</v>
      </c>
      <c r="CG41" s="20">
        <f t="shared" si="135"/>
        <v>4235.1389366465582</v>
      </c>
      <c r="CH41" s="20">
        <f t="shared" si="39"/>
        <v>352.9282447205465</v>
      </c>
      <c r="CI41" s="20">
        <f t="shared" si="136"/>
        <v>103682.49863620184</v>
      </c>
      <c r="CJ41" s="24">
        <f t="shared" si="137"/>
        <v>7.4057847344829605E-2</v>
      </c>
      <c r="CK41" s="24">
        <f t="shared" si="138"/>
        <v>2.1218714108083962E-2</v>
      </c>
      <c r="CL41" s="24">
        <f t="shared" si="139"/>
        <v>6.609613497313202E-2</v>
      </c>
      <c r="CM41" s="25">
        <f t="shared" si="114"/>
        <v>0.34213984918790308</v>
      </c>
      <c r="CN41" s="17"/>
      <c r="CO41" s="17"/>
      <c r="CP41" s="17"/>
      <c r="CQ41" s="17"/>
      <c r="CR41" s="17"/>
      <c r="CS41" s="17"/>
      <c r="CT41" s="17"/>
      <c r="CU41" s="17"/>
      <c r="CV41" s="17"/>
      <c r="CW41" s="30">
        <v>0</v>
      </c>
      <c r="CX41" s="17"/>
      <c r="CY41" s="17"/>
      <c r="CZ41" s="17"/>
      <c r="DA41" s="17"/>
      <c r="DB41" s="17"/>
    </row>
    <row r="42" spans="1:106" ht="15.75" thickBot="1" x14ac:dyDescent="0.3">
      <c r="A42" s="5">
        <f t="shared" si="70"/>
        <v>27</v>
      </c>
      <c r="B42" s="5">
        <f t="shared" si="69"/>
        <v>25</v>
      </c>
      <c r="C42" s="1">
        <v>43497</v>
      </c>
      <c r="D42" s="4"/>
      <c r="E42" s="30"/>
      <c r="F42" s="30"/>
      <c r="G42" s="30"/>
      <c r="H42" s="30"/>
      <c r="I42" s="10">
        <v>0</v>
      </c>
      <c r="J42" s="60">
        <v>9000</v>
      </c>
      <c r="K42" s="11">
        <v>550</v>
      </c>
      <c r="L42" s="60">
        <f t="shared" si="72"/>
        <v>9140.0401836856163</v>
      </c>
      <c r="M42" s="11">
        <v>305</v>
      </c>
      <c r="N42" s="60">
        <f>(N41*($K$1/12))+N41 + $N$5</f>
        <v>5973.6135643578245</v>
      </c>
      <c r="O42" s="11">
        <v>0</v>
      </c>
      <c r="P42" s="11">
        <v>0</v>
      </c>
      <c r="Q42" s="60">
        <f>(Q41*($K$1/12))+Q41</f>
        <v>9367.4734052738204</v>
      </c>
      <c r="R42" s="60">
        <f>(R41*($K$1/12))+R41</f>
        <v>5595.7787587403036</v>
      </c>
      <c r="S42" s="60">
        <f>(S41*($K$1/12))+S41</f>
        <v>4040.1456894579924</v>
      </c>
      <c r="T42" s="60">
        <f>(T41*($K$1/12))+T41+$T$5 + ((3%/12)*T$11)</f>
        <v>50074.691316671269</v>
      </c>
      <c r="U42" s="60">
        <f>(U41*$K$1/12) + U41 + ((U$11/12*7%))</f>
        <v>2905.2028501896798</v>
      </c>
      <c r="V42" s="60">
        <v>3100</v>
      </c>
      <c r="W42" s="60">
        <f>(W41*($K$1/12))+W41+$W$5</f>
        <v>3963.5272765855657</v>
      </c>
      <c r="X42" s="11">
        <v>0</v>
      </c>
      <c r="Y42" s="60">
        <f>(Y41*$K$1/12)+Y41</f>
        <v>32143.49585024955</v>
      </c>
      <c r="Z42" s="11">
        <v>0</v>
      </c>
      <c r="AA42" s="12">
        <f t="shared" si="2"/>
        <v>136158.96889521161</v>
      </c>
      <c r="AB42" s="56">
        <f t="shared" ref="AB42:AG51" si="141">$AC$1/5</f>
        <v>750</v>
      </c>
      <c r="AC42" s="56">
        <f t="shared" si="141"/>
        <v>750</v>
      </c>
      <c r="AD42" s="56">
        <f t="shared" si="141"/>
        <v>750</v>
      </c>
      <c r="AE42" s="56">
        <f t="shared" si="141"/>
        <v>750</v>
      </c>
      <c r="AF42" s="56">
        <f t="shared" si="74"/>
        <v>257.06702276052766</v>
      </c>
      <c r="AG42" s="56">
        <f t="shared" si="141"/>
        <v>750</v>
      </c>
      <c r="AH42" s="56">
        <f t="shared" si="83"/>
        <v>47182.798726146713</v>
      </c>
      <c r="AI42" s="56">
        <f t="shared" si="84"/>
        <v>15471.688138863934</v>
      </c>
      <c r="AJ42" s="56">
        <f t="shared" si="140"/>
        <v>16527.092730200649</v>
      </c>
      <c r="AK42" s="11">
        <v>0</v>
      </c>
      <c r="AL42" s="11">
        <v>0</v>
      </c>
      <c r="AM42" s="12">
        <f t="shared" si="12"/>
        <v>-83188.646617971826</v>
      </c>
      <c r="AN42" s="75">
        <f t="shared" si="85"/>
        <v>52970.322277239786</v>
      </c>
      <c r="AO42" s="86">
        <v>0</v>
      </c>
      <c r="AP42" s="79">
        <v>0</v>
      </c>
      <c r="AQ42" s="87"/>
      <c r="AR42" s="20">
        <f t="shared" si="115"/>
        <v>4007.0670227605278</v>
      </c>
      <c r="AS42" s="20">
        <v>750</v>
      </c>
      <c r="AT42" s="20">
        <v>0</v>
      </c>
      <c r="AU42" s="20">
        <f t="shared" si="116"/>
        <v>4757.0670227605278</v>
      </c>
      <c r="AV42" s="20">
        <f t="shared" si="71"/>
        <v>5116.6400000000003</v>
      </c>
      <c r="AW42" s="51">
        <f t="shared" si="5"/>
        <v>0</v>
      </c>
      <c r="AX42" s="51">
        <f t="shared" si="14"/>
        <v>0</v>
      </c>
      <c r="AY42" s="51">
        <f t="shared" si="15"/>
        <v>0</v>
      </c>
      <c r="AZ42" s="51">
        <f t="shared" si="16"/>
        <v>0</v>
      </c>
      <c r="BA42" s="51">
        <f t="shared" si="17"/>
        <v>0</v>
      </c>
      <c r="BB42" s="51">
        <f t="shared" si="18"/>
        <v>0</v>
      </c>
      <c r="BC42" s="51">
        <f t="shared" si="19"/>
        <v>0</v>
      </c>
      <c r="BD42" s="51">
        <f t="shared" si="20"/>
        <v>0</v>
      </c>
      <c r="BE42" s="51">
        <f t="shared" si="21"/>
        <v>0</v>
      </c>
      <c r="BF42" s="51">
        <f t="shared" si="22"/>
        <v>0</v>
      </c>
      <c r="BG42" s="51">
        <f t="shared" si="23"/>
        <v>0</v>
      </c>
      <c r="BH42" s="51">
        <f t="shared" si="24"/>
        <v>0</v>
      </c>
      <c r="BI42" s="51">
        <f t="shared" si="117"/>
        <v>0</v>
      </c>
      <c r="BJ42" s="51">
        <f t="shared" si="118"/>
        <v>0</v>
      </c>
      <c r="BK42" s="51">
        <f t="shared" si="119"/>
        <v>0</v>
      </c>
      <c r="BL42" s="51">
        <f t="shared" si="120"/>
        <v>0</v>
      </c>
      <c r="BM42" s="51">
        <f t="shared" si="121"/>
        <v>0</v>
      </c>
      <c r="BN42" s="51">
        <f t="shared" si="122"/>
        <v>0</v>
      </c>
      <c r="BO42" s="51">
        <f t="shared" si="123"/>
        <v>0</v>
      </c>
      <c r="BP42" s="51">
        <f t="shared" si="124"/>
        <v>0</v>
      </c>
      <c r="BQ42" s="51">
        <f t="shared" si="125"/>
        <v>0</v>
      </c>
      <c r="BR42" s="51">
        <f t="shared" si="126"/>
        <v>0</v>
      </c>
      <c r="BS42" s="51">
        <f t="shared" si="127"/>
        <v>0</v>
      </c>
      <c r="BT42" s="51">
        <f t="shared" si="128"/>
        <v>0</v>
      </c>
      <c r="BU42" s="20">
        <f t="shared" si="129"/>
        <v>4762.5669106009618</v>
      </c>
      <c r="BV42" s="20">
        <f t="shared" si="111"/>
        <v>4732.0326079905717</v>
      </c>
      <c r="BW42" s="20">
        <f t="shared" si="130"/>
        <v>57084.804273126334</v>
      </c>
      <c r="BX42" s="20">
        <f t="shared" si="131"/>
        <v>57150.802927211538</v>
      </c>
      <c r="BY42" s="20">
        <f t="shared" si="132"/>
        <v>56784.39129588686</v>
      </c>
      <c r="BZ42" s="21">
        <f t="shared" si="133"/>
        <v>57006.666165408242</v>
      </c>
      <c r="CA42" s="19">
        <f t="shared" si="47"/>
        <v>1425166.654135206</v>
      </c>
      <c r="CB42" s="20">
        <f t="shared" si="134"/>
        <v>1427178.3026747105</v>
      </c>
      <c r="CC42" s="20">
        <f t="shared" si="112"/>
        <v>1440565.3961464732</v>
      </c>
      <c r="CD42" s="20">
        <f t="shared" si="48"/>
        <v>0</v>
      </c>
      <c r="CE42" s="20">
        <f t="shared" si="113"/>
        <v>1400000</v>
      </c>
      <c r="CF42" s="20">
        <f t="shared" si="37"/>
        <v>108090.31514716819</v>
      </c>
      <c r="CG42" s="20">
        <f t="shared" si="135"/>
        <v>4323.6126058867276</v>
      </c>
      <c r="CH42" s="20">
        <f t="shared" si="39"/>
        <v>360.30105049056061</v>
      </c>
      <c r="CI42" s="20">
        <f t="shared" si="136"/>
        <v>105882.44550381461</v>
      </c>
      <c r="CJ42" s="24">
        <f t="shared" si="137"/>
        <v>7.5737078502800551E-2</v>
      </c>
      <c r="CK42" s="24">
        <f t="shared" si="138"/>
        <v>2.0890381771093529E-2</v>
      </c>
      <c r="CL42" s="24">
        <f t="shared" si="139"/>
        <v>6.5029162908835869E-2</v>
      </c>
      <c r="CM42" s="25">
        <f t="shared" si="114"/>
        <v>0.27586364166409744</v>
      </c>
      <c r="CN42" s="17"/>
      <c r="CO42" s="17"/>
      <c r="CP42" s="17"/>
      <c r="CQ42" s="17"/>
      <c r="CR42" s="17"/>
      <c r="CS42" s="17"/>
      <c r="CT42" s="17"/>
      <c r="CU42" s="17"/>
      <c r="CV42" s="17"/>
      <c r="CW42" s="30">
        <v>0</v>
      </c>
      <c r="CX42" s="17"/>
      <c r="CY42" s="17"/>
      <c r="CZ42" s="17"/>
      <c r="DA42" s="17"/>
      <c r="DB42" s="17"/>
    </row>
    <row r="43" spans="1:106" ht="15.75" thickBot="1" x14ac:dyDescent="0.3">
      <c r="A43" s="5">
        <f t="shared" si="70"/>
        <v>27</v>
      </c>
      <c r="B43" s="5">
        <f t="shared" si="69"/>
        <v>25</v>
      </c>
      <c r="C43" s="1">
        <v>43525</v>
      </c>
      <c r="D43" s="4"/>
      <c r="E43" s="30"/>
      <c r="F43" s="30"/>
      <c r="G43" s="30"/>
      <c r="H43" s="30"/>
      <c r="I43" s="10">
        <v>0</v>
      </c>
      <c r="J43" s="60">
        <v>9000</v>
      </c>
      <c r="K43" s="11">
        <v>550</v>
      </c>
      <c r="L43" s="60">
        <f t="shared" si="72"/>
        <v>9151.0843989075693</v>
      </c>
      <c r="M43" s="11">
        <v>305</v>
      </c>
      <c r="N43" s="60">
        <f>(N42*($K$1/12))+N42 + $N$5</f>
        <v>6205.9706378314295</v>
      </c>
      <c r="O43" s="11">
        <v>0</v>
      </c>
      <c r="P43" s="11">
        <v>0</v>
      </c>
      <c r="Q43" s="60">
        <f>(Q42*($K$1/12))+Q42</f>
        <v>9418.2138862190532</v>
      </c>
      <c r="R43" s="60">
        <f>(R42*($K$1/12))+R42</f>
        <v>5626.0892270168133</v>
      </c>
      <c r="S43" s="60">
        <f>(S42*($K$1/12))+S42</f>
        <v>4062.0298119425565</v>
      </c>
      <c r="T43" s="60">
        <f>(T42*($K$1/12))+T42+$T$5 + ((3%/12)*T$11)</f>
        <v>51445.929227969908</v>
      </c>
      <c r="U43" s="60">
        <f>(U42*$K$1/12) + U42 + ((U$11/12*7%))</f>
        <v>3329.2726989615408</v>
      </c>
      <c r="V43" s="60">
        <v>3100</v>
      </c>
      <c r="W43" s="60">
        <f>(W42*($K$1/12))+W42+$W$5</f>
        <v>4114.996382667071</v>
      </c>
      <c r="X43" s="11">
        <v>0</v>
      </c>
      <c r="Y43" s="60">
        <f>(Y42*$K$1/12)+Y42</f>
        <v>32317.606452771735</v>
      </c>
      <c r="Z43" s="11">
        <v>0</v>
      </c>
      <c r="AA43" s="12">
        <f t="shared" si="2"/>
        <v>138626.19272428768</v>
      </c>
      <c r="AB43" s="56">
        <f t="shared" si="141"/>
        <v>750</v>
      </c>
      <c r="AC43" s="56">
        <f t="shared" si="141"/>
        <v>750</v>
      </c>
      <c r="AD43" s="56">
        <f t="shared" si="141"/>
        <v>750</v>
      </c>
      <c r="AE43" s="56">
        <f t="shared" si="141"/>
        <v>750</v>
      </c>
      <c r="AF43" s="56">
        <f t="shared" si="74"/>
        <v>258.91677465723831</v>
      </c>
      <c r="AG43" s="56">
        <f t="shared" si="141"/>
        <v>750</v>
      </c>
      <c r="AH43" s="56">
        <f t="shared" si="83"/>
        <v>47391.582610509911</v>
      </c>
      <c r="AI43" s="56">
        <f t="shared" si="84"/>
        <v>15549.046579558253</v>
      </c>
      <c r="AJ43" s="56">
        <f t="shared" si="140"/>
        <v>16616.614482489236</v>
      </c>
      <c r="AK43" s="11">
        <v>0</v>
      </c>
      <c r="AL43" s="11">
        <v>0</v>
      </c>
      <c r="AM43" s="12">
        <f t="shared" si="12"/>
        <v>-83566.160447214643</v>
      </c>
      <c r="AN43" s="75">
        <f t="shared" si="85"/>
        <v>55060.032277073042</v>
      </c>
      <c r="AO43" s="86">
        <v>0</v>
      </c>
      <c r="AP43" s="79">
        <v>0</v>
      </c>
      <c r="AQ43" s="87"/>
      <c r="AR43" s="20">
        <f t="shared" si="115"/>
        <v>4008.9167746572384</v>
      </c>
      <c r="AS43" s="20">
        <v>750</v>
      </c>
      <c r="AT43" s="20">
        <v>0</v>
      </c>
      <c r="AU43" s="20">
        <f t="shared" si="116"/>
        <v>4758.9167746572384</v>
      </c>
      <c r="AV43" s="20">
        <f t="shared" si="71"/>
        <v>4424.6741666666667</v>
      </c>
      <c r="AW43" s="51">
        <f t="shared" si="5"/>
        <v>0</v>
      </c>
      <c r="AX43" s="51">
        <f t="shared" si="14"/>
        <v>0</v>
      </c>
      <c r="AY43" s="51">
        <f t="shared" si="15"/>
        <v>0</v>
      </c>
      <c r="AZ43" s="51">
        <f t="shared" si="16"/>
        <v>0</v>
      </c>
      <c r="BA43" s="51">
        <f t="shared" si="17"/>
        <v>0</v>
      </c>
      <c r="BB43" s="51">
        <f t="shared" si="18"/>
        <v>0</v>
      </c>
      <c r="BC43" s="51">
        <f t="shared" si="19"/>
        <v>0</v>
      </c>
      <c r="BD43" s="51">
        <f t="shared" si="20"/>
        <v>0</v>
      </c>
      <c r="BE43" s="51">
        <f t="shared" si="21"/>
        <v>0</v>
      </c>
      <c r="BF43" s="51">
        <f t="shared" si="22"/>
        <v>0</v>
      </c>
      <c r="BG43" s="51">
        <f t="shared" si="23"/>
        <v>0</v>
      </c>
      <c r="BH43" s="51">
        <f t="shared" si="24"/>
        <v>0</v>
      </c>
      <c r="BI43" s="51">
        <f t="shared" si="117"/>
        <v>0</v>
      </c>
      <c r="BJ43" s="51">
        <f t="shared" si="118"/>
        <v>0</v>
      </c>
      <c r="BK43" s="51">
        <f t="shared" si="119"/>
        <v>0</v>
      </c>
      <c r="BL43" s="51">
        <f t="shared" si="120"/>
        <v>0</v>
      </c>
      <c r="BM43" s="51">
        <f t="shared" si="121"/>
        <v>0</v>
      </c>
      <c r="BN43" s="51">
        <f t="shared" si="122"/>
        <v>0</v>
      </c>
      <c r="BO43" s="51">
        <f t="shared" si="123"/>
        <v>0</v>
      </c>
      <c r="BP43" s="51">
        <f t="shared" si="124"/>
        <v>0</v>
      </c>
      <c r="BQ43" s="51">
        <f t="shared" si="125"/>
        <v>0</v>
      </c>
      <c r="BR43" s="51">
        <f t="shared" si="126"/>
        <v>0</v>
      </c>
      <c r="BS43" s="51">
        <f t="shared" si="127"/>
        <v>0</v>
      </c>
      <c r="BT43" s="51">
        <f t="shared" si="128"/>
        <v>0</v>
      </c>
      <c r="BU43" s="20">
        <f t="shared" si="129"/>
        <v>4760.7680420399311</v>
      </c>
      <c r="BV43" s="20">
        <f t="shared" si="111"/>
        <v>4759.8861586564526</v>
      </c>
      <c r="BW43" s="20">
        <f t="shared" si="130"/>
        <v>57107.001295886861</v>
      </c>
      <c r="BX43" s="20">
        <f t="shared" si="131"/>
        <v>57129.216504479176</v>
      </c>
      <c r="BY43" s="20">
        <f t="shared" si="132"/>
        <v>57118.633903877431</v>
      </c>
      <c r="BZ43" s="21">
        <f t="shared" si="133"/>
        <v>57118.283901414485</v>
      </c>
      <c r="CA43" s="19">
        <f t="shared" si="47"/>
        <v>1427957.097535362</v>
      </c>
      <c r="CB43" s="20">
        <f t="shared" si="134"/>
        <v>1427449.8278976034</v>
      </c>
      <c r="CC43" s="20">
        <f t="shared" si="112"/>
        <v>1444660.1259179385</v>
      </c>
      <c r="CD43" s="20">
        <f t="shared" si="48"/>
        <v>0</v>
      </c>
      <c r="CE43" s="20">
        <f t="shared" si="113"/>
        <v>1400000</v>
      </c>
      <c r="CF43" s="20">
        <f t="shared" si="37"/>
        <v>110314.13768754869</v>
      </c>
      <c r="CG43" s="20">
        <f t="shared" si="135"/>
        <v>4412.5655075019476</v>
      </c>
      <c r="CH43" s="20">
        <f t="shared" si="39"/>
        <v>367.71379229182895</v>
      </c>
      <c r="CI43" s="20">
        <f t="shared" si="136"/>
        <v>108094.30875029361</v>
      </c>
      <c r="CJ43" s="24">
        <f t="shared" si="137"/>
        <v>7.7280570939591689E-2</v>
      </c>
      <c r="CK43" s="24">
        <f t="shared" si="138"/>
        <v>2.0573744625988891E-2</v>
      </c>
      <c r="CL43" s="24">
        <f t="shared" si="139"/>
        <v>6.4001568991474786E-2</v>
      </c>
      <c r="CM43" s="25">
        <f t="shared" si="114"/>
        <v>0.28247433468849015</v>
      </c>
      <c r="CN43" s="17"/>
      <c r="CO43" s="17"/>
      <c r="CP43" s="17"/>
      <c r="CQ43" s="17"/>
      <c r="CR43" s="17"/>
      <c r="CS43" s="17"/>
      <c r="CT43" s="17"/>
      <c r="CU43" s="17"/>
      <c r="CV43" s="17"/>
      <c r="CW43" s="30">
        <v>0</v>
      </c>
      <c r="CX43" s="17"/>
      <c r="CY43" s="17"/>
      <c r="CZ43" s="17"/>
      <c r="DA43" s="17"/>
      <c r="DB43" s="17"/>
    </row>
    <row r="44" spans="1:106" ht="15.75" thickBot="1" x14ac:dyDescent="0.3">
      <c r="A44" s="5">
        <f t="shared" si="70"/>
        <v>27</v>
      </c>
      <c r="B44" s="5">
        <f t="shared" si="69"/>
        <v>25</v>
      </c>
      <c r="C44" s="1">
        <v>43556</v>
      </c>
      <c r="D44" s="4"/>
      <c r="E44" s="30"/>
      <c r="F44" s="30"/>
      <c r="G44" s="30"/>
      <c r="H44" s="30"/>
      <c r="I44" s="10">
        <v>0</v>
      </c>
      <c r="J44" s="60">
        <v>9000</v>
      </c>
      <c r="K44" s="11">
        <v>550</v>
      </c>
      <c r="L44" s="60">
        <f t="shared" si="72"/>
        <v>9162.1419592229158</v>
      </c>
      <c r="M44" s="11">
        <v>305</v>
      </c>
      <c r="N44" s="60">
        <f>(N43*($K$1/12))+N43 + $N$5</f>
        <v>6439.5863121196835</v>
      </c>
      <c r="O44" s="11">
        <v>0</v>
      </c>
      <c r="P44" s="11">
        <v>0</v>
      </c>
      <c r="Q44" s="60">
        <f>(Q43*($K$1/12))+Q43</f>
        <v>9469.2292114360735</v>
      </c>
      <c r="R44" s="60">
        <f>(R43*($K$1/12))+R43</f>
        <v>5656.563876996488</v>
      </c>
      <c r="S44" s="60">
        <f>(S43*($K$1/12))+S43</f>
        <v>4084.0324734239121</v>
      </c>
      <c r="T44" s="60">
        <f>(T43*($K$1/12))+T43+$T$5 + ((3%/12)*T$11)</f>
        <v>52824.594677954745</v>
      </c>
      <c r="U44" s="60">
        <f>(U43*$K$1/12) + U43 + ((U$11/12*7%))</f>
        <v>3755.6395927475828</v>
      </c>
      <c r="V44" s="60">
        <v>3100</v>
      </c>
      <c r="W44" s="60">
        <f>(W43*($K$1/12))+W43+$W$5</f>
        <v>4267.2859464065177</v>
      </c>
      <c r="X44" s="11">
        <v>0</v>
      </c>
      <c r="Y44" s="60">
        <f>(Y43*$K$1/12)+Y43</f>
        <v>32492.660154390916</v>
      </c>
      <c r="Z44" s="11">
        <v>0</v>
      </c>
      <c r="AA44" s="12">
        <f t="shared" si="2"/>
        <v>141106.73420469882</v>
      </c>
      <c r="AB44" s="56">
        <f t="shared" si="141"/>
        <v>750</v>
      </c>
      <c r="AC44" s="56">
        <f t="shared" si="141"/>
        <v>750</v>
      </c>
      <c r="AD44" s="56">
        <f t="shared" si="141"/>
        <v>750</v>
      </c>
      <c r="AE44" s="56">
        <f t="shared" si="141"/>
        <v>750</v>
      </c>
      <c r="AF44" s="56">
        <f t="shared" si="74"/>
        <v>259.88615865645261</v>
      </c>
      <c r="AG44" s="56">
        <f t="shared" si="141"/>
        <v>750</v>
      </c>
      <c r="AH44" s="56">
        <f t="shared" si="83"/>
        <v>47601.29036356142</v>
      </c>
      <c r="AI44" s="56">
        <f t="shared" si="84"/>
        <v>15626.791812456044</v>
      </c>
      <c r="AJ44" s="56">
        <f t="shared" si="140"/>
        <v>16706.621144269386</v>
      </c>
      <c r="AK44" s="11">
        <v>0</v>
      </c>
      <c r="AL44" s="11">
        <v>0</v>
      </c>
      <c r="AM44" s="12">
        <f t="shared" si="12"/>
        <v>-83944.589478943308</v>
      </c>
      <c r="AN44" s="75">
        <f t="shared" si="85"/>
        <v>57162.144725755512</v>
      </c>
      <c r="AO44" s="86">
        <v>0</v>
      </c>
      <c r="AP44" s="79">
        <v>0</v>
      </c>
      <c r="AQ44" s="87"/>
      <c r="AR44" s="20">
        <f t="shared" si="115"/>
        <v>4009.8861586564526</v>
      </c>
      <c r="AS44" s="20">
        <v>750</v>
      </c>
      <c r="AT44" s="20">
        <v>0</v>
      </c>
      <c r="AU44" s="20">
        <f t="shared" si="116"/>
        <v>4759.8861586564526</v>
      </c>
      <c r="AV44" s="20">
        <f t="shared" si="71"/>
        <v>4750.9553472222224</v>
      </c>
      <c r="AW44" s="51">
        <f t="shared" si="5"/>
        <v>0</v>
      </c>
      <c r="AX44" s="51">
        <f t="shared" si="14"/>
        <v>0</v>
      </c>
      <c r="AY44" s="51">
        <f t="shared" si="15"/>
        <v>0</v>
      </c>
      <c r="AZ44" s="51">
        <f t="shared" si="16"/>
        <v>0</v>
      </c>
      <c r="BA44" s="51">
        <f t="shared" si="17"/>
        <v>0</v>
      </c>
      <c r="BB44" s="51">
        <f t="shared" si="18"/>
        <v>0</v>
      </c>
      <c r="BC44" s="51">
        <f t="shared" si="19"/>
        <v>0</v>
      </c>
      <c r="BD44" s="51">
        <f t="shared" si="20"/>
        <v>0</v>
      </c>
      <c r="BE44" s="51">
        <f t="shared" si="21"/>
        <v>0</v>
      </c>
      <c r="BF44" s="51">
        <f t="shared" si="22"/>
        <v>0</v>
      </c>
      <c r="BG44" s="51">
        <f t="shared" si="23"/>
        <v>0</v>
      </c>
      <c r="BH44" s="51">
        <f t="shared" si="24"/>
        <v>0</v>
      </c>
      <c r="BI44" s="51">
        <f t="shared" si="117"/>
        <v>0</v>
      </c>
      <c r="BJ44" s="51">
        <f t="shared" si="118"/>
        <v>0</v>
      </c>
      <c r="BK44" s="51">
        <f t="shared" si="119"/>
        <v>0</v>
      </c>
      <c r="BL44" s="51">
        <f t="shared" si="120"/>
        <v>0</v>
      </c>
      <c r="BM44" s="51">
        <f t="shared" si="121"/>
        <v>0</v>
      </c>
      <c r="BN44" s="51">
        <f t="shared" si="122"/>
        <v>0</v>
      </c>
      <c r="BO44" s="51">
        <f t="shared" si="123"/>
        <v>0</v>
      </c>
      <c r="BP44" s="51">
        <f t="shared" si="124"/>
        <v>0</v>
      </c>
      <c r="BQ44" s="51">
        <f t="shared" si="125"/>
        <v>0</v>
      </c>
      <c r="BR44" s="51">
        <f t="shared" si="126"/>
        <v>0</v>
      </c>
      <c r="BS44" s="51">
        <f t="shared" si="127"/>
        <v>0</v>
      </c>
      <c r="BT44" s="51">
        <f t="shared" si="128"/>
        <v>0</v>
      </c>
      <c r="BU44" s="20">
        <f t="shared" si="129"/>
        <v>4758.623318691406</v>
      </c>
      <c r="BV44" s="20">
        <f t="shared" si="111"/>
        <v>4760.6303929426385</v>
      </c>
      <c r="BW44" s="20">
        <f t="shared" si="130"/>
        <v>57118.633903877431</v>
      </c>
      <c r="BX44" s="20">
        <f t="shared" si="131"/>
        <v>57103.479824296868</v>
      </c>
      <c r="BY44" s="20">
        <f t="shared" si="132"/>
        <v>57127.564715311659</v>
      </c>
      <c r="BZ44" s="21">
        <f t="shared" si="133"/>
        <v>57116.559481161989</v>
      </c>
      <c r="CA44" s="19">
        <f t="shared" si="47"/>
        <v>1427913.9870290498</v>
      </c>
      <c r="CB44" s="20">
        <f t="shared" si="134"/>
        <v>1427012.5795665393</v>
      </c>
      <c r="CC44" s="20">
        <f t="shared" si="112"/>
        <v>1444162.8597425045</v>
      </c>
      <c r="CD44" s="20">
        <f t="shared" si="48"/>
        <v>0</v>
      </c>
      <c r="CE44" s="20">
        <f t="shared" si="113"/>
        <v>1400000</v>
      </c>
      <c r="CF44" s="20">
        <f t="shared" si="37"/>
        <v>112550.00593335622</v>
      </c>
      <c r="CG44" s="20">
        <f t="shared" si="135"/>
        <v>4502.0002373342495</v>
      </c>
      <c r="CH44" s="20">
        <f t="shared" si="39"/>
        <v>375.16668644452079</v>
      </c>
      <c r="CI44" s="20">
        <f t="shared" si="136"/>
        <v>110318.15292269104</v>
      </c>
      <c r="CJ44" s="24">
        <f t="shared" si="137"/>
        <v>7.8871067813252024E-2</v>
      </c>
      <c r="CK44" s="24">
        <f t="shared" si="138"/>
        <v>2.0268193113564086E-2</v>
      </c>
      <c r="CL44" s="24">
        <f t="shared" si="139"/>
        <v>6.3011226946664348E-2</v>
      </c>
      <c r="CM44" s="25">
        <f t="shared" si="114"/>
        <v>0.28317176618849343</v>
      </c>
      <c r="CN44" s="17"/>
      <c r="CO44" s="17"/>
      <c r="CP44" s="17"/>
      <c r="CQ44" s="17"/>
      <c r="CR44" s="17"/>
      <c r="CS44" s="17"/>
      <c r="CT44" s="17"/>
      <c r="CU44" s="17"/>
      <c r="CV44" s="17"/>
      <c r="CW44" s="30">
        <v>0</v>
      </c>
      <c r="CX44" s="17"/>
      <c r="CY44" s="17"/>
      <c r="CZ44" s="17"/>
      <c r="DA44" s="17"/>
      <c r="DB44" s="17"/>
    </row>
    <row r="45" spans="1:106" ht="15.75" thickBot="1" x14ac:dyDescent="0.3">
      <c r="A45" s="5">
        <f t="shared" si="70"/>
        <v>27</v>
      </c>
      <c r="B45" s="5">
        <f t="shared" si="69"/>
        <v>25</v>
      </c>
      <c r="C45" s="1">
        <v>43586</v>
      </c>
      <c r="D45" s="4"/>
      <c r="E45" s="30"/>
      <c r="F45" s="30"/>
      <c r="G45" s="30"/>
      <c r="H45" s="30"/>
      <c r="I45" s="10">
        <v>0</v>
      </c>
      <c r="J45" s="60">
        <v>9000</v>
      </c>
      <c r="K45" s="11">
        <v>550</v>
      </c>
      <c r="L45" s="60">
        <f t="shared" si="72"/>
        <v>9173.212880756977</v>
      </c>
      <c r="M45" s="11">
        <v>305</v>
      </c>
      <c r="N45" s="60">
        <f>(N44*($K$1/12))+N44 + $N$5</f>
        <v>6674.4674046436648</v>
      </c>
      <c r="O45" s="11">
        <v>0</v>
      </c>
      <c r="P45" s="11">
        <v>0</v>
      </c>
      <c r="Q45" s="60">
        <f>(Q44*($K$1/12))+Q44</f>
        <v>9520.520869664686</v>
      </c>
      <c r="R45" s="60">
        <f>(R44*($K$1/12))+R44</f>
        <v>5687.2035979968859</v>
      </c>
      <c r="S45" s="60">
        <f>(S44*($K$1/12))+S44</f>
        <v>4106.1543159882913</v>
      </c>
      <c r="T45" s="60">
        <f>(T44*($K$1/12))+T44+$T$5 + ((3%/12)*T$11)</f>
        <v>54210.727899127</v>
      </c>
      <c r="U45" s="60">
        <f>(U44*$K$1/12) + U44 + ((U$11/12*7%))</f>
        <v>4184.3159738749655</v>
      </c>
      <c r="V45" s="60">
        <v>3100</v>
      </c>
      <c r="W45" s="60">
        <f>(W44*($K$1/12))+W44+$W$5</f>
        <v>4420.400411949553</v>
      </c>
      <c r="X45" s="11">
        <v>0</v>
      </c>
      <c r="Y45" s="60">
        <f>(Y44*$K$1/12)+Y44</f>
        <v>32668.662063560532</v>
      </c>
      <c r="Z45" s="11">
        <v>0</v>
      </c>
      <c r="AA45" s="12">
        <f t="shared" si="2"/>
        <v>143600.66541756256</v>
      </c>
      <c r="AB45" s="56">
        <f t="shared" si="141"/>
        <v>750</v>
      </c>
      <c r="AC45" s="56">
        <f t="shared" si="141"/>
        <v>750</v>
      </c>
      <c r="AD45" s="56">
        <f t="shared" si="141"/>
        <v>750</v>
      </c>
      <c r="AE45" s="56">
        <f t="shared" si="141"/>
        <v>750</v>
      </c>
      <c r="AF45" s="56">
        <f t="shared" si="74"/>
        <v>260.63039294263848</v>
      </c>
      <c r="AG45" s="56">
        <f t="shared" si="141"/>
        <v>750</v>
      </c>
      <c r="AH45" s="56">
        <f t="shared" si="83"/>
        <v>47811.926073420182</v>
      </c>
      <c r="AI45" s="56">
        <f t="shared" si="84"/>
        <v>15704.925771518325</v>
      </c>
      <c r="AJ45" s="56">
        <f t="shared" si="140"/>
        <v>16797.115342134177</v>
      </c>
      <c r="AK45" s="11">
        <v>0</v>
      </c>
      <c r="AL45" s="11">
        <v>0</v>
      </c>
      <c r="AM45" s="12">
        <f t="shared" si="12"/>
        <v>-84324.59758001531</v>
      </c>
      <c r="AN45" s="75">
        <f t="shared" si="85"/>
        <v>59276.067837547249</v>
      </c>
      <c r="AO45" s="86">
        <v>0</v>
      </c>
      <c r="AP45" s="79">
        <v>0</v>
      </c>
      <c r="AQ45" s="87"/>
      <c r="AR45" s="20">
        <f t="shared" si="115"/>
        <v>4010.6303929426385</v>
      </c>
      <c r="AS45" s="20">
        <v>750</v>
      </c>
      <c r="AT45" s="20">
        <v>0</v>
      </c>
      <c r="AU45" s="20">
        <f t="shared" si="116"/>
        <v>4760.6303929426385</v>
      </c>
      <c r="AV45" s="20">
        <f t="shared" si="71"/>
        <v>4754.2316261574069</v>
      </c>
      <c r="AW45" s="51">
        <f t="shared" si="5"/>
        <v>0</v>
      </c>
      <c r="AX45" s="51">
        <f t="shared" si="14"/>
        <v>0</v>
      </c>
      <c r="AY45" s="51">
        <f t="shared" si="15"/>
        <v>0</v>
      </c>
      <c r="AZ45" s="51">
        <f t="shared" si="16"/>
        <v>0</v>
      </c>
      <c r="BA45" s="51">
        <f t="shared" si="17"/>
        <v>0</v>
      </c>
      <c r="BB45" s="51">
        <f t="shared" si="18"/>
        <v>0</v>
      </c>
      <c r="BC45" s="51">
        <f t="shared" si="19"/>
        <v>0</v>
      </c>
      <c r="BD45" s="51">
        <f t="shared" si="20"/>
        <v>0</v>
      </c>
      <c r="BE45" s="51">
        <f t="shared" si="21"/>
        <v>0</v>
      </c>
      <c r="BF45" s="51">
        <f t="shared" si="22"/>
        <v>0</v>
      </c>
      <c r="BG45" s="51">
        <f t="shared" si="23"/>
        <v>0</v>
      </c>
      <c r="BH45" s="51">
        <f t="shared" si="24"/>
        <v>0</v>
      </c>
      <c r="BI45" s="51">
        <f t="shared" si="117"/>
        <v>0</v>
      </c>
      <c r="BJ45" s="51">
        <f t="shared" si="118"/>
        <v>0</v>
      </c>
      <c r="BK45" s="51">
        <f t="shared" si="119"/>
        <v>0</v>
      </c>
      <c r="BL45" s="51">
        <f t="shared" si="120"/>
        <v>0</v>
      </c>
      <c r="BM45" s="51">
        <f t="shared" si="121"/>
        <v>0</v>
      </c>
      <c r="BN45" s="51">
        <f t="shared" si="122"/>
        <v>0</v>
      </c>
      <c r="BO45" s="51">
        <f t="shared" si="123"/>
        <v>0</v>
      </c>
      <c r="BP45" s="51">
        <f t="shared" si="124"/>
        <v>0</v>
      </c>
      <c r="BQ45" s="51">
        <f t="shared" si="125"/>
        <v>0</v>
      </c>
      <c r="BR45" s="51">
        <f t="shared" si="126"/>
        <v>0</v>
      </c>
      <c r="BS45" s="51">
        <f t="shared" si="127"/>
        <v>0</v>
      </c>
      <c r="BT45" s="51">
        <f t="shared" si="128"/>
        <v>0</v>
      </c>
      <c r="BU45" s="20">
        <f t="shared" si="129"/>
        <v>4759.8111087521102</v>
      </c>
      <c r="BV45" s="20">
        <f t="shared" si="111"/>
        <v>4761.1636235080741</v>
      </c>
      <c r="BW45" s="20">
        <f t="shared" si="130"/>
        <v>57127.564715311659</v>
      </c>
      <c r="BX45" s="20">
        <f t="shared" si="131"/>
        <v>57117.733305025322</v>
      </c>
      <c r="BY45" s="20">
        <f t="shared" si="132"/>
        <v>57133.963482096893</v>
      </c>
      <c r="BZ45" s="21">
        <f t="shared" si="133"/>
        <v>57126.420500811284</v>
      </c>
      <c r="CA45" s="19">
        <f t="shared" si="47"/>
        <v>1428160.5125202821</v>
      </c>
      <c r="CB45" s="20">
        <f t="shared" si="134"/>
        <v>1428010.5323615645</v>
      </c>
      <c r="CC45" s="20">
        <f t="shared" si="112"/>
        <v>1442734.7807760555</v>
      </c>
      <c r="CD45" s="20">
        <f t="shared" si="48"/>
        <v>0</v>
      </c>
      <c r="CE45" s="20">
        <f t="shared" si="113"/>
        <v>1400000</v>
      </c>
      <c r="CF45" s="20">
        <f t="shared" si="37"/>
        <v>114797.98513216192</v>
      </c>
      <c r="CG45" s="20">
        <f t="shared" si="135"/>
        <v>4591.9194052864768</v>
      </c>
      <c r="CH45" s="20">
        <f t="shared" si="39"/>
        <v>382.65995044053972</v>
      </c>
      <c r="CI45" s="20">
        <f t="shared" si="136"/>
        <v>112554.04291768894</v>
      </c>
      <c r="CJ45" s="24">
        <f t="shared" si="137"/>
        <v>8.0390152964989262E-2</v>
      </c>
      <c r="CK45" s="24">
        <f t="shared" si="138"/>
        <v>1.9973159309620857E-2</v>
      </c>
      <c r="CL45" s="24">
        <f t="shared" si="139"/>
        <v>6.2056160867521158E-2</v>
      </c>
      <c r="CM45" s="25">
        <f t="shared" si="114"/>
        <v>0.28384313467275368</v>
      </c>
      <c r="CN45" s="17"/>
      <c r="CO45" s="17"/>
      <c r="CP45" s="17"/>
      <c r="CQ45" s="17"/>
      <c r="CR45" s="17"/>
      <c r="CS45" s="17"/>
      <c r="CT45" s="17"/>
      <c r="CU45" s="17"/>
      <c r="CV45" s="17"/>
      <c r="CW45" s="30">
        <v>0</v>
      </c>
      <c r="CX45" s="17"/>
      <c r="CY45" s="17"/>
      <c r="CZ45" s="17"/>
      <c r="DA45" s="17"/>
      <c r="DB45" s="17"/>
    </row>
    <row r="46" spans="1:106" ht="15.75" thickBot="1" x14ac:dyDescent="0.3">
      <c r="A46" s="5">
        <f t="shared" si="70"/>
        <v>27</v>
      </c>
      <c r="B46" s="5">
        <f t="shared" si="69"/>
        <v>25</v>
      </c>
      <c r="C46" s="1">
        <v>43617</v>
      </c>
      <c r="D46" s="4"/>
      <c r="E46" s="30"/>
      <c r="F46" s="30"/>
      <c r="G46" s="30"/>
      <c r="H46" s="30"/>
      <c r="I46" s="10">
        <v>0</v>
      </c>
      <c r="J46" s="60">
        <v>9000</v>
      </c>
      <c r="K46" s="11">
        <v>550</v>
      </c>
      <c r="L46" s="60">
        <f t="shared" si="72"/>
        <v>9184.2971796545571</v>
      </c>
      <c r="M46" s="11">
        <v>305</v>
      </c>
      <c r="N46" s="60">
        <f>(N45*($K$1/12))+N45 + $N$5</f>
        <v>6910.6207697521513</v>
      </c>
      <c r="O46" s="11">
        <v>0</v>
      </c>
      <c r="P46" s="11">
        <v>0</v>
      </c>
      <c r="Q46" s="60">
        <f>(Q45*($K$1/12))+Q45</f>
        <v>9572.0903577087029</v>
      </c>
      <c r="R46" s="60">
        <f>(R45*($K$1/12))+R45</f>
        <v>5718.0092841527021</v>
      </c>
      <c r="S46" s="60">
        <f>(S45*($K$1/12))+S45</f>
        <v>4128.3959851998943</v>
      </c>
      <c r="T46" s="60">
        <f>(T45*($K$1/12))+T45+$T$5 + ((3%/12)*T$11)</f>
        <v>55604.369341913938</v>
      </c>
      <c r="U46" s="60">
        <f>(U45*$K$1/12) + U45 + ((U$11/12*7%))</f>
        <v>4615.3143520667882</v>
      </c>
      <c r="V46" s="60">
        <v>3100</v>
      </c>
      <c r="W46" s="60">
        <f>(W45*($K$1/12))+W45+$W$5</f>
        <v>4574.3442475142801</v>
      </c>
      <c r="X46" s="11">
        <v>0</v>
      </c>
      <c r="Y46" s="60">
        <f>(Y45*$K$1/12)+Y45</f>
        <v>32845.617316404816</v>
      </c>
      <c r="Z46" s="11">
        <v>0</v>
      </c>
      <c r="AA46" s="12">
        <f t="shared" si="2"/>
        <v>146108.05883436784</v>
      </c>
      <c r="AB46" s="56">
        <f t="shared" si="141"/>
        <v>750</v>
      </c>
      <c r="AC46" s="56">
        <f t="shared" si="141"/>
        <v>750</v>
      </c>
      <c r="AD46" s="56">
        <f t="shared" si="141"/>
        <v>750</v>
      </c>
      <c r="AE46" s="56">
        <f t="shared" si="141"/>
        <v>750</v>
      </c>
      <c r="AF46" s="56">
        <f t="shared" si="74"/>
        <v>261.16362350807441</v>
      </c>
      <c r="AG46" s="56">
        <f t="shared" si="141"/>
        <v>750</v>
      </c>
      <c r="AH46" s="56">
        <f t="shared" si="83"/>
        <v>48023.493846295067</v>
      </c>
      <c r="AI46" s="56">
        <f t="shared" si="84"/>
        <v>15783.450400375916</v>
      </c>
      <c r="AJ46" s="56">
        <f t="shared" si="140"/>
        <v>16888.099716904071</v>
      </c>
      <c r="AK46" s="11">
        <v>0</v>
      </c>
      <c r="AL46" s="11">
        <v>0</v>
      </c>
      <c r="AM46" s="12">
        <f t="shared" si="12"/>
        <v>-84706.207587083132</v>
      </c>
      <c r="AN46" s="75">
        <f t="shared" si="85"/>
        <v>61401.851247284707</v>
      </c>
      <c r="AO46" s="86">
        <v>0</v>
      </c>
      <c r="AP46" s="79">
        <v>0</v>
      </c>
      <c r="AQ46" s="87"/>
      <c r="AR46" s="20">
        <f t="shared" si="115"/>
        <v>4011.1636235080746</v>
      </c>
      <c r="AS46" s="20">
        <v>750</v>
      </c>
      <c r="AT46" s="20">
        <v>0</v>
      </c>
      <c r="AU46" s="20">
        <f t="shared" si="116"/>
        <v>4761.163623508075</v>
      </c>
      <c r="AV46" s="20">
        <f t="shared" si="71"/>
        <v>4755.5967616705248</v>
      </c>
      <c r="AW46" s="51">
        <f t="shared" si="5"/>
        <v>0</v>
      </c>
      <c r="AX46" s="51">
        <f t="shared" si="14"/>
        <v>0</v>
      </c>
      <c r="AY46" s="51">
        <f t="shared" si="15"/>
        <v>0</v>
      </c>
      <c r="AZ46" s="51">
        <f t="shared" si="16"/>
        <v>0</v>
      </c>
      <c r="BA46" s="51">
        <f t="shared" si="17"/>
        <v>0</v>
      </c>
      <c r="BB46" s="51">
        <f t="shared" si="18"/>
        <v>0</v>
      </c>
      <c r="BC46" s="51">
        <f t="shared" si="19"/>
        <v>0</v>
      </c>
      <c r="BD46" s="51">
        <f t="shared" si="20"/>
        <v>0</v>
      </c>
      <c r="BE46" s="51">
        <f t="shared" si="21"/>
        <v>0</v>
      </c>
      <c r="BF46" s="51">
        <f t="shared" si="22"/>
        <v>0</v>
      </c>
      <c r="BG46" s="51">
        <f t="shared" si="23"/>
        <v>0</v>
      </c>
      <c r="BH46" s="51">
        <f t="shared" si="24"/>
        <v>0</v>
      </c>
      <c r="BI46" s="51">
        <f t="shared" si="117"/>
        <v>0</v>
      </c>
      <c r="BJ46" s="51">
        <f t="shared" si="118"/>
        <v>0</v>
      </c>
      <c r="BK46" s="51">
        <f t="shared" si="119"/>
        <v>0</v>
      </c>
      <c r="BL46" s="51">
        <f t="shared" si="120"/>
        <v>0</v>
      </c>
      <c r="BM46" s="51">
        <f t="shared" si="121"/>
        <v>0</v>
      </c>
      <c r="BN46" s="51">
        <f t="shared" si="122"/>
        <v>0</v>
      </c>
      <c r="BO46" s="51">
        <f t="shared" si="123"/>
        <v>0</v>
      </c>
      <c r="BP46" s="51">
        <f t="shared" si="124"/>
        <v>0</v>
      </c>
      <c r="BQ46" s="51">
        <f t="shared" si="125"/>
        <v>0</v>
      </c>
      <c r="BR46" s="51">
        <f t="shared" si="126"/>
        <v>0</v>
      </c>
      <c r="BS46" s="51">
        <f t="shared" si="127"/>
        <v>0</v>
      </c>
      <c r="BT46" s="51">
        <f t="shared" si="128"/>
        <v>0</v>
      </c>
      <c r="BU46" s="20">
        <f t="shared" si="129"/>
        <v>4760.5600583690557</v>
      </c>
      <c r="BV46" s="20">
        <f t="shared" si="111"/>
        <v>4761.6275286612035</v>
      </c>
      <c r="BW46" s="20">
        <f t="shared" si="130"/>
        <v>57133.9634820969</v>
      </c>
      <c r="BX46" s="20">
        <f t="shared" si="131"/>
        <v>57126.720700428668</v>
      </c>
      <c r="BY46" s="20">
        <f t="shared" si="132"/>
        <v>57139.530343934442</v>
      </c>
      <c r="BZ46" s="21">
        <f t="shared" si="133"/>
        <v>57133.404842153337</v>
      </c>
      <c r="CA46" s="19">
        <f t="shared" si="47"/>
        <v>1428335.1210538333</v>
      </c>
      <c r="CB46" s="20">
        <f t="shared" si="134"/>
        <v>1428136.5402010551</v>
      </c>
      <c r="CC46" s="20">
        <f t="shared" ref="CC46:CC53" si="142">AVERAGE(CA35:CA46)</f>
        <v>1439185.1005986221</v>
      </c>
      <c r="CD46" s="20">
        <f t="shared" si="48"/>
        <v>0</v>
      </c>
      <c r="CE46" s="20">
        <f t="shared" si="113"/>
        <v>1400000</v>
      </c>
      <c r="CF46" s="20">
        <f t="shared" si="37"/>
        <v>117058.14088496113</v>
      </c>
      <c r="CG46" s="20">
        <f t="shared" si="135"/>
        <v>4682.3256353984452</v>
      </c>
      <c r="CH46" s="20">
        <f t="shared" si="39"/>
        <v>390.19380294987042</v>
      </c>
      <c r="CI46" s="20">
        <f t="shared" si="136"/>
        <v>114802.0439834931</v>
      </c>
      <c r="CJ46" s="24">
        <f t="shared" si="137"/>
        <v>8.1965650755271291E-2</v>
      </c>
      <c r="CK46" s="24">
        <f t="shared" si="138"/>
        <v>1.9688113429841062E-2</v>
      </c>
      <c r="CL46" s="24">
        <f t="shared" si="139"/>
        <v>6.1134532153204225E-2</v>
      </c>
      <c r="CM46" s="25">
        <f t="shared" ref="CM46:CM53" si="143">(CF46-CF34)/CF34</f>
        <v>0.28449281215393457</v>
      </c>
      <c r="CN46" s="17"/>
      <c r="CO46" s="17"/>
      <c r="CP46" s="17"/>
      <c r="CQ46" s="17"/>
      <c r="CR46" s="17"/>
      <c r="CS46" s="17"/>
      <c r="CT46" s="17"/>
      <c r="CU46" s="17"/>
      <c r="CV46" s="17"/>
      <c r="CW46" s="30">
        <v>0</v>
      </c>
      <c r="CX46" s="17"/>
      <c r="CY46" s="17"/>
      <c r="CZ46" s="17"/>
      <c r="DA46" s="17"/>
      <c r="DB46" s="17"/>
    </row>
    <row r="47" spans="1:106" ht="15.75" thickBot="1" x14ac:dyDescent="0.3">
      <c r="A47" s="5">
        <f t="shared" si="70"/>
        <v>27</v>
      </c>
      <c r="B47" s="5">
        <f t="shared" si="69"/>
        <v>25</v>
      </c>
      <c r="C47" s="1">
        <v>43647</v>
      </c>
      <c r="D47" s="4"/>
      <c r="E47" s="30"/>
      <c r="F47" s="30"/>
      <c r="G47" s="30"/>
      <c r="H47" s="30"/>
      <c r="I47" s="10">
        <v>0</v>
      </c>
      <c r="J47" s="60">
        <v>9000</v>
      </c>
      <c r="K47" s="11">
        <v>550</v>
      </c>
      <c r="L47" s="60">
        <f t="shared" si="72"/>
        <v>9195.3948720799726</v>
      </c>
      <c r="M47" s="11">
        <v>305</v>
      </c>
      <c r="N47" s="60">
        <f>(N46*($K$1/12))+N46 + $N$5</f>
        <v>7148.0532989216417</v>
      </c>
      <c r="O47" s="11">
        <v>0</v>
      </c>
      <c r="P47" s="11">
        <v>0</v>
      </c>
      <c r="Q47" s="60">
        <f>(Q46*($K$1/12))+Q46</f>
        <v>9623.9391804796251</v>
      </c>
      <c r="R47" s="60">
        <f>(R46*($K$1/12))+R46</f>
        <v>5748.9818344418627</v>
      </c>
      <c r="S47" s="60">
        <f>(S46*($K$1/12))+S46</f>
        <v>4150.758130119727</v>
      </c>
      <c r="T47" s="60">
        <f>(T46*($K$1/12))+T46+$T$5 + ((3%/12)*T$11)</f>
        <v>57005.559675849305</v>
      </c>
      <c r="U47" s="60">
        <f>(U46*$K$1/12) + U46 + ((U$11/12*7%))</f>
        <v>5048.6473048071493</v>
      </c>
      <c r="V47" s="60">
        <v>3100</v>
      </c>
      <c r="W47" s="60">
        <f>(W46*($K$1/12))+W46+$W$5</f>
        <v>4729.1219455216487</v>
      </c>
      <c r="X47" s="11">
        <v>0</v>
      </c>
      <c r="Y47" s="60">
        <f>(Y46*$K$1/12)+Y46</f>
        <v>33023.531076868676</v>
      </c>
      <c r="Z47" s="11">
        <v>0</v>
      </c>
      <c r="AA47" s="12">
        <f t="shared" si="2"/>
        <v>148628.98731908962</v>
      </c>
      <c r="AB47" s="56">
        <f t="shared" si="141"/>
        <v>750</v>
      </c>
      <c r="AC47" s="56">
        <f t="shared" si="141"/>
        <v>750</v>
      </c>
      <c r="AD47" s="56">
        <f t="shared" si="141"/>
        <v>750</v>
      </c>
      <c r="AE47" s="56">
        <f t="shared" si="141"/>
        <v>750</v>
      </c>
      <c r="AF47" s="56">
        <f t="shared" si="74"/>
        <v>261.62752866120354</v>
      </c>
      <c r="AG47" s="56">
        <f t="shared" si="141"/>
        <v>750</v>
      </c>
      <c r="AH47" s="56">
        <f t="shared" si="83"/>
        <v>48235.997806564919</v>
      </c>
      <c r="AI47" s="56">
        <f t="shared" si="84"/>
        <v>15862.367652377796</v>
      </c>
      <c r="AJ47" s="56">
        <f t="shared" si="140"/>
        <v>16979.576923703968</v>
      </c>
      <c r="AK47" s="11">
        <v>0</v>
      </c>
      <c r="AL47" s="11">
        <v>0</v>
      </c>
      <c r="AM47" s="12">
        <f t="shared" si="12"/>
        <v>-85089.569911307888</v>
      </c>
      <c r="AN47" s="75">
        <f t="shared" si="85"/>
        <v>63539.41740778173</v>
      </c>
      <c r="AO47" s="86">
        <v>0</v>
      </c>
      <c r="AP47" s="79">
        <v>0</v>
      </c>
      <c r="AQ47" s="87"/>
      <c r="AR47" s="20">
        <f t="shared" si="115"/>
        <v>4011.6275286612035</v>
      </c>
      <c r="AS47" s="20">
        <v>750</v>
      </c>
      <c r="AT47" s="20">
        <v>0</v>
      </c>
      <c r="AU47" s="20">
        <f t="shared" si="116"/>
        <v>4761.6275286612035</v>
      </c>
      <c r="AV47" s="20">
        <f t="shared" si="71"/>
        <v>4753.5098251430682</v>
      </c>
      <c r="AW47" s="51">
        <f t="shared" si="5"/>
        <v>0</v>
      </c>
      <c r="AX47" s="51">
        <f t="shared" si="14"/>
        <v>0</v>
      </c>
      <c r="AY47" s="51">
        <f t="shared" si="15"/>
        <v>0</v>
      </c>
      <c r="AZ47" s="51">
        <f t="shared" si="16"/>
        <v>0</v>
      </c>
      <c r="BA47" s="51">
        <f t="shared" si="17"/>
        <v>0</v>
      </c>
      <c r="BB47" s="51">
        <f t="shared" si="18"/>
        <v>0</v>
      </c>
      <c r="BC47" s="51">
        <f t="shared" si="19"/>
        <v>0</v>
      </c>
      <c r="BD47" s="51">
        <f t="shared" si="20"/>
        <v>0</v>
      </c>
      <c r="BE47" s="51">
        <f t="shared" si="21"/>
        <v>0</v>
      </c>
      <c r="BF47" s="51">
        <f t="shared" si="22"/>
        <v>0</v>
      </c>
      <c r="BG47" s="51">
        <f t="shared" si="23"/>
        <v>0</v>
      </c>
      <c r="BH47" s="51">
        <f t="shared" si="24"/>
        <v>0</v>
      </c>
      <c r="BI47" s="51">
        <f t="shared" si="117"/>
        <v>0</v>
      </c>
      <c r="BJ47" s="51">
        <f t="shared" si="118"/>
        <v>0</v>
      </c>
      <c r="BK47" s="51">
        <f t="shared" si="119"/>
        <v>0</v>
      </c>
      <c r="BL47" s="51">
        <f t="shared" si="120"/>
        <v>0</v>
      </c>
      <c r="BM47" s="51">
        <f t="shared" si="121"/>
        <v>0</v>
      </c>
      <c r="BN47" s="51">
        <f t="shared" si="122"/>
        <v>0</v>
      </c>
      <c r="BO47" s="51">
        <f t="shared" si="123"/>
        <v>0</v>
      </c>
      <c r="BP47" s="51">
        <f t="shared" si="124"/>
        <v>0</v>
      </c>
      <c r="BQ47" s="51">
        <f t="shared" si="125"/>
        <v>0</v>
      </c>
      <c r="BR47" s="51">
        <f t="shared" si="126"/>
        <v>0</v>
      </c>
      <c r="BS47" s="51">
        <f t="shared" si="127"/>
        <v>0</v>
      </c>
      <c r="BT47" s="51">
        <f t="shared" si="128"/>
        <v>0</v>
      </c>
      <c r="BU47" s="20">
        <f t="shared" si="129"/>
        <v>4761.1405150373057</v>
      </c>
      <c r="BV47" s="20">
        <f t="shared" si="111"/>
        <v>4762.3040039543812</v>
      </c>
      <c r="BW47" s="20">
        <f t="shared" si="130"/>
        <v>57139.530343934442</v>
      </c>
      <c r="BX47" s="20">
        <f t="shared" si="131"/>
        <v>57133.686180447665</v>
      </c>
      <c r="BY47" s="20">
        <f t="shared" si="132"/>
        <v>57147.648047452574</v>
      </c>
      <c r="BZ47" s="21">
        <f t="shared" si="133"/>
        <v>57140.288190611558</v>
      </c>
      <c r="CA47" s="19">
        <f t="shared" si="47"/>
        <v>1428507.2047652889</v>
      </c>
      <c r="CB47" s="20">
        <f t="shared" ref="CB47:CB53" si="144">AVERAGE(CA45:CA47)</f>
        <v>1428334.279446468</v>
      </c>
      <c r="CC47" s="20">
        <f t="shared" si="142"/>
        <v>1435659.02149541</v>
      </c>
      <c r="CD47" s="20">
        <f t="shared" si="48"/>
        <v>0</v>
      </c>
      <c r="CE47" s="20">
        <f t="shared" si="113"/>
        <v>1400000</v>
      </c>
      <c r="CF47" s="20">
        <f t="shared" si="37"/>
        <v>119330.53914808799</v>
      </c>
      <c r="CG47" s="20">
        <f t="shared" ref="CG47:CG53" si="145">CA$11*CF47</f>
        <v>4773.2215659235198</v>
      </c>
      <c r="CH47" s="20">
        <f t="shared" si="39"/>
        <v>397.76846382695999</v>
      </c>
      <c r="CI47" s="20">
        <f t="shared" ref="CI47:CI53" si="146">AVERAGE(CF45:CF47)</f>
        <v>117062.22172173702</v>
      </c>
      <c r="CJ47" s="24">
        <f t="shared" ref="CJ47:CJ314" si="147">CF47/CB47</f>
        <v>8.3545246281096719E-2</v>
      </c>
      <c r="CK47" s="24">
        <f t="shared" ref="CK47:CK314" si="148">(CF47-CF46)/CF46</f>
        <v>1.9412560680935963E-2</v>
      </c>
      <c r="CL47" s="24">
        <f t="shared" ref="CL47:CL53" si="149">(CF47-CF44)/CF44</f>
        <v>6.0244627785685741E-2</v>
      </c>
      <c r="CM47" s="25">
        <f t="shared" si="143"/>
        <v>0.28512182409857717</v>
      </c>
      <c r="CN47" s="17"/>
      <c r="CO47" s="17"/>
      <c r="CP47" s="17"/>
      <c r="CQ47" s="17"/>
      <c r="CR47" s="17"/>
      <c r="CS47" s="17"/>
      <c r="CT47" s="17"/>
      <c r="CU47" s="17"/>
      <c r="CV47" s="17"/>
      <c r="CW47" s="30">
        <v>0</v>
      </c>
      <c r="CX47" s="17"/>
      <c r="CY47" s="17"/>
      <c r="CZ47" s="17"/>
      <c r="DA47" s="17"/>
      <c r="DB47" s="17"/>
    </row>
    <row r="48" spans="1:106" ht="15.75" thickBot="1" x14ac:dyDescent="0.3">
      <c r="A48" s="5">
        <f t="shared" si="70"/>
        <v>27</v>
      </c>
      <c r="B48" s="5">
        <f t="shared" si="69"/>
        <v>25</v>
      </c>
      <c r="C48" s="1">
        <v>43678</v>
      </c>
      <c r="D48" s="4"/>
      <c r="E48" s="30"/>
      <c r="F48" s="30"/>
      <c r="G48" s="30"/>
      <c r="H48" s="30"/>
      <c r="I48" s="10">
        <v>0</v>
      </c>
      <c r="J48" s="60">
        <v>9000</v>
      </c>
      <c r="K48" s="11">
        <v>550</v>
      </c>
      <c r="L48" s="60">
        <f t="shared" si="72"/>
        <v>9206.5059742170688</v>
      </c>
      <c r="M48" s="11">
        <v>305</v>
      </c>
      <c r="N48" s="60">
        <f>(N47*($K$1/12))+N47 + $N$5</f>
        <v>7386.771920957467</v>
      </c>
      <c r="O48" s="11">
        <v>0</v>
      </c>
      <c r="P48" s="11">
        <v>0</v>
      </c>
      <c r="Q48" s="60">
        <f>(Q47*($K$1/12))+Q47</f>
        <v>9676.0688510405562</v>
      </c>
      <c r="R48" s="60">
        <f>(R47*($K$1/12))+R47</f>
        <v>5780.1221527117559</v>
      </c>
      <c r="S48" s="60">
        <f>(S47*($K$1/12))+S47</f>
        <v>4173.2414033245423</v>
      </c>
      <c r="T48" s="60">
        <f>(T47*($K$1/12))+T47+$T$5 + ((3%/12)*T$11)</f>
        <v>58414.339790760154</v>
      </c>
      <c r="U48" s="60">
        <f>(U47*$K$1/12) + U47 + ((U$11/12*7%))</f>
        <v>5484.3274777081879</v>
      </c>
      <c r="V48" s="60">
        <v>3100</v>
      </c>
      <c r="W48" s="60">
        <f>(W47*($K$1/12))+W47+$W$5</f>
        <v>4884.7380227265576</v>
      </c>
      <c r="X48" s="11">
        <v>0</v>
      </c>
      <c r="Y48" s="60">
        <f>(Y47*$K$1/12)+Y47</f>
        <v>33202.408536868381</v>
      </c>
      <c r="Z48" s="11">
        <v>0</v>
      </c>
      <c r="AA48" s="12">
        <f t="shared" si="2"/>
        <v>151163.52413031468</v>
      </c>
      <c r="AB48" s="56">
        <f t="shared" si="141"/>
        <v>750</v>
      </c>
      <c r="AC48" s="56">
        <f t="shared" si="141"/>
        <v>750</v>
      </c>
      <c r="AD48" s="56">
        <f t="shared" si="141"/>
        <v>750</v>
      </c>
      <c r="AE48" s="56">
        <f t="shared" si="141"/>
        <v>750</v>
      </c>
      <c r="AF48" s="56">
        <f t="shared" si="74"/>
        <v>262.30400395438147</v>
      </c>
      <c r="AG48" s="56">
        <f t="shared" si="141"/>
        <v>750</v>
      </c>
      <c r="AH48" s="56">
        <f t="shared" si="83"/>
        <v>48449.442096858969</v>
      </c>
      <c r="AI48" s="56">
        <f t="shared" si="84"/>
        <v>15941.679490639684</v>
      </c>
      <c r="AJ48" s="56">
        <f t="shared" si="140"/>
        <v>17071.549632040696</v>
      </c>
      <c r="AK48" s="56">
        <v>18000</v>
      </c>
      <c r="AL48" s="11">
        <v>0</v>
      </c>
      <c r="AM48" s="12">
        <f t="shared" si="12"/>
        <v>-103474.97522349373</v>
      </c>
      <c r="AN48" s="75">
        <f t="shared" si="85"/>
        <v>47688.548906820943</v>
      </c>
      <c r="AO48" s="86">
        <v>0</v>
      </c>
      <c r="AP48" s="79">
        <v>0</v>
      </c>
      <c r="AQ48" s="87"/>
      <c r="AR48" s="20">
        <f t="shared" si="115"/>
        <v>4012.3040039543816</v>
      </c>
      <c r="AS48" s="20">
        <v>750</v>
      </c>
      <c r="AT48" s="20">
        <v>0</v>
      </c>
      <c r="AU48" s="20">
        <f t="shared" si="116"/>
        <v>4762.3040039543812</v>
      </c>
      <c r="AV48" s="20">
        <f t="shared" si="71"/>
        <v>4759.2848105716575</v>
      </c>
      <c r="AW48" s="51">
        <f t="shared" si="5"/>
        <v>0</v>
      </c>
      <c r="AX48" s="51">
        <f t="shared" si="14"/>
        <v>0</v>
      </c>
      <c r="AY48" s="51">
        <f t="shared" si="15"/>
        <v>0</v>
      </c>
      <c r="AZ48" s="51">
        <f t="shared" si="16"/>
        <v>0</v>
      </c>
      <c r="BA48" s="51">
        <f t="shared" si="17"/>
        <v>0</v>
      </c>
      <c r="BB48" s="51">
        <f t="shared" si="18"/>
        <v>0</v>
      </c>
      <c r="BC48" s="51">
        <f t="shared" si="19"/>
        <v>0</v>
      </c>
      <c r="BD48" s="51">
        <f t="shared" si="20"/>
        <v>0</v>
      </c>
      <c r="BE48" s="51">
        <f t="shared" si="21"/>
        <v>0</v>
      </c>
      <c r="BF48" s="51">
        <f t="shared" si="22"/>
        <v>0</v>
      </c>
      <c r="BG48" s="51">
        <f t="shared" si="23"/>
        <v>0</v>
      </c>
      <c r="BH48" s="51">
        <f t="shared" si="24"/>
        <v>0</v>
      </c>
      <c r="BI48" s="51">
        <f t="shared" si="117"/>
        <v>0</v>
      </c>
      <c r="BJ48" s="51">
        <f t="shared" si="118"/>
        <v>0</v>
      </c>
      <c r="BK48" s="51">
        <f t="shared" si="119"/>
        <v>0</v>
      </c>
      <c r="BL48" s="51">
        <f t="shared" si="120"/>
        <v>0</v>
      </c>
      <c r="BM48" s="51">
        <f t="shared" si="121"/>
        <v>0</v>
      </c>
      <c r="BN48" s="51">
        <f t="shared" si="122"/>
        <v>0</v>
      </c>
      <c r="BO48" s="51">
        <f t="shared" si="123"/>
        <v>0</v>
      </c>
      <c r="BP48" s="51">
        <f t="shared" si="124"/>
        <v>0</v>
      </c>
      <c r="BQ48" s="51">
        <f t="shared" si="125"/>
        <v>0</v>
      </c>
      <c r="BR48" s="51">
        <f t="shared" si="126"/>
        <v>0</v>
      </c>
      <c r="BS48" s="51">
        <f t="shared" si="127"/>
        <v>0</v>
      </c>
      <c r="BT48" s="51">
        <f t="shared" si="128"/>
        <v>0</v>
      </c>
      <c r="BU48" s="20">
        <f t="shared" si="129"/>
        <v>4761.6983853745533</v>
      </c>
      <c r="BV48" s="20">
        <f t="shared" si="111"/>
        <v>4762.5556034029423</v>
      </c>
      <c r="BW48" s="20">
        <f t="shared" si="130"/>
        <v>57147.648047452574</v>
      </c>
      <c r="BX48" s="20">
        <f t="shared" si="131"/>
        <v>57140.380624494639</v>
      </c>
      <c r="BY48" s="20">
        <f t="shared" si="132"/>
        <v>57150.667240835304</v>
      </c>
      <c r="BZ48" s="21">
        <f t="shared" si="133"/>
        <v>57146.231970927503</v>
      </c>
      <c r="CA48" s="19">
        <f t="shared" si="47"/>
        <v>1428655.7992731875</v>
      </c>
      <c r="CB48" s="20">
        <f t="shared" si="144"/>
        <v>1428499.37503077</v>
      </c>
      <c r="CC48" s="20">
        <f t="shared" si="142"/>
        <v>1432532.7090363475</v>
      </c>
      <c r="CD48" s="20">
        <f t="shared" si="48"/>
        <v>0</v>
      </c>
      <c r="CE48" s="20">
        <f t="shared" si="113"/>
        <v>1400000</v>
      </c>
      <c r="CF48" s="20">
        <f t="shared" si="37"/>
        <v>121615.24623514012</v>
      </c>
      <c r="CG48" s="20">
        <f t="shared" si="145"/>
        <v>4864.609849405605</v>
      </c>
      <c r="CH48" s="20">
        <f t="shared" si="39"/>
        <v>405.38415411713373</v>
      </c>
      <c r="CI48" s="20">
        <f t="shared" si="146"/>
        <v>119334.64208939642</v>
      </c>
      <c r="CJ48" s="24">
        <f t="shared" si="147"/>
        <v>8.5134966357630029E-2</v>
      </c>
      <c r="CK48" s="24">
        <f t="shared" si="148"/>
        <v>1.9146038418688692E-2</v>
      </c>
      <c r="CL48" s="24">
        <f t="shared" si="149"/>
        <v>5.9384849787474776E-2</v>
      </c>
      <c r="CM48" s="25">
        <f t="shared" si="143"/>
        <v>0.280204553904849</v>
      </c>
      <c r="CN48" s="17"/>
      <c r="CO48" s="17"/>
      <c r="CP48" s="17"/>
      <c r="CQ48" s="17"/>
      <c r="CR48" s="17"/>
      <c r="CS48" s="17"/>
      <c r="CT48" s="17"/>
      <c r="CU48" s="17"/>
      <c r="CV48" s="17"/>
      <c r="CW48" s="30">
        <v>0</v>
      </c>
      <c r="CX48" s="17"/>
      <c r="CY48" s="17"/>
      <c r="CZ48" s="17"/>
      <c r="DA48" s="17"/>
      <c r="DB48" s="17"/>
    </row>
    <row r="49" spans="1:106" ht="15.75" thickBot="1" x14ac:dyDescent="0.3">
      <c r="A49" s="5">
        <f t="shared" si="70"/>
        <v>27</v>
      </c>
      <c r="B49" s="5">
        <f t="shared" si="69"/>
        <v>25</v>
      </c>
      <c r="C49" s="1">
        <v>43709</v>
      </c>
      <c r="D49" s="4"/>
      <c r="E49" s="30"/>
      <c r="F49" s="30"/>
      <c r="G49" s="30"/>
      <c r="H49" s="30"/>
      <c r="I49" s="10">
        <v>0</v>
      </c>
      <c r="J49" s="60">
        <v>9000</v>
      </c>
      <c r="K49" s="11">
        <v>550</v>
      </c>
      <c r="L49" s="60">
        <f t="shared" si="72"/>
        <v>9217.6305022692468</v>
      </c>
      <c r="M49" s="11">
        <v>305</v>
      </c>
      <c r="N49" s="60">
        <f>(N48*($K$1/12))+N48 + $N$5</f>
        <v>7626.7836021959865</v>
      </c>
      <c r="O49" s="11">
        <v>0</v>
      </c>
      <c r="P49" s="11">
        <v>0</v>
      </c>
      <c r="Q49" s="60">
        <f>(Q48*($K$1/12))+Q48</f>
        <v>9728.4808906503586</v>
      </c>
      <c r="R49" s="60">
        <f>(R48*($K$1/12))+R48</f>
        <v>5811.4311477056117</v>
      </c>
      <c r="S49" s="60">
        <f>(S48*($K$1/12))+S48</f>
        <v>4195.8464609258835</v>
      </c>
      <c r="T49" s="60">
        <f>(T48*($K$1/12))+T48+$T$5 + ((3%/12)*T$11)</f>
        <v>59830.750797960107</v>
      </c>
      <c r="U49" s="60">
        <f>(U48*$K$1/12) + U48 + ((U$11/12*7%))</f>
        <v>5922.3675848791072</v>
      </c>
      <c r="V49" s="60">
        <v>3100</v>
      </c>
      <c r="W49" s="60">
        <f>(W48*($K$1/12))+W48+$W$5</f>
        <v>5041.1970203496594</v>
      </c>
      <c r="X49" s="11">
        <v>0</v>
      </c>
      <c r="Y49" s="60">
        <f>(Y48*$K$1/12)+Y48</f>
        <v>33382.254916443082</v>
      </c>
      <c r="Z49" s="11">
        <v>0</v>
      </c>
      <c r="AA49" s="12">
        <f t="shared" si="2"/>
        <v>153711.74292337906</v>
      </c>
      <c r="AB49" s="56">
        <f t="shared" si="141"/>
        <v>750</v>
      </c>
      <c r="AC49" s="56">
        <f t="shared" si="141"/>
        <v>750</v>
      </c>
      <c r="AD49" s="56">
        <f t="shared" si="141"/>
        <v>750</v>
      </c>
      <c r="AE49" s="56">
        <f t="shared" si="141"/>
        <v>750</v>
      </c>
      <c r="AF49" s="56">
        <f t="shared" si="74"/>
        <v>262.55560340294181</v>
      </c>
      <c r="AG49" s="56">
        <f t="shared" si="141"/>
        <v>750</v>
      </c>
      <c r="AH49" s="56">
        <f t="shared" si="83"/>
        <v>48663.830878137567</v>
      </c>
      <c r="AI49" s="56">
        <f t="shared" si="84"/>
        <v>16021.387888092882</v>
      </c>
      <c r="AJ49" s="56">
        <f t="shared" si="140"/>
        <v>17164.020525880918</v>
      </c>
      <c r="AK49" s="56">
        <f t="shared" ref="AK49:AK58" si="150">(AK48*(AK$11/12))+AK48</f>
        <v>18105</v>
      </c>
      <c r="AL49" s="11">
        <v>0</v>
      </c>
      <c r="AM49" s="12">
        <f t="shared" si="12"/>
        <v>-103966.79489551431</v>
      </c>
      <c r="AN49" s="75">
        <f t="shared" si="85"/>
        <v>49744.948027864753</v>
      </c>
      <c r="AO49" s="86">
        <v>0</v>
      </c>
      <c r="AP49" s="79">
        <v>0</v>
      </c>
      <c r="AQ49" s="87"/>
      <c r="AR49" s="20">
        <f t="shared" si="115"/>
        <v>4012.5556034029419</v>
      </c>
      <c r="AS49" s="20">
        <v>750</v>
      </c>
      <c r="AT49" s="20">
        <v>0</v>
      </c>
      <c r="AU49" s="20">
        <f t="shared" si="116"/>
        <v>4762.5556034029414</v>
      </c>
      <c r="AV49" s="20">
        <f t="shared" si="71"/>
        <v>4771.3968781192962</v>
      </c>
      <c r="AW49" s="51">
        <f t="shared" si="5"/>
        <v>0</v>
      </c>
      <c r="AX49" s="51">
        <f t="shared" si="14"/>
        <v>0</v>
      </c>
      <c r="AY49" s="51">
        <f t="shared" si="15"/>
        <v>0</v>
      </c>
      <c r="AZ49" s="51">
        <f t="shared" si="16"/>
        <v>0</v>
      </c>
      <c r="BA49" s="51">
        <f t="shared" si="17"/>
        <v>0</v>
      </c>
      <c r="BB49" s="51">
        <f t="shared" si="18"/>
        <v>0</v>
      </c>
      <c r="BC49" s="51">
        <f t="shared" si="19"/>
        <v>0</v>
      </c>
      <c r="BD49" s="51">
        <f t="shared" si="20"/>
        <v>0</v>
      </c>
      <c r="BE49" s="51">
        <f t="shared" si="21"/>
        <v>0</v>
      </c>
      <c r="BF49" s="51">
        <f t="shared" si="22"/>
        <v>0</v>
      </c>
      <c r="BG49" s="51">
        <f t="shared" si="23"/>
        <v>0</v>
      </c>
      <c r="BH49" s="51">
        <f t="shared" si="24"/>
        <v>0</v>
      </c>
      <c r="BI49" s="51">
        <f t="shared" si="117"/>
        <v>0</v>
      </c>
      <c r="BJ49" s="51">
        <f t="shared" si="118"/>
        <v>0</v>
      </c>
      <c r="BK49" s="51">
        <f t="shared" si="119"/>
        <v>0</v>
      </c>
      <c r="BL49" s="51">
        <f t="shared" si="120"/>
        <v>0</v>
      </c>
      <c r="BM49" s="51">
        <f t="shared" si="121"/>
        <v>0</v>
      </c>
      <c r="BN49" s="51">
        <f t="shared" si="122"/>
        <v>0</v>
      </c>
      <c r="BO49" s="51">
        <f t="shared" si="123"/>
        <v>0</v>
      </c>
      <c r="BP49" s="51">
        <f t="shared" si="124"/>
        <v>0</v>
      </c>
      <c r="BQ49" s="51">
        <f t="shared" si="125"/>
        <v>0</v>
      </c>
      <c r="BR49" s="51">
        <f t="shared" si="126"/>
        <v>0</v>
      </c>
      <c r="BS49" s="51">
        <f t="shared" si="127"/>
        <v>0</v>
      </c>
      <c r="BT49" s="51">
        <f t="shared" si="128"/>
        <v>0</v>
      </c>
      <c r="BU49" s="20">
        <f t="shared" si="129"/>
        <v>4762.1623786728424</v>
      </c>
      <c r="BV49" s="20">
        <f t="shared" si="111"/>
        <v>4761.8188305099129</v>
      </c>
      <c r="BW49" s="20">
        <f t="shared" si="130"/>
        <v>57150.667240835297</v>
      </c>
      <c r="BX49" s="20">
        <f t="shared" si="131"/>
        <v>57145.948544074112</v>
      </c>
      <c r="BY49" s="20">
        <f t="shared" si="132"/>
        <v>57141.825966118951</v>
      </c>
      <c r="BZ49" s="21">
        <f t="shared" si="133"/>
        <v>57146.147250342787</v>
      </c>
      <c r="CA49" s="19">
        <f t="shared" si="47"/>
        <v>1428653.6812585697</v>
      </c>
      <c r="CB49" s="20">
        <f t="shared" si="144"/>
        <v>1428605.561765682</v>
      </c>
      <c r="CC49" s="20">
        <f t="shared" si="142"/>
        <v>1430083.4546910068</v>
      </c>
      <c r="CD49" s="20">
        <f t="shared" si="48"/>
        <v>0</v>
      </c>
      <c r="CE49" s="20">
        <f t="shared" si="113"/>
        <v>1400000</v>
      </c>
      <c r="CF49" s="20">
        <f t="shared" si="37"/>
        <v>123912.32881891381</v>
      </c>
      <c r="CG49" s="20">
        <f t="shared" si="145"/>
        <v>4956.4931527565523</v>
      </c>
      <c r="CH49" s="20">
        <f t="shared" si="39"/>
        <v>413.04109606304604</v>
      </c>
      <c r="CI49" s="20">
        <f t="shared" si="146"/>
        <v>121619.37140071396</v>
      </c>
      <c r="CJ49" s="24">
        <f t="shared" si="147"/>
        <v>8.6736557756197333E-2</v>
      </c>
      <c r="CK49" s="24">
        <f t="shared" si="148"/>
        <v>1.8888113578558553E-2</v>
      </c>
      <c r="CL49" s="24">
        <f t="shared" si="149"/>
        <v>5.8553705723796097E-2</v>
      </c>
      <c r="CM49" s="25">
        <f t="shared" si="143"/>
        <v>0.27547917856178278</v>
      </c>
      <c r="CN49" s="17"/>
      <c r="CO49" s="17"/>
      <c r="CP49" s="17"/>
      <c r="CQ49" s="17"/>
      <c r="CR49" s="17"/>
      <c r="CS49" s="17"/>
      <c r="CT49" s="17"/>
      <c r="CU49" s="17"/>
      <c r="CV49" s="17"/>
      <c r="CW49" s="30">
        <v>0</v>
      </c>
      <c r="CX49" s="17"/>
      <c r="CY49" s="17"/>
      <c r="CZ49" s="17"/>
      <c r="DA49" s="17"/>
      <c r="DB49" s="17"/>
    </row>
    <row r="50" spans="1:106" ht="15.75" thickBot="1" x14ac:dyDescent="0.3">
      <c r="A50" s="5">
        <f t="shared" si="70"/>
        <v>27</v>
      </c>
      <c r="B50" s="5">
        <f t="shared" si="69"/>
        <v>26</v>
      </c>
      <c r="C50" s="1">
        <v>43739</v>
      </c>
      <c r="D50" s="4"/>
      <c r="E50" s="30"/>
      <c r="F50" s="30"/>
      <c r="G50" s="30"/>
      <c r="H50" s="30"/>
      <c r="I50" s="10">
        <v>0</v>
      </c>
      <c r="J50" s="60">
        <v>9000</v>
      </c>
      <c r="K50" s="11">
        <v>550</v>
      </c>
      <c r="L50" s="60">
        <f t="shared" si="72"/>
        <v>9228.7684724594874</v>
      </c>
      <c r="M50" s="11">
        <v>305</v>
      </c>
      <c r="N50" s="60">
        <f>(N49*($K$1/12))+N49 + $N$5</f>
        <v>7868.0953467078816</v>
      </c>
      <c r="O50" s="11">
        <v>0</v>
      </c>
      <c r="P50" s="11">
        <v>0</v>
      </c>
      <c r="Q50" s="60">
        <f>(Q49*($K$1/12))+Q49</f>
        <v>9781.1768288080475</v>
      </c>
      <c r="R50" s="60">
        <f>(R49*($K$1/12))+R49</f>
        <v>5842.9097330890172</v>
      </c>
      <c r="S50" s="60">
        <f>(S49*($K$1/12))+S49</f>
        <v>4218.573962589232</v>
      </c>
      <c r="T50" s="60">
        <f>(T49*($K$1/12))+T49+$T$5 + ((3%/12)*T$11)</f>
        <v>61254.834031449056</v>
      </c>
      <c r="U50" s="60">
        <f>(U49*$K$1/12) + U49 + ((U$11/12*7%))</f>
        <v>6362.7804092972019</v>
      </c>
      <c r="V50" s="60">
        <v>3100</v>
      </c>
      <c r="W50" s="60">
        <f>(W49*($K$1/12))+W49+$W$5</f>
        <v>5198.5035042098871</v>
      </c>
      <c r="X50" s="11">
        <v>0</v>
      </c>
      <c r="Y50" s="60">
        <f>(Y49*$K$1/12)+Y49</f>
        <v>33563.075463907146</v>
      </c>
      <c r="Z50" s="11">
        <v>0</v>
      </c>
      <c r="AA50" s="12">
        <f t="shared" si="2"/>
        <v>156273.71775251697</v>
      </c>
      <c r="AB50" s="56">
        <f t="shared" si="141"/>
        <v>750</v>
      </c>
      <c r="AC50" s="56">
        <f t="shared" si="141"/>
        <v>750</v>
      </c>
      <c r="AD50" s="56">
        <f t="shared" si="141"/>
        <v>750</v>
      </c>
      <c r="AE50" s="56">
        <f t="shared" si="141"/>
        <v>750</v>
      </c>
      <c r="AF50" s="56">
        <f t="shared" si="74"/>
        <v>261.81883050991229</v>
      </c>
      <c r="AG50" s="56">
        <f t="shared" si="141"/>
        <v>750</v>
      </c>
      <c r="AH50" s="56">
        <f t="shared" si="83"/>
        <v>48879.168329773325</v>
      </c>
      <c r="AI50" s="56">
        <f t="shared" si="84"/>
        <v>16101.494827533346</v>
      </c>
      <c r="AJ50" s="56">
        <f t="shared" si="140"/>
        <v>17256.992303729439</v>
      </c>
      <c r="AK50" s="56">
        <f t="shared" si="150"/>
        <v>18210.612499999999</v>
      </c>
      <c r="AL50" s="11">
        <v>0</v>
      </c>
      <c r="AM50" s="12">
        <f t="shared" si="12"/>
        <v>-104460.08679154603</v>
      </c>
      <c r="AN50" s="75">
        <f t="shared" si="85"/>
        <v>51813.630960970942</v>
      </c>
      <c r="AO50" s="86">
        <v>0</v>
      </c>
      <c r="AP50" s="79">
        <v>0</v>
      </c>
      <c r="AQ50" s="87"/>
      <c r="AR50" s="20">
        <f t="shared" si="115"/>
        <v>4011.8188305099125</v>
      </c>
      <c r="AS50" s="20">
        <v>750</v>
      </c>
      <c r="AT50" s="20">
        <v>0</v>
      </c>
      <c r="AU50" s="20">
        <f t="shared" si="116"/>
        <v>4761.818830509912</v>
      </c>
      <c r="AV50" s="20">
        <f t="shared" si="71"/>
        <v>4765.8549512959034</v>
      </c>
      <c r="AW50" s="51">
        <f t="shared" si="5"/>
        <v>0</v>
      </c>
      <c r="AX50" s="51">
        <f t="shared" si="14"/>
        <v>0</v>
      </c>
      <c r="AY50" s="51">
        <f t="shared" si="15"/>
        <v>0</v>
      </c>
      <c r="AZ50" s="51">
        <f t="shared" si="16"/>
        <v>0</v>
      </c>
      <c r="BA50" s="51">
        <f t="shared" si="17"/>
        <v>0</v>
      </c>
      <c r="BB50" s="51">
        <f t="shared" si="18"/>
        <v>0</v>
      </c>
      <c r="BC50" s="51">
        <f t="shared" si="19"/>
        <v>0</v>
      </c>
      <c r="BD50" s="51">
        <f t="shared" si="20"/>
        <v>0</v>
      </c>
      <c r="BE50" s="51">
        <f t="shared" si="21"/>
        <v>0</v>
      </c>
      <c r="BF50" s="51">
        <f t="shared" si="22"/>
        <v>0</v>
      </c>
      <c r="BG50" s="51">
        <f t="shared" si="23"/>
        <v>0</v>
      </c>
      <c r="BH50" s="51">
        <f t="shared" si="24"/>
        <v>0</v>
      </c>
      <c r="BI50" s="51">
        <f t="shared" si="117"/>
        <v>0</v>
      </c>
      <c r="BJ50" s="51">
        <f t="shared" si="118"/>
        <v>0</v>
      </c>
      <c r="BK50" s="51">
        <f t="shared" si="119"/>
        <v>0</v>
      </c>
      <c r="BL50" s="51">
        <f t="shared" si="120"/>
        <v>0</v>
      </c>
      <c r="BM50" s="51">
        <f t="shared" si="121"/>
        <v>0</v>
      </c>
      <c r="BN50" s="51">
        <f t="shared" si="122"/>
        <v>0</v>
      </c>
      <c r="BO50" s="51">
        <f t="shared" si="123"/>
        <v>0</v>
      </c>
      <c r="BP50" s="51">
        <f t="shared" si="124"/>
        <v>0</v>
      </c>
      <c r="BQ50" s="51">
        <f t="shared" si="125"/>
        <v>0</v>
      </c>
      <c r="BR50" s="51">
        <f t="shared" si="126"/>
        <v>0</v>
      </c>
      <c r="BS50" s="51">
        <f t="shared" si="127"/>
        <v>0</v>
      </c>
      <c r="BT50" s="51">
        <f t="shared" si="128"/>
        <v>0</v>
      </c>
      <c r="BU50" s="20">
        <f t="shared" si="129"/>
        <v>4762.2261459557449</v>
      </c>
      <c r="BV50" s="20">
        <f t="shared" si="111"/>
        <v>4761.4824871110804</v>
      </c>
      <c r="BW50" s="20">
        <f t="shared" si="130"/>
        <v>57141.825966118944</v>
      </c>
      <c r="BX50" s="20">
        <f t="shared" si="131"/>
        <v>57146.713751468938</v>
      </c>
      <c r="BY50" s="20">
        <f t="shared" si="132"/>
        <v>57137.789845332969</v>
      </c>
      <c r="BZ50" s="21">
        <f t="shared" si="133"/>
        <v>57142.109854306946</v>
      </c>
      <c r="CA50" s="19">
        <f t="shared" si="47"/>
        <v>1428552.7463576735</v>
      </c>
      <c r="CB50" s="20">
        <f t="shared" si="144"/>
        <v>1428620.7422964768</v>
      </c>
      <c r="CC50" s="20">
        <f t="shared" si="142"/>
        <v>1428410.0444275178</v>
      </c>
      <c r="CD50" s="20">
        <f t="shared" si="48"/>
        <v>0</v>
      </c>
      <c r="CE50" s="20">
        <f t="shared" si="113"/>
        <v>1400000</v>
      </c>
      <c r="CF50" s="20">
        <f t="shared" si="37"/>
        <v>126221.8539333496</v>
      </c>
      <c r="CG50" s="20">
        <f t="shared" si="145"/>
        <v>5048.8741573339839</v>
      </c>
      <c r="CH50" s="20">
        <f t="shared" si="39"/>
        <v>420.73951311116531</v>
      </c>
      <c r="CI50" s="20">
        <f t="shared" si="146"/>
        <v>123916.4763291345</v>
      </c>
      <c r="CJ50" s="24">
        <f t="shared" si="147"/>
        <v>8.8352247868423578E-2</v>
      </c>
      <c r="CK50" s="24">
        <f t="shared" si="148"/>
        <v>1.8638380348826655E-2</v>
      </c>
      <c r="CL50" s="24">
        <f t="shared" si="149"/>
        <v>5.7749800130455768E-2</v>
      </c>
      <c r="CM50" s="25">
        <f t="shared" si="143"/>
        <v>0.2709347451447473</v>
      </c>
      <c r="CN50" s="17"/>
      <c r="CO50" s="17"/>
      <c r="CP50" s="17"/>
      <c r="CQ50" s="17"/>
      <c r="CR50" s="17"/>
      <c r="CS50" s="17"/>
      <c r="CT50" s="17"/>
      <c r="CU50" s="17"/>
      <c r="CV50" s="17"/>
      <c r="CW50" s="30">
        <v>0</v>
      </c>
      <c r="CX50" s="17"/>
      <c r="CY50" s="17"/>
      <c r="CZ50" s="17"/>
      <c r="DA50" s="17"/>
      <c r="DB50" s="17"/>
    </row>
    <row r="51" spans="1:106" ht="15.75" thickBot="1" x14ac:dyDescent="0.3">
      <c r="A51" s="5">
        <f t="shared" si="70"/>
        <v>27</v>
      </c>
      <c r="B51" s="5">
        <f t="shared" si="69"/>
        <v>26</v>
      </c>
      <c r="C51" s="1">
        <v>43770</v>
      </c>
      <c r="D51" s="4"/>
      <c r="E51" s="30"/>
      <c r="F51" s="30"/>
      <c r="G51" s="30"/>
      <c r="H51" s="30"/>
      <c r="I51" s="10">
        <v>0</v>
      </c>
      <c r="J51" s="60">
        <v>9000</v>
      </c>
      <c r="K51" s="11">
        <v>550</v>
      </c>
      <c r="L51" s="60">
        <f t="shared" si="72"/>
        <v>9239.9199010303746</v>
      </c>
      <c r="M51" s="11">
        <v>305</v>
      </c>
      <c r="N51" s="60">
        <f>(N50*($K$1/12))+N50 + $N$5</f>
        <v>8110.7141965025494</v>
      </c>
      <c r="O51" s="11">
        <v>0</v>
      </c>
      <c r="P51" s="11">
        <v>0</v>
      </c>
      <c r="Q51" s="60">
        <f>(Q50*($K$1/12))+Q50</f>
        <v>9834.1582032974238</v>
      </c>
      <c r="R51" s="60">
        <f>(R50*($K$1/12))+R50</f>
        <v>5874.5588274765823</v>
      </c>
      <c r="S51" s="60">
        <f>(S50*($K$1/12))+S50</f>
        <v>4241.424571553257</v>
      </c>
      <c r="T51" s="60">
        <f>(T50*($K$1/12))+T50+$T$5 + ((3%/12)*T$11)</f>
        <v>62686.631049119402</v>
      </c>
      <c r="U51" s="60">
        <f>(U50*$K$1/12) + U50 + ((U$11/12*7%))</f>
        <v>6805.5788031808952</v>
      </c>
      <c r="V51" s="60">
        <v>3100</v>
      </c>
      <c r="W51" s="60">
        <f>(W50*($K$1/12))+W50+$W$5</f>
        <v>5356.6620648576909</v>
      </c>
      <c r="X51" s="11">
        <v>0</v>
      </c>
      <c r="Y51" s="60">
        <f>(Y50*$K$1/12)+Y50</f>
        <v>33744.875456003312</v>
      </c>
      <c r="Z51" s="11">
        <v>0</v>
      </c>
      <c r="AA51" s="12">
        <f t="shared" si="2"/>
        <v>158849.5230730215</v>
      </c>
      <c r="AB51" s="56">
        <f t="shared" si="141"/>
        <v>750</v>
      </c>
      <c r="AC51" s="56">
        <f t="shared" si="141"/>
        <v>750</v>
      </c>
      <c r="AD51" s="56">
        <f t="shared" si="141"/>
        <v>750</v>
      </c>
      <c r="AE51" s="56">
        <f t="shared" si="141"/>
        <v>750</v>
      </c>
      <c r="AF51" s="56">
        <f t="shared" si="74"/>
        <v>261.48248711107971</v>
      </c>
      <c r="AG51" s="56">
        <f t="shared" si="141"/>
        <v>750</v>
      </c>
      <c r="AH51" s="56">
        <f t="shared" si="83"/>
        <v>49095.458649632572</v>
      </c>
      <c r="AI51" s="56">
        <f t="shared" si="84"/>
        <v>16182.002301671013</v>
      </c>
      <c r="AJ51" s="56">
        <f t="shared" si="140"/>
        <v>17350.467678707973</v>
      </c>
      <c r="AK51" s="56">
        <f t="shared" si="150"/>
        <v>18316.841072916664</v>
      </c>
      <c r="AL51" s="11">
        <v>0</v>
      </c>
      <c r="AM51" s="12">
        <f t="shared" si="12"/>
        <v>-104956.25219003932</v>
      </c>
      <c r="AN51" s="75">
        <f t="shared" si="85"/>
        <v>53893.270882982179</v>
      </c>
      <c r="AO51" s="86">
        <v>0</v>
      </c>
      <c r="AP51" s="79">
        <v>0</v>
      </c>
      <c r="AQ51" s="87"/>
      <c r="AR51" s="20">
        <f t="shared" si="115"/>
        <v>4011.4824871110795</v>
      </c>
      <c r="AS51" s="20">
        <v>750</v>
      </c>
      <c r="AT51" s="20">
        <v>0</v>
      </c>
      <c r="AU51" s="20">
        <f t="shared" si="116"/>
        <v>4761.4824871110795</v>
      </c>
      <c r="AV51" s="20">
        <f t="shared" si="71"/>
        <v>4761.186197237229</v>
      </c>
      <c r="AW51" s="51">
        <f t="shared" si="5"/>
        <v>0</v>
      </c>
      <c r="AX51" s="51">
        <f t="shared" si="14"/>
        <v>0</v>
      </c>
      <c r="AY51" s="51">
        <f t="shared" si="15"/>
        <v>0</v>
      </c>
      <c r="AZ51" s="51">
        <f t="shared" si="16"/>
        <v>0</v>
      </c>
      <c r="BA51" s="51">
        <f t="shared" si="17"/>
        <v>0</v>
      </c>
      <c r="BB51" s="51">
        <f t="shared" si="18"/>
        <v>0</v>
      </c>
      <c r="BC51" s="51">
        <f t="shared" si="19"/>
        <v>0</v>
      </c>
      <c r="BD51" s="51">
        <f t="shared" si="20"/>
        <v>0</v>
      </c>
      <c r="BE51" s="51">
        <f t="shared" si="21"/>
        <v>0</v>
      </c>
      <c r="BF51" s="51">
        <f t="shared" si="22"/>
        <v>0</v>
      </c>
      <c r="BG51" s="51">
        <f t="shared" si="23"/>
        <v>0</v>
      </c>
      <c r="BH51" s="51">
        <f t="shared" si="24"/>
        <v>0</v>
      </c>
      <c r="BI51" s="51">
        <f t="shared" si="117"/>
        <v>0</v>
      </c>
      <c r="BJ51" s="51">
        <f t="shared" si="118"/>
        <v>0</v>
      </c>
      <c r="BK51" s="51">
        <f t="shared" si="119"/>
        <v>0</v>
      </c>
      <c r="BL51" s="51">
        <f t="shared" si="120"/>
        <v>0</v>
      </c>
      <c r="BM51" s="51">
        <f t="shared" si="121"/>
        <v>0</v>
      </c>
      <c r="BN51" s="51">
        <f t="shared" si="122"/>
        <v>0</v>
      </c>
      <c r="BO51" s="51">
        <f t="shared" si="123"/>
        <v>0</v>
      </c>
      <c r="BP51" s="51">
        <f t="shared" si="124"/>
        <v>0</v>
      </c>
      <c r="BQ51" s="51">
        <f t="shared" si="125"/>
        <v>0</v>
      </c>
      <c r="BR51" s="51">
        <f t="shared" si="126"/>
        <v>0</v>
      </c>
      <c r="BS51" s="51">
        <f t="shared" si="127"/>
        <v>0</v>
      </c>
      <c r="BT51" s="51">
        <f t="shared" si="128"/>
        <v>0</v>
      </c>
      <c r="BU51" s="20">
        <f t="shared" si="129"/>
        <v>4761.9523070079777</v>
      </c>
      <c r="BV51" s="20">
        <f t="shared" si="111"/>
        <v>4761.5071779339014</v>
      </c>
      <c r="BW51" s="20">
        <f t="shared" si="130"/>
        <v>57137.789845332954</v>
      </c>
      <c r="BX51" s="20">
        <f t="shared" si="131"/>
        <v>57143.427684095732</v>
      </c>
      <c r="BY51" s="20">
        <f t="shared" si="132"/>
        <v>57138.086135206817</v>
      </c>
      <c r="BZ51" s="21">
        <f t="shared" si="133"/>
        <v>57139.767888211842</v>
      </c>
      <c r="CA51" s="19">
        <f t="shared" si="47"/>
        <v>1428494.197205296</v>
      </c>
      <c r="CB51" s="20">
        <f t="shared" si="144"/>
        <v>1428566.8749405129</v>
      </c>
      <c r="CC51" s="20">
        <f t="shared" si="142"/>
        <v>1428063.7712518896</v>
      </c>
      <c r="CD51" s="20">
        <f t="shared" si="48"/>
        <v>0</v>
      </c>
      <c r="CE51" s="20">
        <f t="shared" si="113"/>
        <v>1400000</v>
      </c>
      <c r="CF51" s="20">
        <f t="shared" si="37"/>
        <v>128543.88897548856</v>
      </c>
      <c r="CG51" s="20">
        <f t="shared" si="145"/>
        <v>5141.7555590195425</v>
      </c>
      <c r="CH51" s="20">
        <f t="shared" si="39"/>
        <v>428.47962991829519</v>
      </c>
      <c r="CI51" s="20">
        <f t="shared" si="146"/>
        <v>126226.02390925067</v>
      </c>
      <c r="CJ51" s="24">
        <f t="shared" si="147"/>
        <v>8.9981009101055401E-2</v>
      </c>
      <c r="CK51" s="24">
        <f t="shared" si="148"/>
        <v>1.8396458059989285E-2</v>
      </c>
      <c r="CL51" s="24">
        <f t="shared" si="149"/>
        <v>5.6971826763825971E-2</v>
      </c>
      <c r="CM51" s="25">
        <f t="shared" si="143"/>
        <v>0.2665611186923954</v>
      </c>
      <c r="CN51" s="17"/>
      <c r="CO51" s="17"/>
      <c r="CP51" s="17"/>
      <c r="CQ51" s="17"/>
      <c r="CR51" s="17"/>
      <c r="CS51" s="17"/>
      <c r="CT51" s="17"/>
      <c r="CU51" s="17"/>
      <c r="CV51" s="17"/>
      <c r="CW51" s="30">
        <v>0</v>
      </c>
      <c r="CX51" s="17"/>
      <c r="CY51" s="17"/>
      <c r="CZ51" s="17"/>
      <c r="DA51" s="17"/>
      <c r="DB51" s="17"/>
    </row>
    <row r="52" spans="1:106" ht="15.75" thickBot="1" x14ac:dyDescent="0.3">
      <c r="A52" s="5">
        <f t="shared" si="70"/>
        <v>28</v>
      </c>
      <c r="B52" s="5">
        <f t="shared" si="69"/>
        <v>26</v>
      </c>
      <c r="C52" s="1">
        <v>43800</v>
      </c>
      <c r="D52" s="4"/>
      <c r="E52" s="30"/>
      <c r="F52" s="30"/>
      <c r="G52" s="30"/>
      <c r="H52" s="30"/>
      <c r="I52" s="10">
        <v>0</v>
      </c>
      <c r="J52" s="60">
        <v>9000</v>
      </c>
      <c r="K52" s="11">
        <v>550</v>
      </c>
      <c r="L52" s="60">
        <f t="shared" si="72"/>
        <v>9251.0848042441194</v>
      </c>
      <c r="M52" s="11">
        <v>305</v>
      </c>
      <c r="N52" s="60">
        <f>(N51*($K$1/12))+N51 + $N$5</f>
        <v>8354.6472317336047</v>
      </c>
      <c r="O52" s="11">
        <v>0</v>
      </c>
      <c r="P52" s="11">
        <v>0</v>
      </c>
      <c r="Q52" s="60">
        <f>(Q51*($K$1/12))+Q51</f>
        <v>9887.426560231952</v>
      </c>
      <c r="R52" s="60">
        <f>(R51*($K$1/12))+R51</f>
        <v>5906.379354458747</v>
      </c>
      <c r="S52" s="60">
        <f>(S51*($K$1/12))+S51</f>
        <v>4264.3989546491703</v>
      </c>
      <c r="T52" s="60">
        <f>(T51*($K$1/12))+T51+$T$5 + ((3%/12)*T$11)</f>
        <v>64126.183633968802</v>
      </c>
      <c r="U52" s="60">
        <f>(U51*$K$1/12) + U51 + ((U$11/12*7%))</f>
        <v>7250.7756883647917</v>
      </c>
      <c r="V52" s="60">
        <v>3100</v>
      </c>
      <c r="W52" s="60">
        <f>(W51*($K$1/12))+W51+$W$5</f>
        <v>5515.6773177090035</v>
      </c>
      <c r="X52" s="11">
        <v>0</v>
      </c>
      <c r="Y52" s="60">
        <f>(Y51*$K$1/12)+Y51</f>
        <v>33927.660198056663</v>
      </c>
      <c r="Z52" s="11">
        <v>0</v>
      </c>
      <c r="AA52" s="12">
        <f t="shared" si="2"/>
        <v>161439.23374341687</v>
      </c>
      <c r="AB52" s="56">
        <f t="shared" ref="AB52:AG58" si="151">$AC$1/5</f>
        <v>750</v>
      </c>
      <c r="AC52" s="56">
        <f t="shared" si="151"/>
        <v>750</v>
      </c>
      <c r="AD52" s="56">
        <f t="shared" si="151"/>
        <v>750</v>
      </c>
      <c r="AE52" s="56">
        <f t="shared" si="151"/>
        <v>750</v>
      </c>
      <c r="AF52" s="56">
        <f t="shared" si="74"/>
        <v>261.50717793390061</v>
      </c>
      <c r="AG52" s="56">
        <f t="shared" si="151"/>
        <v>750</v>
      </c>
      <c r="AH52" s="56">
        <f t="shared" si="83"/>
        <v>49312.706054157199</v>
      </c>
      <c r="AI52" s="56">
        <f t="shared" si="84"/>
        <v>16262.912313179368</v>
      </c>
      <c r="AJ52" s="56">
        <f t="shared" si="140"/>
        <v>17444.449378634308</v>
      </c>
      <c r="AK52" s="56">
        <f t="shared" si="150"/>
        <v>18423.689312508679</v>
      </c>
      <c r="AL52" s="11">
        <v>0</v>
      </c>
      <c r="AM52" s="12">
        <f t="shared" si="12"/>
        <v>-105455.26423641345</v>
      </c>
      <c r="AN52" s="75">
        <f t="shared" si="85"/>
        <v>55983.969507003421</v>
      </c>
      <c r="AO52" s="86">
        <v>0</v>
      </c>
      <c r="AP52" s="79">
        <v>0</v>
      </c>
      <c r="AQ52" s="87"/>
      <c r="AR52" s="20">
        <f t="shared" si="115"/>
        <v>4011.5071779339005</v>
      </c>
      <c r="AS52" s="20">
        <v>750</v>
      </c>
      <c r="AT52" s="20">
        <v>0</v>
      </c>
      <c r="AU52" s="20">
        <f t="shared" si="116"/>
        <v>4761.5071779339005</v>
      </c>
      <c r="AV52" s="20">
        <f t="shared" si="71"/>
        <v>4764.3133803403307</v>
      </c>
      <c r="AW52" s="51">
        <f t="shared" si="5"/>
        <v>0</v>
      </c>
      <c r="AX52" s="51">
        <f t="shared" si="14"/>
        <v>0</v>
      </c>
      <c r="AY52" s="51">
        <f t="shared" si="15"/>
        <v>0</v>
      </c>
      <c r="AZ52" s="51">
        <f t="shared" si="16"/>
        <v>0</v>
      </c>
      <c r="BA52" s="51">
        <f t="shared" si="17"/>
        <v>0</v>
      </c>
      <c r="BB52" s="51">
        <f t="shared" si="18"/>
        <v>0</v>
      </c>
      <c r="BC52" s="51">
        <f t="shared" si="19"/>
        <v>0</v>
      </c>
      <c r="BD52" s="51">
        <f t="shared" si="20"/>
        <v>0</v>
      </c>
      <c r="BE52" s="51">
        <f t="shared" si="21"/>
        <v>0</v>
      </c>
      <c r="BF52" s="51">
        <f t="shared" si="22"/>
        <v>0</v>
      </c>
      <c r="BG52" s="51">
        <f t="shared" si="23"/>
        <v>0</v>
      </c>
      <c r="BH52" s="51">
        <f t="shared" si="24"/>
        <v>0</v>
      </c>
      <c r="BI52" s="51">
        <f t="shared" si="117"/>
        <v>0</v>
      </c>
      <c r="BJ52" s="51">
        <f t="shared" si="118"/>
        <v>0</v>
      </c>
      <c r="BK52" s="51">
        <f t="shared" si="119"/>
        <v>0</v>
      </c>
      <c r="BL52" s="51">
        <f t="shared" si="120"/>
        <v>0</v>
      </c>
      <c r="BM52" s="51">
        <f t="shared" si="121"/>
        <v>0</v>
      </c>
      <c r="BN52" s="51">
        <f t="shared" si="122"/>
        <v>0</v>
      </c>
      <c r="BO52" s="51">
        <f t="shared" si="123"/>
        <v>0</v>
      </c>
      <c r="BP52" s="51">
        <f t="shared" si="124"/>
        <v>0</v>
      </c>
      <c r="BQ52" s="51">
        <f t="shared" si="125"/>
        <v>0</v>
      </c>
      <c r="BR52" s="51">
        <f t="shared" si="126"/>
        <v>0</v>
      </c>
      <c r="BS52" s="51">
        <f t="shared" si="127"/>
        <v>0</v>
      </c>
      <c r="BT52" s="51">
        <f t="shared" si="128"/>
        <v>0</v>
      </c>
      <c r="BU52" s="20">
        <f t="shared" si="129"/>
        <v>4761.6028318516301</v>
      </c>
      <c r="BV52" s="20">
        <f t="shared" si="111"/>
        <v>4761.2733277333655</v>
      </c>
      <c r="BW52" s="20">
        <f t="shared" si="130"/>
        <v>57138.086135206802</v>
      </c>
      <c r="BX52" s="20">
        <f t="shared" si="131"/>
        <v>57139.233982219564</v>
      </c>
      <c r="BY52" s="20">
        <f t="shared" si="132"/>
        <v>57135.279932800389</v>
      </c>
      <c r="BZ52" s="21">
        <f t="shared" si="133"/>
        <v>57137.533350075588</v>
      </c>
      <c r="CA52" s="19">
        <f t="shared" si="47"/>
        <v>1428438.3337518896</v>
      </c>
      <c r="CB52" s="20">
        <f t="shared" si="144"/>
        <v>1428495.0924382864</v>
      </c>
      <c r="CC52" s="20">
        <f t="shared" si="142"/>
        <v>1428171.7555756567</v>
      </c>
      <c r="CD52" s="20">
        <f t="shared" si="48"/>
        <v>0</v>
      </c>
      <c r="CE52" s="20">
        <f t="shared" si="113"/>
        <v>1400000</v>
      </c>
      <c r="CF52" s="20">
        <f t="shared" si="37"/>
        <v>130878.50170743914</v>
      </c>
      <c r="CG52" s="20">
        <f t="shared" si="145"/>
        <v>5235.1400682975654</v>
      </c>
      <c r="CH52" s="20">
        <f t="shared" si="39"/>
        <v>436.26167235813045</v>
      </c>
      <c r="CI52" s="20">
        <f t="shared" si="146"/>
        <v>128548.0815387591</v>
      </c>
      <c r="CJ52" s="24">
        <f t="shared" si="147"/>
        <v>9.1619846928590917E-2</v>
      </c>
      <c r="CK52" s="24">
        <f t="shared" si="148"/>
        <v>1.8161989267305834E-2</v>
      </c>
      <c r="CL52" s="24">
        <f t="shared" si="149"/>
        <v>5.6218561582405006E-2</v>
      </c>
      <c r="CM52" s="25">
        <f t="shared" si="143"/>
        <v>0.26234890724878096</v>
      </c>
      <c r="CN52" s="17"/>
      <c r="CO52" s="17"/>
      <c r="CP52" s="17"/>
      <c r="CQ52" s="17"/>
      <c r="CR52" s="17"/>
      <c r="CS52" s="17"/>
      <c r="CT52" s="17"/>
      <c r="CU52" s="17"/>
      <c r="CV52" s="17"/>
      <c r="CW52" s="30">
        <v>0</v>
      </c>
      <c r="CX52" s="17"/>
      <c r="CY52" s="17"/>
      <c r="CZ52" s="17"/>
      <c r="DA52" s="17"/>
      <c r="DB52" s="17"/>
    </row>
    <row r="53" spans="1:106" ht="16.5" thickTop="1" thickBot="1" x14ac:dyDescent="0.3">
      <c r="A53" s="5">
        <f t="shared" si="70"/>
        <v>28</v>
      </c>
      <c r="B53" s="5">
        <f t="shared" si="69"/>
        <v>26</v>
      </c>
      <c r="C53" s="1">
        <v>43831</v>
      </c>
      <c r="D53" s="4"/>
      <c r="E53" s="30"/>
      <c r="F53" s="30"/>
      <c r="G53" s="30"/>
      <c r="H53" s="30"/>
      <c r="I53" s="10">
        <v>0</v>
      </c>
      <c r="J53" s="60">
        <v>9000</v>
      </c>
      <c r="K53" s="11">
        <v>550</v>
      </c>
      <c r="L53" s="60">
        <f t="shared" si="72"/>
        <v>9262.2631983825795</v>
      </c>
      <c r="M53" s="11">
        <v>305</v>
      </c>
      <c r="N53" s="60">
        <f>(N52*($K$1/12))+N52 + $N$5</f>
        <v>8599.9015709054947</v>
      </c>
      <c r="O53" s="11">
        <v>0</v>
      </c>
      <c r="P53" s="11">
        <v>0</v>
      </c>
      <c r="Q53" s="60">
        <f>(Q52*($K$1/12))+Q52</f>
        <v>9940.9834540998745</v>
      </c>
      <c r="R53" s="102">
        <f>(R52*($K$1/12))+R52-1000</f>
        <v>4938.3722426287322</v>
      </c>
      <c r="S53" s="60">
        <f>(S52*($K$1/12))+S52</f>
        <v>4287.4977823201862</v>
      </c>
      <c r="T53" s="60">
        <f>(T52*($K$1/12))+T52+$T$5 + ((3%/12)*T$11)</f>
        <v>65573.533795319468</v>
      </c>
      <c r="U53" s="60">
        <f>(U52*$K$1/12) + U52 + ((U$11/12*7%))</f>
        <v>7698.3840566767676</v>
      </c>
      <c r="V53" s="60">
        <v>3100</v>
      </c>
      <c r="W53" s="60">
        <f>(W52*($K$1/12))+W52+$W$5</f>
        <v>5675.5539031799271</v>
      </c>
      <c r="X53" s="11">
        <v>0</v>
      </c>
      <c r="Y53" s="60">
        <v>0</v>
      </c>
      <c r="Z53" s="60">
        <v>30000</v>
      </c>
      <c r="AA53" s="12">
        <f t="shared" si="2"/>
        <v>158931.49000351303</v>
      </c>
      <c r="AB53" s="56">
        <f t="shared" si="151"/>
        <v>750</v>
      </c>
      <c r="AC53" s="56">
        <f t="shared" si="151"/>
        <v>750</v>
      </c>
      <c r="AD53" s="56">
        <f t="shared" si="151"/>
        <v>750</v>
      </c>
      <c r="AE53" s="56">
        <f t="shared" si="151"/>
        <v>750</v>
      </c>
      <c r="AF53" s="56">
        <f t="shared" si="74"/>
        <v>261.27332773336468</v>
      </c>
      <c r="AG53" s="56">
        <f t="shared" si="151"/>
        <v>750</v>
      </c>
      <c r="AH53" s="56">
        <f t="shared" si="83"/>
        <v>49530.914778446844</v>
      </c>
      <c r="AI53" s="56">
        <f t="shared" si="84"/>
        <v>16344.226874745265</v>
      </c>
      <c r="AJ53" s="56">
        <f t="shared" si="140"/>
        <v>17538.940146101912</v>
      </c>
      <c r="AK53" s="56">
        <f t="shared" si="150"/>
        <v>18531.160833498314</v>
      </c>
      <c r="AL53" s="56">
        <v>150000</v>
      </c>
      <c r="AM53" s="12">
        <f t="shared" si="12"/>
        <v>-255956.51596052572</v>
      </c>
      <c r="AN53" s="75">
        <f t="shared" si="85"/>
        <v>-97025.025957012695</v>
      </c>
      <c r="AO53" s="86">
        <f>'Mortgage and Loans'!G16</f>
        <v>727.41</v>
      </c>
      <c r="AP53" s="79">
        <v>0</v>
      </c>
      <c r="AQ53" s="87"/>
      <c r="AR53" s="20">
        <f t="shared" si="115"/>
        <v>4011.2733277333646</v>
      </c>
      <c r="AS53" s="20">
        <v>750</v>
      </c>
      <c r="AT53" s="20">
        <v>0</v>
      </c>
      <c r="AU53" s="20">
        <f t="shared" si="116"/>
        <v>4761.2733277333646</v>
      </c>
      <c r="AV53" s="20">
        <f t="shared" si="71"/>
        <v>4766.320328702026</v>
      </c>
      <c r="AW53" s="51">
        <f t="shared" si="5"/>
        <v>0</v>
      </c>
      <c r="AX53" s="51">
        <f t="shared" si="14"/>
        <v>0</v>
      </c>
      <c r="AY53" s="51">
        <f t="shared" si="15"/>
        <v>0</v>
      </c>
      <c r="AZ53" s="51">
        <f t="shared" si="16"/>
        <v>0</v>
      </c>
      <c r="BA53" s="51">
        <f t="shared" si="17"/>
        <v>0</v>
      </c>
      <c r="BB53" s="51">
        <f t="shared" si="18"/>
        <v>0</v>
      </c>
      <c r="BC53" s="51">
        <f t="shared" si="19"/>
        <v>0</v>
      </c>
      <c r="BD53" s="51">
        <f t="shared" si="20"/>
        <v>0</v>
      </c>
      <c r="BE53" s="51">
        <f t="shared" si="21"/>
        <v>0</v>
      </c>
      <c r="BF53" s="51">
        <f t="shared" si="22"/>
        <v>0</v>
      </c>
      <c r="BG53" s="51">
        <f t="shared" si="23"/>
        <v>0</v>
      </c>
      <c r="BH53" s="51">
        <f t="shared" si="24"/>
        <v>0</v>
      </c>
      <c r="BI53" s="51">
        <f t="shared" si="117"/>
        <v>0</v>
      </c>
      <c r="BJ53" s="51">
        <f t="shared" si="118"/>
        <v>0</v>
      </c>
      <c r="BK53" s="51">
        <f t="shared" si="119"/>
        <v>0</v>
      </c>
      <c r="BL53" s="51">
        <f t="shared" si="120"/>
        <v>0</v>
      </c>
      <c r="BM53" s="51">
        <f t="shared" si="121"/>
        <v>0</v>
      </c>
      <c r="BN53" s="51">
        <f t="shared" si="122"/>
        <v>0</v>
      </c>
      <c r="BO53" s="51">
        <f t="shared" si="123"/>
        <v>0</v>
      </c>
      <c r="BP53" s="51">
        <f t="shared" si="124"/>
        <v>0</v>
      </c>
      <c r="BQ53" s="51">
        <f t="shared" si="125"/>
        <v>0</v>
      </c>
      <c r="BR53" s="51">
        <f t="shared" si="126"/>
        <v>0</v>
      </c>
      <c r="BS53" s="51">
        <f t="shared" si="127"/>
        <v>0</v>
      </c>
      <c r="BT53" s="51">
        <f t="shared" si="128"/>
        <v>0</v>
      </c>
      <c r="BU53" s="20">
        <f t="shared" si="129"/>
        <v>4761.4209975927815</v>
      </c>
      <c r="BV53" s="20">
        <f t="shared" si="111"/>
        <v>4760.8527443193097</v>
      </c>
      <c r="BW53" s="20">
        <f t="shared" si="130"/>
        <v>57135.279932800375</v>
      </c>
      <c r="BX53" s="20">
        <f t="shared" si="131"/>
        <v>57137.051971113382</v>
      </c>
      <c r="BY53" s="20">
        <f t="shared" si="132"/>
        <v>57130.232931831721</v>
      </c>
      <c r="BZ53" s="21">
        <f t="shared" si="133"/>
        <v>57134.188278581831</v>
      </c>
      <c r="CA53" s="19">
        <f t="shared" si="47"/>
        <v>1428354.7069645457</v>
      </c>
      <c r="CB53" s="20">
        <f t="shared" si="144"/>
        <v>1428429.0793072439</v>
      </c>
      <c r="CC53" s="20">
        <f t="shared" si="142"/>
        <v>1428099.170154182</v>
      </c>
      <c r="CD53" s="20">
        <f t="shared" si="48"/>
        <v>0</v>
      </c>
      <c r="CE53" s="20">
        <f t="shared" si="113"/>
        <v>1400000</v>
      </c>
      <c r="CF53" s="20">
        <f t="shared" si="37"/>
        <v>98114.325234224947</v>
      </c>
      <c r="CG53" s="20">
        <f t="shared" si="145"/>
        <v>3924.5730093689981</v>
      </c>
      <c r="CH53" s="20">
        <f t="shared" si="39"/>
        <v>327.04775078074982</v>
      </c>
      <c r="CI53" s="20">
        <f t="shared" si="146"/>
        <v>119178.90530571755</v>
      </c>
      <c r="CJ53" s="24">
        <f t="shared" si="147"/>
        <v>6.8686871931932528E-2</v>
      </c>
      <c r="CK53" s="24">
        <f t="shared" si="148"/>
        <v>-0.25034040003341412</v>
      </c>
      <c r="CL53" s="24">
        <f t="shared" si="149"/>
        <v>-0.22268353556244389</v>
      </c>
      <c r="CM53" s="25">
        <f t="shared" si="143"/>
        <v>-7.3330752998500337E-2</v>
      </c>
      <c r="CN53" s="17"/>
      <c r="CO53" s="17"/>
      <c r="CP53" s="17"/>
      <c r="CQ53" s="17"/>
      <c r="CR53" s="17"/>
      <c r="CS53" s="17"/>
      <c r="CT53" s="17"/>
      <c r="CU53" s="17"/>
      <c r="CV53" s="17"/>
      <c r="CW53" s="30">
        <v>0</v>
      </c>
      <c r="CX53" s="17"/>
      <c r="CY53" s="17"/>
      <c r="CZ53" s="17"/>
      <c r="DA53" s="17"/>
      <c r="DB53" s="17"/>
    </row>
    <row r="54" spans="1:106" ht="16.5" thickTop="1" thickBot="1" x14ac:dyDescent="0.3">
      <c r="A54" s="5">
        <f t="shared" si="70"/>
        <v>28</v>
      </c>
      <c r="B54" s="5">
        <f t="shared" si="69"/>
        <v>26</v>
      </c>
      <c r="C54" s="1">
        <v>43862</v>
      </c>
      <c r="D54" s="4"/>
      <c r="E54" s="30"/>
      <c r="F54" s="30"/>
      <c r="G54" s="30"/>
      <c r="H54" s="30"/>
      <c r="I54" s="10">
        <v>0</v>
      </c>
      <c r="J54" s="60">
        <v>9000</v>
      </c>
      <c r="K54" s="11">
        <v>550</v>
      </c>
      <c r="L54" s="60">
        <f t="shared" si="72"/>
        <v>9273.4550997472907</v>
      </c>
      <c r="M54" s="11">
        <v>305</v>
      </c>
      <c r="N54" s="60">
        <f>(N53*($K$1/12))+N53 + $N$5</f>
        <v>8846.4843710812329</v>
      </c>
      <c r="O54" s="11">
        <v>0</v>
      </c>
      <c r="P54" s="11">
        <v>0</v>
      </c>
      <c r="Q54" s="60">
        <f>(Q53*($K$1/12))+Q53</f>
        <v>9994.8304478095815</v>
      </c>
      <c r="R54" s="60">
        <f>(R53*($K$1/12))+R53</f>
        <v>4965.1217589429716</v>
      </c>
      <c r="S54" s="60">
        <f>(S53*($K$1/12))+S53</f>
        <v>4310.7217286410869</v>
      </c>
      <c r="T54" s="60">
        <f>(T53*($K$1/12))+T53+$T$5 + ((3%/12)*T$11)</f>
        <v>67028.723770044118</v>
      </c>
      <c r="U54" s="60">
        <f>(U53*$K$1/12) + U53 + ((U$11/12*7%))</f>
        <v>8148.4169703171001</v>
      </c>
      <c r="V54" s="60">
        <v>3100</v>
      </c>
      <c r="W54" s="60">
        <f>(W53*($K$1/12))+W53+$W$5</f>
        <v>5836.2964868221516</v>
      </c>
      <c r="X54" s="11">
        <v>0</v>
      </c>
      <c r="Y54" s="60">
        <v>0</v>
      </c>
      <c r="Z54" s="60">
        <f>'Mortgage and Loans'!U16</f>
        <v>30211.16</v>
      </c>
      <c r="AA54" s="12">
        <f t="shared" si="2"/>
        <v>161570.21063340554</v>
      </c>
      <c r="AB54" s="56">
        <f t="shared" si="151"/>
        <v>750</v>
      </c>
      <c r="AC54" s="56">
        <f t="shared" si="151"/>
        <v>750</v>
      </c>
      <c r="AD54" s="56">
        <f t="shared" si="151"/>
        <v>750</v>
      </c>
      <c r="AE54" s="56">
        <f t="shared" si="151"/>
        <v>750</v>
      </c>
      <c r="AF54" s="56">
        <f t="shared" si="74"/>
        <v>260.85274431930958</v>
      </c>
      <c r="AG54" s="56">
        <f t="shared" si="151"/>
        <v>750</v>
      </c>
      <c r="AH54" s="56">
        <f t="shared" si="83"/>
        <v>49750.089076341472</v>
      </c>
      <c r="AI54" s="56">
        <f t="shared" si="84"/>
        <v>16425.948009118991</v>
      </c>
      <c r="AJ54" s="56">
        <f t="shared" si="140"/>
        <v>17633.942738559963</v>
      </c>
      <c r="AK54" s="56">
        <f t="shared" si="150"/>
        <v>18639.259271693722</v>
      </c>
      <c r="AL54" s="56">
        <f>'Mortgage and Loans'!T16</f>
        <v>149788.84</v>
      </c>
      <c r="AM54" s="12">
        <f t="shared" si="12"/>
        <v>-256248.93184003345</v>
      </c>
      <c r="AN54" s="75">
        <f t="shared" si="85"/>
        <v>-94678.721206627903</v>
      </c>
      <c r="AO54" s="86">
        <f>'Mortgage and Loans'!G17</f>
        <v>727.41</v>
      </c>
      <c r="AP54" s="79">
        <v>0</v>
      </c>
      <c r="AQ54" s="87"/>
      <c r="AR54" s="20">
        <f t="shared" ref="AR54:AR60" si="152">SUM(AB54:AG54)</f>
        <v>4010.8527443193097</v>
      </c>
      <c r="AS54" s="20">
        <v>750</v>
      </c>
      <c r="AT54" s="20">
        <v>0</v>
      </c>
      <c r="AU54" s="20">
        <f t="shared" ref="AU54:AU60" si="153">SUM(AR54:AT54)</f>
        <v>4760.8527443193097</v>
      </c>
      <c r="AV54" s="20">
        <f t="shared" ref="AV54:AV60" si="154">AU42</f>
        <v>4757.0670227605278</v>
      </c>
      <c r="AW54" s="51">
        <f t="shared" si="5"/>
        <v>0</v>
      </c>
      <c r="AX54" s="51">
        <f t="shared" si="14"/>
        <v>0</v>
      </c>
      <c r="AY54" s="51">
        <f t="shared" si="15"/>
        <v>0</v>
      </c>
      <c r="AZ54" s="51">
        <f t="shared" si="16"/>
        <v>0</v>
      </c>
      <c r="BA54" s="51">
        <f t="shared" si="17"/>
        <v>0</v>
      </c>
      <c r="BB54" s="51">
        <f t="shared" si="18"/>
        <v>0</v>
      </c>
      <c r="BC54" s="51">
        <f t="shared" si="19"/>
        <v>0</v>
      </c>
      <c r="BD54" s="51">
        <f t="shared" si="20"/>
        <v>0</v>
      </c>
      <c r="BE54" s="51">
        <f t="shared" si="21"/>
        <v>0</v>
      </c>
      <c r="BF54" s="51">
        <f t="shared" si="22"/>
        <v>0</v>
      </c>
      <c r="BG54" s="51">
        <f t="shared" si="23"/>
        <v>0</v>
      </c>
      <c r="BH54" s="51">
        <f t="shared" si="24"/>
        <v>0</v>
      </c>
      <c r="BI54" s="51">
        <f t="shared" ref="BI54:BI60" si="155">$AU54*AW54</f>
        <v>0</v>
      </c>
      <c r="BJ54" s="51">
        <f t="shared" ref="BJ54:BJ60" si="156">$AU54*AX54</f>
        <v>0</v>
      </c>
      <c r="BK54" s="51">
        <f t="shared" ref="BK54:BK60" si="157">$AU54*AY54</f>
        <v>0</v>
      </c>
      <c r="BL54" s="51">
        <f t="shared" ref="BL54:BL60" si="158">$AU54*AZ54</f>
        <v>0</v>
      </c>
      <c r="BM54" s="51">
        <f t="shared" ref="BM54:BM60" si="159">$AU54*BA54</f>
        <v>0</v>
      </c>
      <c r="BN54" s="51">
        <f t="shared" ref="BN54:BN60" si="160">$AU54*BB54</f>
        <v>0</v>
      </c>
      <c r="BO54" s="51">
        <f t="shared" ref="BO54:BO60" si="161">$AU54*BC54</f>
        <v>0</v>
      </c>
      <c r="BP54" s="51">
        <f t="shared" ref="BP54:BP60" si="162">$AU54*BD54</f>
        <v>0</v>
      </c>
      <c r="BQ54" s="51">
        <f t="shared" ref="BQ54:BQ60" si="163">$AU54*BE54</f>
        <v>0</v>
      </c>
      <c r="BR54" s="51">
        <f t="shared" ref="BR54:BR60" si="164">$AU54*BF54</f>
        <v>0</v>
      </c>
      <c r="BS54" s="51">
        <f t="shared" ref="BS54:BS60" si="165">$AU54*BG54</f>
        <v>0</v>
      </c>
      <c r="BT54" s="51">
        <f t="shared" ref="BT54:BT60" si="166">$AU54*BH54</f>
        <v>0</v>
      </c>
      <c r="BU54" s="20">
        <f t="shared" ref="BU54:BU60" si="167">AVERAGE(AU52:AU54)</f>
        <v>4761.211083328858</v>
      </c>
      <c r="BV54" s="20">
        <f t="shared" ref="BV54:BV60" si="168">AVERAGE(AU43:AU54)</f>
        <v>4761.168221115875</v>
      </c>
      <c r="BW54" s="20">
        <f t="shared" ref="BW54:BW60" si="169">AU54*12</f>
        <v>57130.232931831721</v>
      </c>
      <c r="BX54" s="20">
        <f t="shared" ref="BX54:BX60" si="170">BU54*12</f>
        <v>57134.532999946299</v>
      </c>
      <c r="BY54" s="20">
        <f t="shared" ref="BY54:BY60" si="171">BV54*12</f>
        <v>57134.0186533905</v>
      </c>
      <c r="BZ54" s="21">
        <f t="shared" ref="BZ54:BZ60" si="172">IF(BY54&gt;0,AVERAGE(BW54:BY54), IF(BX54&gt;0,AVERAGE(BW54:BX54), BW54))</f>
        <v>57132.928195056178</v>
      </c>
      <c r="CA54" s="19">
        <f t="shared" si="47"/>
        <v>1428323.2048764045</v>
      </c>
      <c r="CB54" s="20">
        <f t="shared" ref="CB54:CB60" si="173">AVERAGE(CA52:CA54)</f>
        <v>1428372.0818642799</v>
      </c>
      <c r="CC54" s="20">
        <f t="shared" ref="CC54:CC60" si="174">AVERAGE(CA43:CA54)</f>
        <v>1428362.2160492819</v>
      </c>
      <c r="CD54" s="20">
        <f t="shared" si="48"/>
        <v>0</v>
      </c>
      <c r="CE54" s="20">
        <f t="shared" si="113"/>
        <v>1400000</v>
      </c>
      <c r="CF54" s="20">
        <f t="shared" si="37"/>
        <v>100284.11116257701</v>
      </c>
      <c r="CG54" s="20">
        <f t="shared" ref="CG54:CG60" si="175">CA$11*CF54</f>
        <v>4011.3644465030807</v>
      </c>
      <c r="CH54" s="20">
        <f t="shared" si="39"/>
        <v>334.28037054192339</v>
      </c>
      <c r="CI54" s="20">
        <f t="shared" ref="CI54:CI60" si="176">AVERAGE(CF52:CF54)</f>
        <v>109758.97936808037</v>
      </c>
      <c r="CJ54" s="24">
        <f t="shared" ref="CJ54:CJ60" si="177">CF54/CB54</f>
        <v>7.0208674921515127E-2</v>
      </c>
      <c r="CK54" s="24">
        <f t="shared" ref="CK54:CK60" si="178">(CF54-CF53)/CF53</f>
        <v>2.2114873879754169E-2</v>
      </c>
      <c r="CL54" s="24">
        <f t="shared" ref="CL54:CL60" si="179">(CF54-CF51)/CF51</f>
        <v>-0.21984536206384944</v>
      </c>
      <c r="CM54" s="25">
        <f t="shared" ref="CM54:CM60" si="180">(CF54-CF42)/CF42</f>
        <v>-7.2219273058486314E-2</v>
      </c>
      <c r="CN54" s="17"/>
      <c r="CO54" s="17"/>
      <c r="CP54" s="17"/>
      <c r="CQ54" s="17"/>
      <c r="CR54" s="17"/>
      <c r="CS54" s="17"/>
      <c r="CT54" s="17"/>
      <c r="CU54" s="17"/>
      <c r="CV54" s="17"/>
      <c r="CW54" s="30">
        <v>0</v>
      </c>
      <c r="CX54" s="17"/>
      <c r="CY54" s="17"/>
      <c r="CZ54" s="17"/>
      <c r="DA54" s="17"/>
      <c r="DB54" s="17"/>
    </row>
    <row r="55" spans="1:106" ht="15.75" thickBot="1" x14ac:dyDescent="0.3">
      <c r="A55" s="5">
        <f t="shared" si="70"/>
        <v>28</v>
      </c>
      <c r="B55" s="5">
        <f t="shared" si="69"/>
        <v>26</v>
      </c>
      <c r="C55" s="1">
        <v>43891</v>
      </c>
      <c r="D55" s="4"/>
      <c r="E55" s="30"/>
      <c r="F55" s="30"/>
      <c r="G55" s="30"/>
      <c r="H55" s="30"/>
      <c r="I55" s="10">
        <v>0</v>
      </c>
      <c r="J55" s="60">
        <v>9000</v>
      </c>
      <c r="K55" s="11">
        <v>550</v>
      </c>
      <c r="L55" s="60">
        <f t="shared" si="72"/>
        <v>9284.6605246594845</v>
      </c>
      <c r="M55" s="11">
        <v>305</v>
      </c>
      <c r="N55" s="60">
        <f>(N54*($K$1/12))+N54 + $N$5</f>
        <v>9094.4028280912571</v>
      </c>
      <c r="O55" s="11">
        <v>0</v>
      </c>
      <c r="P55" s="11">
        <v>0</v>
      </c>
      <c r="Q55" s="60">
        <f>(Q54*($K$1/12))+Q54</f>
        <v>10048.969112735216</v>
      </c>
      <c r="R55" s="60">
        <f>(R54*($K$1/12))+R54</f>
        <v>4992.016168470579</v>
      </c>
      <c r="S55" s="60">
        <f>(S54*($K$1/12))+S54</f>
        <v>4334.0714713378929</v>
      </c>
      <c r="T55" s="60">
        <f>(T54*($K$1/12))+T54+$T$5 + ((3%/12)*T$11)</f>
        <v>68491.796023798524</v>
      </c>
      <c r="U55" s="60">
        <f>(U54*$K$1/12) + U54 + ((U$11/12*7%))</f>
        <v>8600.8875622396517</v>
      </c>
      <c r="V55" s="60">
        <v>3100</v>
      </c>
      <c r="W55" s="60">
        <f>(W54*($K$1/12))+W54+$W$5</f>
        <v>5997.9097594591049</v>
      </c>
      <c r="X55" s="11">
        <v>0</v>
      </c>
      <c r="Y55" s="60">
        <v>0</v>
      </c>
      <c r="Z55" s="60">
        <f>'Mortgage and Loans'!U17</f>
        <v>30423.05</v>
      </c>
      <c r="AA55" s="12">
        <f t="shared" si="2"/>
        <v>164222.76345079171</v>
      </c>
      <c r="AB55" s="56">
        <f t="shared" si="151"/>
        <v>750</v>
      </c>
      <c r="AC55" s="56">
        <f t="shared" si="151"/>
        <v>750</v>
      </c>
      <c r="AD55" s="56">
        <f t="shared" si="151"/>
        <v>750</v>
      </c>
      <c r="AE55" s="56">
        <f t="shared" si="151"/>
        <v>750</v>
      </c>
      <c r="AF55" s="56">
        <f t="shared" si="74"/>
        <v>261.16822111587476</v>
      </c>
      <c r="AG55" s="56">
        <f t="shared" si="151"/>
        <v>750</v>
      </c>
      <c r="AH55" s="56">
        <f t="shared" si="83"/>
        <v>49970.233220504284</v>
      </c>
      <c r="AI55" s="56">
        <f t="shared" si="84"/>
        <v>16508.077749164586</v>
      </c>
      <c r="AJ55" s="56">
        <f t="shared" si="140"/>
        <v>17729.45992839383</v>
      </c>
      <c r="AK55" s="56">
        <f t="shared" si="150"/>
        <v>18747.988284111936</v>
      </c>
      <c r="AL55" s="56">
        <f>'Mortgage and Loans'!T17</f>
        <v>149576.94999999998</v>
      </c>
      <c r="AM55" s="12">
        <f t="shared" si="12"/>
        <v>-256543.87740329048</v>
      </c>
      <c r="AN55" s="75">
        <f t="shared" si="85"/>
        <v>-92321.113952498767</v>
      </c>
      <c r="AO55" s="86">
        <f>'Mortgage and Loans'!G18</f>
        <v>727.41</v>
      </c>
      <c r="AP55" s="79">
        <v>0</v>
      </c>
      <c r="AQ55" s="87"/>
      <c r="AR55" s="20">
        <f t="shared" si="152"/>
        <v>4011.168221115875</v>
      </c>
      <c r="AS55" s="20">
        <v>750</v>
      </c>
      <c r="AT55" s="20">
        <v>0</v>
      </c>
      <c r="AU55" s="20">
        <f t="shared" si="153"/>
        <v>4761.168221115875</v>
      </c>
      <c r="AV55" s="20">
        <f t="shared" si="154"/>
        <v>4758.9167746572384</v>
      </c>
      <c r="AW55" s="51">
        <f t="shared" si="5"/>
        <v>0</v>
      </c>
      <c r="AX55" s="51">
        <f t="shared" si="14"/>
        <v>0</v>
      </c>
      <c r="AY55" s="51">
        <f t="shared" si="15"/>
        <v>0</v>
      </c>
      <c r="AZ55" s="51">
        <f t="shared" si="16"/>
        <v>0</v>
      </c>
      <c r="BA55" s="51">
        <f t="shared" si="17"/>
        <v>0</v>
      </c>
      <c r="BB55" s="51">
        <f t="shared" si="18"/>
        <v>0</v>
      </c>
      <c r="BC55" s="51">
        <f t="shared" si="19"/>
        <v>0</v>
      </c>
      <c r="BD55" s="51">
        <f t="shared" si="20"/>
        <v>0</v>
      </c>
      <c r="BE55" s="51">
        <f t="shared" si="21"/>
        <v>0</v>
      </c>
      <c r="BF55" s="51">
        <f t="shared" si="22"/>
        <v>0</v>
      </c>
      <c r="BG55" s="51">
        <f t="shared" si="23"/>
        <v>0</v>
      </c>
      <c r="BH55" s="51">
        <f t="shared" si="24"/>
        <v>0</v>
      </c>
      <c r="BI55" s="51">
        <f t="shared" si="155"/>
        <v>0</v>
      </c>
      <c r="BJ55" s="51">
        <f t="shared" si="156"/>
        <v>0</v>
      </c>
      <c r="BK55" s="51">
        <f t="shared" si="157"/>
        <v>0</v>
      </c>
      <c r="BL55" s="51">
        <f t="shared" si="158"/>
        <v>0</v>
      </c>
      <c r="BM55" s="51">
        <f t="shared" si="159"/>
        <v>0</v>
      </c>
      <c r="BN55" s="51">
        <f t="shared" si="160"/>
        <v>0</v>
      </c>
      <c r="BO55" s="51">
        <f t="shared" si="161"/>
        <v>0</v>
      </c>
      <c r="BP55" s="51">
        <f t="shared" si="162"/>
        <v>0</v>
      </c>
      <c r="BQ55" s="51">
        <f t="shared" si="163"/>
        <v>0</v>
      </c>
      <c r="BR55" s="51">
        <f t="shared" si="164"/>
        <v>0</v>
      </c>
      <c r="BS55" s="51">
        <f t="shared" si="165"/>
        <v>0</v>
      </c>
      <c r="BT55" s="51">
        <f t="shared" si="166"/>
        <v>0</v>
      </c>
      <c r="BU55" s="20">
        <f t="shared" si="167"/>
        <v>4761.0980977228492</v>
      </c>
      <c r="BV55" s="20">
        <f t="shared" si="168"/>
        <v>4761.3558416540936</v>
      </c>
      <c r="BW55" s="20">
        <f t="shared" si="169"/>
        <v>57134.0186533905</v>
      </c>
      <c r="BX55" s="20">
        <f t="shared" si="170"/>
        <v>57133.177172674186</v>
      </c>
      <c r="BY55" s="20">
        <f t="shared" si="171"/>
        <v>57136.27009984912</v>
      </c>
      <c r="BZ55" s="21">
        <f t="shared" si="172"/>
        <v>57134.488641971264</v>
      </c>
      <c r="CA55" s="19">
        <f t="shared" si="47"/>
        <v>1428362.2160492816</v>
      </c>
      <c r="CB55" s="20">
        <f t="shared" si="173"/>
        <v>1428346.7092967441</v>
      </c>
      <c r="CC55" s="20">
        <f t="shared" si="174"/>
        <v>1428395.9759254418</v>
      </c>
      <c r="CD55" s="20">
        <f t="shared" si="48"/>
        <v>0</v>
      </c>
      <c r="CE55" s="20">
        <f t="shared" si="113"/>
        <v>1400000</v>
      </c>
      <c r="CF55" s="20">
        <f t="shared" si="37"/>
        <v>102465.65009804096</v>
      </c>
      <c r="CG55" s="20">
        <f t="shared" si="175"/>
        <v>4098.6260039216386</v>
      </c>
      <c r="CH55" s="20">
        <f t="shared" si="39"/>
        <v>341.55216699346988</v>
      </c>
      <c r="CI55" s="20">
        <f t="shared" si="176"/>
        <v>100288.0288316143</v>
      </c>
      <c r="CJ55" s="24">
        <f t="shared" si="177"/>
        <v>7.173723958694217E-2</v>
      </c>
      <c r="CK55" s="24">
        <f t="shared" si="178"/>
        <v>2.1753584991418187E-2</v>
      </c>
      <c r="CL55" s="24">
        <f t="shared" si="179"/>
        <v>-0.21709334412240744</v>
      </c>
      <c r="CM55" s="25">
        <f t="shared" si="180"/>
        <v>-7.11467066146826E-2</v>
      </c>
      <c r="CN55" s="17"/>
      <c r="CO55" s="17"/>
      <c r="CP55" s="17"/>
      <c r="CQ55" s="17"/>
      <c r="CR55" s="17"/>
      <c r="CS55" s="17"/>
      <c r="CT55" s="17"/>
      <c r="CU55" s="17"/>
      <c r="CV55" s="17"/>
      <c r="CW55" s="30">
        <v>0</v>
      </c>
      <c r="CX55" s="17"/>
      <c r="CY55" s="17"/>
      <c r="CZ55" s="17"/>
      <c r="DA55" s="17"/>
      <c r="DB55" s="17"/>
    </row>
    <row r="56" spans="1:106" ht="15.75" thickBot="1" x14ac:dyDescent="0.3">
      <c r="A56" s="5">
        <f t="shared" si="70"/>
        <v>28</v>
      </c>
      <c r="B56" s="5">
        <f t="shared" si="69"/>
        <v>26</v>
      </c>
      <c r="C56" s="1">
        <v>43922</v>
      </c>
      <c r="D56" s="4"/>
      <c r="E56" s="30"/>
      <c r="F56" s="30"/>
      <c r="G56" s="30"/>
      <c r="H56" s="30"/>
      <c r="I56" s="10">
        <v>0</v>
      </c>
      <c r="J56" s="60">
        <v>9000</v>
      </c>
      <c r="K56" s="11">
        <v>550</v>
      </c>
      <c r="L56" s="60">
        <f t="shared" si="72"/>
        <v>9295.8794894601142</v>
      </c>
      <c r="M56" s="11">
        <v>305</v>
      </c>
      <c r="N56" s="60">
        <f>(N55*($K$1/12))+N55 + $N$5</f>
        <v>9343.6641767434176</v>
      </c>
      <c r="O56" s="11">
        <v>0</v>
      </c>
      <c r="P56" s="11">
        <v>0</v>
      </c>
      <c r="Q56" s="60">
        <f>(Q55*($K$1/12))+Q55</f>
        <v>10103.401028762531</v>
      </c>
      <c r="R56" s="60">
        <f>(R55*($K$1/12))+R55</f>
        <v>5019.0562560497947</v>
      </c>
      <c r="S56" s="60">
        <f>(S55*($K$1/12))+S55</f>
        <v>4357.5476918076401</v>
      </c>
      <c r="T56" s="60">
        <f>(T55*($K$1/12))+T55+$T$5 + ((3%/12)*T$11)</f>
        <v>69962.793252260773</v>
      </c>
      <c r="U56" s="60">
        <f>(U55*$K$1/12) + U55 + ((U$11/12*7%))</f>
        <v>9055.8090365351163</v>
      </c>
      <c r="V56" s="60">
        <v>3100</v>
      </c>
      <c r="W56" s="60">
        <f>(W55*($K$1/12))+W55+$W$5</f>
        <v>6160.3984373228413</v>
      </c>
      <c r="X56" s="11">
        <v>0</v>
      </c>
      <c r="Y56" s="60">
        <v>0</v>
      </c>
      <c r="Z56" s="60">
        <f>'Mortgage and Loans'!U18</f>
        <v>30635.67</v>
      </c>
      <c r="AA56" s="12">
        <f t="shared" si="2"/>
        <v>166889.21936894226</v>
      </c>
      <c r="AB56" s="56">
        <f t="shared" si="151"/>
        <v>750</v>
      </c>
      <c r="AC56" s="56">
        <f t="shared" si="151"/>
        <v>750</v>
      </c>
      <c r="AD56" s="56">
        <f t="shared" si="151"/>
        <v>750</v>
      </c>
      <c r="AE56" s="56">
        <f t="shared" si="151"/>
        <v>750</v>
      </c>
      <c r="AF56" s="56">
        <f t="shared" si="74"/>
        <v>261.35584165409449</v>
      </c>
      <c r="AG56" s="56">
        <f t="shared" si="151"/>
        <v>750</v>
      </c>
      <c r="AH56" s="56">
        <f t="shared" si="83"/>
        <v>50191.351502505015</v>
      </c>
      <c r="AI56" s="56">
        <f t="shared" si="84"/>
        <v>16590.618137910409</v>
      </c>
      <c r="AJ56" s="56">
        <f t="shared" si="140"/>
        <v>17825.494503005964</v>
      </c>
      <c r="AK56" s="56">
        <f t="shared" si="150"/>
        <v>18857.35154910259</v>
      </c>
      <c r="AL56" s="56">
        <f>'Mortgage and Loans'!T18</f>
        <v>149364.32999999999</v>
      </c>
      <c r="AM56" s="12">
        <f t="shared" si="12"/>
        <v>-256840.50153417804</v>
      </c>
      <c r="AN56" s="75">
        <f t="shared" si="85"/>
        <v>-89951.282165235782</v>
      </c>
      <c r="AO56" s="86">
        <f>'Mortgage and Loans'!G19</f>
        <v>727.41</v>
      </c>
      <c r="AP56" s="79">
        <v>0</v>
      </c>
      <c r="AQ56" s="87"/>
      <c r="AR56" s="20">
        <f t="shared" si="152"/>
        <v>4011.3558416540945</v>
      </c>
      <c r="AS56" s="20">
        <v>750</v>
      </c>
      <c r="AT56" s="20">
        <v>0</v>
      </c>
      <c r="AU56" s="20">
        <f t="shared" si="153"/>
        <v>4761.3558416540945</v>
      </c>
      <c r="AV56" s="20">
        <f t="shared" si="154"/>
        <v>4759.8861586564526</v>
      </c>
      <c r="AW56" s="51">
        <f t="shared" si="5"/>
        <v>0</v>
      </c>
      <c r="AX56" s="51">
        <f t="shared" si="14"/>
        <v>0</v>
      </c>
      <c r="AY56" s="51">
        <f t="shared" si="15"/>
        <v>0</v>
      </c>
      <c r="AZ56" s="51">
        <f t="shared" si="16"/>
        <v>0</v>
      </c>
      <c r="BA56" s="51">
        <f t="shared" si="17"/>
        <v>0</v>
      </c>
      <c r="BB56" s="51">
        <f t="shared" si="18"/>
        <v>0</v>
      </c>
      <c r="BC56" s="51">
        <f t="shared" si="19"/>
        <v>0</v>
      </c>
      <c r="BD56" s="51">
        <f t="shared" si="20"/>
        <v>0</v>
      </c>
      <c r="BE56" s="51">
        <f t="shared" si="21"/>
        <v>0</v>
      </c>
      <c r="BF56" s="51">
        <f t="shared" si="22"/>
        <v>0</v>
      </c>
      <c r="BG56" s="51">
        <f t="shared" si="23"/>
        <v>0</v>
      </c>
      <c r="BH56" s="51">
        <f t="shared" si="24"/>
        <v>0</v>
      </c>
      <c r="BI56" s="51">
        <f t="shared" si="155"/>
        <v>0</v>
      </c>
      <c r="BJ56" s="51">
        <f t="shared" si="156"/>
        <v>0</v>
      </c>
      <c r="BK56" s="51">
        <f t="shared" si="157"/>
        <v>0</v>
      </c>
      <c r="BL56" s="51">
        <f t="shared" si="158"/>
        <v>0</v>
      </c>
      <c r="BM56" s="51">
        <f t="shared" si="159"/>
        <v>0</v>
      </c>
      <c r="BN56" s="51">
        <f t="shared" si="160"/>
        <v>0</v>
      </c>
      <c r="BO56" s="51">
        <f t="shared" si="161"/>
        <v>0</v>
      </c>
      <c r="BP56" s="51">
        <f t="shared" si="162"/>
        <v>0</v>
      </c>
      <c r="BQ56" s="51">
        <f t="shared" si="163"/>
        <v>0</v>
      </c>
      <c r="BR56" s="51">
        <f t="shared" si="164"/>
        <v>0</v>
      </c>
      <c r="BS56" s="51">
        <f t="shared" si="165"/>
        <v>0</v>
      </c>
      <c r="BT56" s="51">
        <f t="shared" si="166"/>
        <v>0</v>
      </c>
      <c r="BU56" s="20">
        <f t="shared" si="167"/>
        <v>4761.1256023630931</v>
      </c>
      <c r="BV56" s="20">
        <f t="shared" si="168"/>
        <v>4761.478315237232</v>
      </c>
      <c r="BW56" s="20">
        <f t="shared" si="169"/>
        <v>57136.270099849135</v>
      </c>
      <c r="BX56" s="20">
        <f t="shared" si="170"/>
        <v>57133.507228357121</v>
      </c>
      <c r="BY56" s="20">
        <f t="shared" si="171"/>
        <v>57137.73978284678</v>
      </c>
      <c r="BZ56" s="21">
        <f t="shared" si="172"/>
        <v>57135.839037017686</v>
      </c>
      <c r="CA56" s="19">
        <f t="shared" si="47"/>
        <v>1428395.9759254421</v>
      </c>
      <c r="CB56" s="20">
        <f t="shared" si="173"/>
        <v>1428360.4656170427</v>
      </c>
      <c r="CC56" s="20">
        <f t="shared" si="174"/>
        <v>1428436.1416668079</v>
      </c>
      <c r="CD56" s="20">
        <f t="shared" si="48"/>
        <v>0</v>
      </c>
      <c r="CE56" s="20">
        <f t="shared" si="113"/>
        <v>1400000</v>
      </c>
      <c r="CF56" s="20">
        <f t="shared" si="37"/>
        <v>104659.00570273871</v>
      </c>
      <c r="CG56" s="20">
        <f t="shared" si="175"/>
        <v>4186.3602281095482</v>
      </c>
      <c r="CH56" s="20">
        <f t="shared" si="39"/>
        <v>348.86335234246235</v>
      </c>
      <c r="CI56" s="20">
        <f t="shared" si="176"/>
        <v>102469.58898778557</v>
      </c>
      <c r="CJ56" s="24">
        <f t="shared" si="177"/>
        <v>7.3272124384601109E-2</v>
      </c>
      <c r="CK56" s="24">
        <f t="shared" si="178"/>
        <v>2.1405764786531924E-2</v>
      </c>
      <c r="CL56" s="24">
        <f t="shared" si="179"/>
        <v>6.6704637196351002E-2</v>
      </c>
      <c r="CM56" s="25">
        <f t="shared" si="180"/>
        <v>-7.0111060103275169E-2</v>
      </c>
      <c r="CN56" s="17"/>
      <c r="CO56" s="17"/>
      <c r="CP56" s="17"/>
      <c r="CQ56" s="17"/>
      <c r="CR56" s="17"/>
      <c r="CS56" s="17"/>
      <c r="CT56" s="17"/>
      <c r="CU56" s="17"/>
      <c r="CV56" s="17"/>
      <c r="CW56" s="30">
        <v>0</v>
      </c>
      <c r="CX56" s="17"/>
      <c r="CY56" s="17"/>
      <c r="CZ56" s="17"/>
      <c r="DA56" s="17"/>
      <c r="DB56" s="17"/>
    </row>
    <row r="57" spans="1:106" ht="15.75" thickBot="1" x14ac:dyDescent="0.3">
      <c r="A57" s="5">
        <f t="shared" si="70"/>
        <v>28</v>
      </c>
      <c r="B57" s="5">
        <f t="shared" si="69"/>
        <v>26</v>
      </c>
      <c r="C57" s="1">
        <v>43952</v>
      </c>
      <c r="D57" s="4"/>
      <c r="E57" s="30"/>
      <c r="F57" s="30"/>
      <c r="G57" s="30"/>
      <c r="H57" s="30"/>
      <c r="I57" s="10">
        <v>0</v>
      </c>
      <c r="J57" s="60">
        <v>9000</v>
      </c>
      <c r="K57" s="11">
        <v>550</v>
      </c>
      <c r="L57" s="60">
        <f t="shared" si="72"/>
        <v>9307.112010509878</v>
      </c>
      <c r="M57" s="11">
        <v>305</v>
      </c>
      <c r="N57" s="60">
        <f>(N56*($K$1/12))+N56 + $N$5</f>
        <v>9594.2756910341104</v>
      </c>
      <c r="O57" s="11">
        <v>0</v>
      </c>
      <c r="P57" s="11">
        <v>0</v>
      </c>
      <c r="Q57" s="60">
        <f>(Q56*($K$1/12))+Q56</f>
        <v>10158.127784334994</v>
      </c>
      <c r="R57" s="60">
        <f>(R56*($K$1/12))+R56</f>
        <v>5046.2428107700644</v>
      </c>
      <c r="S57" s="60">
        <f>(S56*($K$1/12))+S56</f>
        <v>4381.1510751382648</v>
      </c>
      <c r="T57" s="60">
        <f>(T56*($K$1/12))+T56+$T$5 + ((3%/12)*T$11)</f>
        <v>71441.758382377186</v>
      </c>
      <c r="U57" s="60">
        <f>(U56*$K$1/12) + U56 + ((U$11/12*7%))</f>
        <v>9513.194668816348</v>
      </c>
      <c r="V57" s="60">
        <v>3100</v>
      </c>
      <c r="W57" s="60">
        <f>(W56*($K$1/12))+W56+$W$5</f>
        <v>6323.7672621916736</v>
      </c>
      <c r="X57" s="11">
        <v>0</v>
      </c>
      <c r="Y57" s="60">
        <v>0</v>
      </c>
      <c r="Z57" s="60">
        <f>'Mortgage and Loans'!U19</f>
        <v>30849.02</v>
      </c>
      <c r="AA57" s="12">
        <f t="shared" si="2"/>
        <v>169569.64968517251</v>
      </c>
      <c r="AB57" s="56">
        <f t="shared" si="151"/>
        <v>750</v>
      </c>
      <c r="AC57" s="56">
        <f t="shared" si="151"/>
        <v>750</v>
      </c>
      <c r="AD57" s="56">
        <f t="shared" si="151"/>
        <v>750</v>
      </c>
      <c r="AE57" s="56">
        <f t="shared" si="151"/>
        <v>750</v>
      </c>
      <c r="AF57" s="56">
        <f t="shared" si="74"/>
        <v>261.4783152372313</v>
      </c>
      <c r="AG57" s="56">
        <f t="shared" si="151"/>
        <v>750</v>
      </c>
      <c r="AH57" s="56">
        <f t="shared" si="83"/>
        <v>50413.448232903596</v>
      </c>
      <c r="AI57" s="56">
        <f t="shared" si="84"/>
        <v>16673.571228599962</v>
      </c>
      <c r="AJ57" s="56">
        <f t="shared" si="140"/>
        <v>17922.049264897247</v>
      </c>
      <c r="AK57" s="56">
        <f t="shared" si="150"/>
        <v>18967.352766472355</v>
      </c>
      <c r="AL57" s="56">
        <f>'Mortgage and Loans'!T19</f>
        <v>149150.97999999998</v>
      </c>
      <c r="AM57" s="12">
        <f t="shared" si="12"/>
        <v>-257138.87980811036</v>
      </c>
      <c r="AN57" s="75">
        <f t="shared" si="85"/>
        <v>-87569.23012293785</v>
      </c>
      <c r="AO57" s="86">
        <f>'Mortgage and Loans'!G20</f>
        <v>727.41</v>
      </c>
      <c r="AP57" s="79">
        <v>0</v>
      </c>
      <c r="AQ57" s="87"/>
      <c r="AR57" s="20">
        <f t="shared" si="152"/>
        <v>4011.4783152372311</v>
      </c>
      <c r="AS57" s="20">
        <v>750</v>
      </c>
      <c r="AT57" s="20">
        <v>0</v>
      </c>
      <c r="AU57" s="20">
        <f t="shared" si="153"/>
        <v>4761.4783152372311</v>
      </c>
      <c r="AV57" s="20">
        <f t="shared" si="154"/>
        <v>4760.6303929426385</v>
      </c>
      <c r="AW57" s="51">
        <f t="shared" si="5"/>
        <v>0</v>
      </c>
      <c r="AX57" s="51">
        <f t="shared" si="14"/>
        <v>0</v>
      </c>
      <c r="AY57" s="51">
        <f t="shared" si="15"/>
        <v>0</v>
      </c>
      <c r="AZ57" s="51">
        <f t="shared" si="16"/>
        <v>0</v>
      </c>
      <c r="BA57" s="51">
        <f t="shared" si="17"/>
        <v>0</v>
      </c>
      <c r="BB57" s="51">
        <f t="shared" si="18"/>
        <v>0</v>
      </c>
      <c r="BC57" s="51">
        <f t="shared" si="19"/>
        <v>0</v>
      </c>
      <c r="BD57" s="51">
        <f t="shared" si="20"/>
        <v>0</v>
      </c>
      <c r="BE57" s="51">
        <f t="shared" si="21"/>
        <v>0</v>
      </c>
      <c r="BF57" s="51">
        <f t="shared" si="22"/>
        <v>0</v>
      </c>
      <c r="BG57" s="51">
        <f t="shared" si="23"/>
        <v>0</v>
      </c>
      <c r="BH57" s="51">
        <f t="shared" si="24"/>
        <v>0</v>
      </c>
      <c r="BI57" s="51">
        <f t="shared" si="155"/>
        <v>0</v>
      </c>
      <c r="BJ57" s="51">
        <f t="shared" si="156"/>
        <v>0</v>
      </c>
      <c r="BK57" s="51">
        <f t="shared" si="157"/>
        <v>0</v>
      </c>
      <c r="BL57" s="51">
        <f t="shared" si="158"/>
        <v>0</v>
      </c>
      <c r="BM57" s="51">
        <f t="shared" si="159"/>
        <v>0</v>
      </c>
      <c r="BN57" s="51">
        <f t="shared" si="160"/>
        <v>0</v>
      </c>
      <c r="BO57" s="51">
        <f t="shared" si="161"/>
        <v>0</v>
      </c>
      <c r="BP57" s="51">
        <f t="shared" si="162"/>
        <v>0</v>
      </c>
      <c r="BQ57" s="51">
        <f t="shared" si="163"/>
        <v>0</v>
      </c>
      <c r="BR57" s="51">
        <f t="shared" si="164"/>
        <v>0</v>
      </c>
      <c r="BS57" s="51">
        <f t="shared" si="165"/>
        <v>0</v>
      </c>
      <c r="BT57" s="51">
        <f t="shared" si="166"/>
        <v>0</v>
      </c>
      <c r="BU57" s="20">
        <f t="shared" si="167"/>
        <v>4761.3341260023999</v>
      </c>
      <c r="BV57" s="20">
        <f t="shared" si="168"/>
        <v>4761.5489754284481</v>
      </c>
      <c r="BW57" s="20">
        <f t="shared" si="169"/>
        <v>57137.739782846773</v>
      </c>
      <c r="BX57" s="20">
        <f t="shared" si="170"/>
        <v>57136.009512028802</v>
      </c>
      <c r="BY57" s="20">
        <f t="shared" si="171"/>
        <v>57138.587705141377</v>
      </c>
      <c r="BZ57" s="21">
        <f t="shared" si="172"/>
        <v>57137.445666672313</v>
      </c>
      <c r="CA57" s="19">
        <f t="shared" si="47"/>
        <v>1428436.1416668077</v>
      </c>
      <c r="CB57" s="20">
        <f t="shared" si="173"/>
        <v>1428398.1112138436</v>
      </c>
      <c r="CC57" s="20">
        <f t="shared" si="174"/>
        <v>1428459.1107623514</v>
      </c>
      <c r="CD57" s="20">
        <f t="shared" si="48"/>
        <v>0</v>
      </c>
      <c r="CE57" s="20">
        <f t="shared" si="113"/>
        <v>1400000</v>
      </c>
      <c r="CF57" s="20">
        <f t="shared" si="37"/>
        <v>106864.24198362853</v>
      </c>
      <c r="CG57" s="20">
        <f t="shared" si="175"/>
        <v>4274.5696793451407</v>
      </c>
      <c r="CH57" s="20">
        <f t="shared" si="39"/>
        <v>356.21413994542837</v>
      </c>
      <c r="CI57" s="20">
        <f t="shared" si="176"/>
        <v>104662.96592813607</v>
      </c>
      <c r="CJ57" s="24">
        <f t="shared" si="177"/>
        <v>7.4814045989472763E-2</v>
      </c>
      <c r="CK57" s="24">
        <f t="shared" si="178"/>
        <v>2.1070678687253298E-2</v>
      </c>
      <c r="CL57" s="24">
        <f t="shared" si="179"/>
        <v>6.5614888986591707E-2</v>
      </c>
      <c r="CM57" s="25">
        <f t="shared" si="180"/>
        <v>-6.9110473841501846E-2</v>
      </c>
      <c r="CN57" s="17"/>
      <c r="CO57" s="17"/>
      <c r="CP57" s="17"/>
      <c r="CQ57" s="17"/>
      <c r="CR57" s="17"/>
      <c r="CS57" s="17"/>
      <c r="CT57" s="17"/>
      <c r="CU57" s="17"/>
      <c r="CV57" s="17"/>
      <c r="CW57" s="30">
        <v>0</v>
      </c>
      <c r="CX57" s="17"/>
      <c r="CY57" s="17"/>
      <c r="CZ57" s="17"/>
      <c r="DA57" s="17"/>
      <c r="DB57" s="17"/>
    </row>
    <row r="58" spans="1:106" ht="15.75" thickBot="1" x14ac:dyDescent="0.3">
      <c r="A58" s="5">
        <f t="shared" si="70"/>
        <v>28</v>
      </c>
      <c r="B58" s="5">
        <f t="shared" si="69"/>
        <v>26</v>
      </c>
      <c r="C58" s="1">
        <v>43983</v>
      </c>
      <c r="D58" s="4"/>
      <c r="E58" s="30"/>
      <c r="F58" s="30"/>
      <c r="G58" s="30"/>
      <c r="H58" s="30"/>
      <c r="I58" s="10">
        <v>0</v>
      </c>
      <c r="J58" s="60">
        <v>9000</v>
      </c>
      <c r="K58" s="11">
        <v>550</v>
      </c>
      <c r="L58" s="60">
        <f t="shared" si="72"/>
        <v>9318.358104189243</v>
      </c>
      <c r="M58" s="11">
        <v>305</v>
      </c>
      <c r="N58" s="60">
        <f>(N57*($K$1/12))+N57 + $N$5</f>
        <v>9846.2446843605449</v>
      </c>
      <c r="O58" s="11">
        <v>0</v>
      </c>
      <c r="P58" s="11">
        <v>0</v>
      </c>
      <c r="Q58" s="60">
        <f>(Q57*($K$1/12))+Q57</f>
        <v>10213.150976500143</v>
      </c>
      <c r="R58" s="60">
        <f>(R57*($K$1/12))+R57</f>
        <v>5073.5766259950688</v>
      </c>
      <c r="S58" s="60">
        <f>(S57*($K$1/12))+S57</f>
        <v>4404.8823101285971</v>
      </c>
      <c r="T58" s="60">
        <f>(T57*($K$1/12))+T57+$T$5 + ((3%/12)*T$11)</f>
        <v>72928.73457361506</v>
      </c>
      <c r="U58" s="60">
        <f>(U57*$K$1/12) + U57 + ((U$11/12*7%))</f>
        <v>9973.0578066057697</v>
      </c>
      <c r="V58" s="60">
        <v>3100</v>
      </c>
      <c r="W58" s="60">
        <f>(W57*($K$1/12))+W57+$W$5</f>
        <v>6488.0210015285447</v>
      </c>
      <c r="X58" s="11">
        <v>0</v>
      </c>
      <c r="Y58" s="60">
        <v>0</v>
      </c>
      <c r="Z58" s="60">
        <f>'Mortgage and Loans'!U20</f>
        <v>31063.1</v>
      </c>
      <c r="AA58" s="12">
        <f t="shared" si="2"/>
        <v>172264.12608292297</v>
      </c>
      <c r="AB58" s="56">
        <f t="shared" si="151"/>
        <v>750</v>
      </c>
      <c r="AC58" s="56">
        <f t="shared" si="151"/>
        <v>750</v>
      </c>
      <c r="AD58" s="56">
        <f t="shared" si="151"/>
        <v>750</v>
      </c>
      <c r="AE58" s="56">
        <f t="shared" si="151"/>
        <v>750</v>
      </c>
      <c r="AF58" s="56">
        <f t="shared" si="74"/>
        <v>261.54897542844736</v>
      </c>
      <c r="AG58" s="56">
        <f t="shared" si="151"/>
        <v>750</v>
      </c>
      <c r="AH58" s="56">
        <f t="shared" si="83"/>
        <v>50636.527741334197</v>
      </c>
      <c r="AI58" s="56">
        <f t="shared" si="84"/>
        <v>16756.93908474296</v>
      </c>
      <c r="AJ58" s="56">
        <f t="shared" si="140"/>
        <v>18019.127031748772</v>
      </c>
      <c r="AK58" s="56">
        <f t="shared" si="150"/>
        <v>19077.99565761011</v>
      </c>
      <c r="AL58" s="56">
        <f>'Mortgage and Loans'!T20</f>
        <v>148936.9</v>
      </c>
      <c r="AM58" s="12">
        <f t="shared" si="12"/>
        <v>-257439.03849086451</v>
      </c>
      <c r="AN58" s="75">
        <f t="shared" si="85"/>
        <v>-85174.912407941534</v>
      </c>
      <c r="AO58" s="86">
        <f>'Mortgage and Loans'!G21</f>
        <v>727.41</v>
      </c>
      <c r="AP58" s="79">
        <v>0</v>
      </c>
      <c r="AQ58" s="87"/>
      <c r="AR58" s="20">
        <f t="shared" si="152"/>
        <v>4011.5489754284472</v>
      </c>
      <c r="AS58" s="20">
        <v>750</v>
      </c>
      <c r="AT58" s="20">
        <v>0</v>
      </c>
      <c r="AU58" s="20">
        <f t="shared" si="153"/>
        <v>4761.5489754284472</v>
      </c>
      <c r="AV58" s="20">
        <f t="shared" si="154"/>
        <v>4761.163623508075</v>
      </c>
      <c r="AW58" s="51">
        <f t="shared" si="5"/>
        <v>0</v>
      </c>
      <c r="AX58" s="51">
        <f t="shared" si="14"/>
        <v>0</v>
      </c>
      <c r="AY58" s="51">
        <f t="shared" si="15"/>
        <v>0</v>
      </c>
      <c r="AZ58" s="51">
        <f t="shared" si="16"/>
        <v>0</v>
      </c>
      <c r="BA58" s="51">
        <f t="shared" si="17"/>
        <v>0</v>
      </c>
      <c r="BB58" s="51">
        <f t="shared" si="18"/>
        <v>0</v>
      </c>
      <c r="BC58" s="51">
        <f t="shared" si="19"/>
        <v>0</v>
      </c>
      <c r="BD58" s="51">
        <f t="shared" si="20"/>
        <v>0</v>
      </c>
      <c r="BE58" s="51">
        <f t="shared" si="21"/>
        <v>0</v>
      </c>
      <c r="BF58" s="51">
        <f t="shared" si="22"/>
        <v>0</v>
      </c>
      <c r="BG58" s="51">
        <f t="shared" si="23"/>
        <v>0</v>
      </c>
      <c r="BH58" s="51">
        <f t="shared" si="24"/>
        <v>0</v>
      </c>
      <c r="BI58" s="51">
        <f t="shared" si="155"/>
        <v>0</v>
      </c>
      <c r="BJ58" s="51">
        <f t="shared" si="156"/>
        <v>0</v>
      </c>
      <c r="BK58" s="51">
        <f t="shared" si="157"/>
        <v>0</v>
      </c>
      <c r="BL58" s="51">
        <f t="shared" si="158"/>
        <v>0</v>
      </c>
      <c r="BM58" s="51">
        <f t="shared" si="159"/>
        <v>0</v>
      </c>
      <c r="BN58" s="51">
        <f t="shared" si="160"/>
        <v>0</v>
      </c>
      <c r="BO58" s="51">
        <f t="shared" si="161"/>
        <v>0</v>
      </c>
      <c r="BP58" s="51">
        <f t="shared" si="162"/>
        <v>0</v>
      </c>
      <c r="BQ58" s="51">
        <f t="shared" si="163"/>
        <v>0</v>
      </c>
      <c r="BR58" s="51">
        <f t="shared" si="164"/>
        <v>0</v>
      </c>
      <c r="BS58" s="51">
        <f t="shared" si="165"/>
        <v>0</v>
      </c>
      <c r="BT58" s="51">
        <f t="shared" si="166"/>
        <v>0</v>
      </c>
      <c r="BU58" s="20">
        <f t="shared" si="167"/>
        <v>4761.4610441065915</v>
      </c>
      <c r="BV58" s="20">
        <f t="shared" si="168"/>
        <v>4761.5810880884792</v>
      </c>
      <c r="BW58" s="20">
        <f t="shared" si="169"/>
        <v>57138.58770514137</v>
      </c>
      <c r="BX58" s="20">
        <f t="shared" si="170"/>
        <v>57137.532529279095</v>
      </c>
      <c r="BY58" s="20">
        <f t="shared" si="171"/>
        <v>57138.973057061754</v>
      </c>
      <c r="BZ58" s="21">
        <f t="shared" si="172"/>
        <v>57138.364430494075</v>
      </c>
      <c r="CA58" s="19">
        <f t="shared" si="47"/>
        <v>1428459.1107623519</v>
      </c>
      <c r="CB58" s="20">
        <f t="shared" si="173"/>
        <v>1428430.409451534</v>
      </c>
      <c r="CC58" s="20">
        <f t="shared" si="174"/>
        <v>1428469.4432380612</v>
      </c>
      <c r="CD58" s="20">
        <f t="shared" si="48"/>
        <v>0</v>
      </c>
      <c r="CE58" s="20">
        <f t="shared" si="113"/>
        <v>1400000</v>
      </c>
      <c r="CF58" s="20">
        <f t="shared" si="37"/>
        <v>109081.42329437318</v>
      </c>
      <c r="CG58" s="20">
        <f t="shared" si="175"/>
        <v>4363.2569317749276</v>
      </c>
      <c r="CH58" s="20">
        <f t="shared" si="39"/>
        <v>363.60474431457732</v>
      </c>
      <c r="CI58" s="20">
        <f t="shared" si="176"/>
        <v>106868.22366024682</v>
      </c>
      <c r="CJ58" s="24">
        <f t="shared" si="177"/>
        <v>7.6364534507674428E-2</v>
      </c>
      <c r="CK58" s="24">
        <f t="shared" si="178"/>
        <v>2.0747644577728069E-2</v>
      </c>
      <c r="CL58" s="24">
        <f t="shared" si="179"/>
        <v>6.456576608846111E-2</v>
      </c>
      <c r="CM58" s="25">
        <f t="shared" si="180"/>
        <v>-6.8143210974340299E-2</v>
      </c>
      <c r="CN58" s="17"/>
      <c r="CO58" s="17"/>
      <c r="CP58" s="17"/>
      <c r="CQ58" s="17"/>
      <c r="CR58" s="17"/>
      <c r="CS58" s="17"/>
      <c r="CT58" s="17"/>
      <c r="CU58" s="17"/>
      <c r="CV58" s="17"/>
      <c r="CW58" s="30">
        <v>0</v>
      </c>
      <c r="CX58" s="17"/>
      <c r="CY58" s="17"/>
      <c r="CZ58" s="17"/>
      <c r="DA58" s="17"/>
      <c r="DB58" s="17"/>
    </row>
    <row r="59" spans="1:106" ht="16.5" thickTop="1" thickBot="1" x14ac:dyDescent="0.3">
      <c r="A59" s="5">
        <f t="shared" si="70"/>
        <v>28</v>
      </c>
      <c r="B59" s="5">
        <f t="shared" si="69"/>
        <v>26</v>
      </c>
      <c r="C59" s="1">
        <v>44013</v>
      </c>
      <c r="D59" s="4"/>
      <c r="E59" s="30"/>
      <c r="F59" s="30"/>
      <c r="G59" s="30"/>
      <c r="H59" s="30"/>
      <c r="I59" s="10">
        <v>0</v>
      </c>
      <c r="J59" s="60">
        <v>9000</v>
      </c>
      <c r="K59" s="11">
        <v>550</v>
      </c>
      <c r="L59" s="60">
        <f t="shared" si="72"/>
        <v>9329.6177868984705</v>
      </c>
      <c r="M59" s="11">
        <v>305</v>
      </c>
      <c r="N59" s="60">
        <v>0</v>
      </c>
      <c r="O59" s="11">
        <v>0</v>
      </c>
      <c r="P59" s="11">
        <v>0</v>
      </c>
      <c r="Q59" s="102">
        <f>(Q58*($K$1/12))+Q58 + $Q$6</f>
        <v>11185.142210956184</v>
      </c>
      <c r="R59" s="60">
        <f>(R58*($K$1/12))+R58</f>
        <v>5101.0584993858756</v>
      </c>
      <c r="S59" s="60">
        <f>(S58*($K$1/12))+S58</f>
        <v>4428.74208930846</v>
      </c>
      <c r="T59" s="102">
        <f>(T58*($K$1/12))+T58+$T$6 + ((3%/12)*T$11)</f>
        <v>76498.765219222143</v>
      </c>
      <c r="U59" s="60">
        <f>(U58*$K$1/12) + U58 + ((U$11/12*7%))</f>
        <v>10435.411869724885</v>
      </c>
      <c r="V59" s="60">
        <v>3100</v>
      </c>
      <c r="W59" s="102">
        <f>(W58*($K$1/12))+W58+$W$6</f>
        <v>6810.6644486201576</v>
      </c>
      <c r="X59" s="11">
        <v>0</v>
      </c>
      <c r="Y59" s="102">
        <f>(Y58*($K$1/12))+Y58+$Y$6</f>
        <v>650</v>
      </c>
      <c r="Z59" s="60">
        <f>'Mortgage and Loans'!U21</f>
        <v>31277.919999999998</v>
      </c>
      <c r="AA59" s="12">
        <f t="shared" si="2"/>
        <v>168672.32212411618</v>
      </c>
      <c r="AB59" s="56">
        <f t="shared" ref="AB59:AG109" si="181">$AC$1/5</f>
        <v>750</v>
      </c>
      <c r="AC59" s="56">
        <f t="shared" si="181"/>
        <v>750</v>
      </c>
      <c r="AD59" s="56">
        <f t="shared" si="181"/>
        <v>750</v>
      </c>
      <c r="AE59" s="56">
        <f t="shared" si="181"/>
        <v>750</v>
      </c>
      <c r="AF59" s="56">
        <f t="shared" si="74"/>
        <v>261.58108808847845</v>
      </c>
      <c r="AG59" s="56">
        <f t="shared" si="181"/>
        <v>750</v>
      </c>
      <c r="AH59" s="72">
        <f>'Mortgage and Loans'!AF16</f>
        <v>50315.817741334198</v>
      </c>
      <c r="AI59" s="72">
        <f>'Mortgage and Loans'!AQ16</f>
        <v>16654.679084742962</v>
      </c>
      <c r="AJ59" s="72">
        <f>'Mortgage and Loans'!BB16</f>
        <v>17912.127031748772</v>
      </c>
      <c r="AK59" s="72">
        <f>'Mortgage and Loans'!BM16</f>
        <v>17967.775657610109</v>
      </c>
      <c r="AL59" s="56">
        <f>'Mortgage and Loans'!T21</f>
        <v>148722.07999999999</v>
      </c>
      <c r="AM59" s="12">
        <f t="shared" si="12"/>
        <v>-255584.0606035245</v>
      </c>
      <c r="AN59" s="75">
        <f t="shared" si="85"/>
        <v>-86911.738479408319</v>
      </c>
      <c r="AO59" s="86">
        <f>'Mortgage and Loans'!G22</f>
        <v>2884.34</v>
      </c>
      <c r="AP59" s="79">
        <f>('Salary Tax Breakdown'!B$16/12)-Data!AO59</f>
        <v>563.15999999999985</v>
      </c>
      <c r="AQ59" s="87"/>
      <c r="AR59" s="20">
        <f t="shared" si="152"/>
        <v>4011.5810880884783</v>
      </c>
      <c r="AS59" s="20">
        <v>750</v>
      </c>
      <c r="AT59" s="20">
        <v>0</v>
      </c>
      <c r="AU59" s="20">
        <f t="shared" si="153"/>
        <v>4761.5810880884783</v>
      </c>
      <c r="AV59" s="20">
        <f t="shared" si="154"/>
        <v>4761.6275286612035</v>
      </c>
      <c r="AW59" s="51">
        <f t="shared" si="5"/>
        <v>0</v>
      </c>
      <c r="AX59" s="51">
        <f t="shared" si="14"/>
        <v>0</v>
      </c>
      <c r="AY59" s="51">
        <f t="shared" si="15"/>
        <v>0</v>
      </c>
      <c r="AZ59" s="51">
        <f t="shared" si="16"/>
        <v>0</v>
      </c>
      <c r="BA59" s="51">
        <f t="shared" si="17"/>
        <v>0</v>
      </c>
      <c r="BB59" s="51">
        <f t="shared" si="18"/>
        <v>0</v>
      </c>
      <c r="BC59" s="51">
        <f t="shared" si="19"/>
        <v>0</v>
      </c>
      <c r="BD59" s="51">
        <f t="shared" si="20"/>
        <v>0</v>
      </c>
      <c r="BE59" s="51">
        <f t="shared" si="21"/>
        <v>0</v>
      </c>
      <c r="BF59" s="51">
        <f t="shared" si="22"/>
        <v>0</v>
      </c>
      <c r="BG59" s="51">
        <f t="shared" si="23"/>
        <v>0</v>
      </c>
      <c r="BH59" s="51">
        <f t="shared" si="24"/>
        <v>0</v>
      </c>
      <c r="BI59" s="51">
        <f t="shared" si="155"/>
        <v>0</v>
      </c>
      <c r="BJ59" s="51">
        <f t="shared" si="156"/>
        <v>0</v>
      </c>
      <c r="BK59" s="51">
        <f t="shared" si="157"/>
        <v>0</v>
      </c>
      <c r="BL59" s="51">
        <f t="shared" si="158"/>
        <v>0</v>
      </c>
      <c r="BM59" s="51">
        <f t="shared" si="159"/>
        <v>0</v>
      </c>
      <c r="BN59" s="51">
        <f t="shared" si="160"/>
        <v>0</v>
      </c>
      <c r="BO59" s="51">
        <f t="shared" si="161"/>
        <v>0</v>
      </c>
      <c r="BP59" s="51">
        <f t="shared" si="162"/>
        <v>0</v>
      </c>
      <c r="BQ59" s="51">
        <f t="shared" si="163"/>
        <v>0</v>
      </c>
      <c r="BR59" s="51">
        <f t="shared" si="164"/>
        <v>0</v>
      </c>
      <c r="BS59" s="51">
        <f t="shared" si="165"/>
        <v>0</v>
      </c>
      <c r="BT59" s="51">
        <f t="shared" si="166"/>
        <v>0</v>
      </c>
      <c r="BU59" s="20">
        <f t="shared" si="167"/>
        <v>4761.5361262513861</v>
      </c>
      <c r="BV59" s="20">
        <f t="shared" si="168"/>
        <v>4761.5772180407512</v>
      </c>
      <c r="BW59" s="20">
        <f t="shared" si="169"/>
        <v>57138.973057061739</v>
      </c>
      <c r="BX59" s="20">
        <f t="shared" si="170"/>
        <v>57138.43351501663</v>
      </c>
      <c r="BY59" s="20">
        <f t="shared" si="171"/>
        <v>57138.926616489014</v>
      </c>
      <c r="BZ59" s="21">
        <f t="shared" si="172"/>
        <v>57138.777729522459</v>
      </c>
      <c r="CA59" s="19">
        <f t="shared" si="47"/>
        <v>1428469.4432380614</v>
      </c>
      <c r="CB59" s="20">
        <f t="shared" si="173"/>
        <v>1428454.89855574</v>
      </c>
      <c r="CC59" s="20">
        <f t="shared" si="174"/>
        <v>1428466.2964441257</v>
      </c>
      <c r="CD59" s="20">
        <f t="shared" si="48"/>
        <v>0</v>
      </c>
      <c r="CE59" s="20">
        <f t="shared" si="113"/>
        <v>1400000</v>
      </c>
      <c r="CF59" s="20">
        <f t="shared" si="37"/>
        <v>115109.78433721769</v>
      </c>
      <c r="CG59" s="20">
        <f t="shared" si="175"/>
        <v>4604.3913734887074</v>
      </c>
      <c r="CH59" s="20">
        <f t="shared" si="39"/>
        <v>383.69928112405893</v>
      </c>
      <c r="CI59" s="20">
        <f t="shared" si="176"/>
        <v>110351.81653840646</v>
      </c>
      <c r="CJ59" s="24">
        <f t="shared" si="177"/>
        <v>8.0583422307278371E-2</v>
      </c>
      <c r="CK59" s="24">
        <f t="shared" si="178"/>
        <v>5.5264781672091319E-2</v>
      </c>
      <c r="CL59" s="24">
        <f t="shared" si="179"/>
        <v>9.985551233079891E-2</v>
      </c>
      <c r="CM59" s="25">
        <f t="shared" si="180"/>
        <v>-3.537028191611865E-2</v>
      </c>
      <c r="CN59" s="17"/>
      <c r="CO59" s="17"/>
      <c r="CP59" s="17"/>
      <c r="CQ59" s="17"/>
      <c r="CR59" s="17"/>
      <c r="CS59" s="17"/>
      <c r="CT59" s="17"/>
      <c r="CU59" s="17"/>
      <c r="CV59" s="17"/>
      <c r="CW59" s="30">
        <v>0</v>
      </c>
      <c r="CX59" s="17"/>
      <c r="CY59" s="17"/>
      <c r="CZ59" s="17"/>
      <c r="DA59" s="17"/>
      <c r="DB59" s="17"/>
    </row>
    <row r="60" spans="1:106" ht="16.5" thickTop="1" thickBot="1" x14ac:dyDescent="0.3">
      <c r="A60" s="5">
        <f t="shared" si="70"/>
        <v>28</v>
      </c>
      <c r="B60" s="5">
        <f t="shared" si="69"/>
        <v>26</v>
      </c>
      <c r="C60" s="1">
        <v>44044</v>
      </c>
      <c r="D60" s="4"/>
      <c r="E60" s="30"/>
      <c r="F60" s="30"/>
      <c r="G60" s="30"/>
      <c r="H60" s="30"/>
      <c r="I60" s="10">
        <v>0</v>
      </c>
      <c r="J60" s="60">
        <v>9000</v>
      </c>
      <c r="K60" s="11">
        <v>550</v>
      </c>
      <c r="L60" s="60">
        <f t="shared" si="72"/>
        <v>9340.8910750576397</v>
      </c>
      <c r="M60" s="11">
        <v>305</v>
      </c>
      <c r="N60" s="60">
        <v>0</v>
      </c>
      <c r="O60" s="11">
        <v>0</v>
      </c>
      <c r="P60" s="11">
        <v>0</v>
      </c>
      <c r="Q60" s="60">
        <f>(Q59*($K$1/12))+Q59 + $Q$6</f>
        <v>12162.398397932197</v>
      </c>
      <c r="R60" s="60">
        <f>(R59*($K$1/12))+R59</f>
        <v>5128.6892329242155</v>
      </c>
      <c r="S60" s="60">
        <f>(S59*($K$1/12))+S59</f>
        <v>4452.7311089588811</v>
      </c>
      <c r="T60" s="60">
        <f>(T59*($K$1/12))+T59+$T$6 + ((3%/12)*T$11)</f>
        <v>80088.133530826264</v>
      </c>
      <c r="U60" s="60">
        <f>(U59*$K$1/12) + U59 + ((U$11/12*7%))</f>
        <v>10900.270350685896</v>
      </c>
      <c r="V60" s="60">
        <v>3100</v>
      </c>
      <c r="W60" s="60">
        <f>(W59*($K$1/12))+W59+$W$6</f>
        <v>7135.05554771685</v>
      </c>
      <c r="X60" s="11">
        <v>0</v>
      </c>
      <c r="Y60" s="60">
        <f>(Y59*($K$1/12))+Y59+$Y$6</f>
        <v>1303.5208333333335</v>
      </c>
      <c r="Z60" s="60">
        <f>'Mortgage and Loans'!U22</f>
        <v>31493.48</v>
      </c>
      <c r="AA60" s="12">
        <f t="shared" si="2"/>
        <v>174960.17007743529</v>
      </c>
      <c r="AB60" s="56">
        <f t="shared" si="181"/>
        <v>750</v>
      </c>
      <c r="AC60" s="56">
        <f t="shared" si="181"/>
        <v>750</v>
      </c>
      <c r="AD60" s="56">
        <f t="shared" si="181"/>
        <v>750</v>
      </c>
      <c r="AE60" s="56">
        <f t="shared" si="181"/>
        <v>750</v>
      </c>
      <c r="AF60" s="56">
        <f t="shared" si="74"/>
        <v>261.57721804075135</v>
      </c>
      <c r="AG60" s="56">
        <f t="shared" si="181"/>
        <v>750</v>
      </c>
      <c r="AH60" s="56">
        <f>'Mortgage and Loans'!AF17</f>
        <v>49993.687741334201</v>
      </c>
      <c r="AI60" s="56">
        <f>'Mortgage and Loans'!AQ17</f>
        <v>16551.909084742962</v>
      </c>
      <c r="AJ60" s="56">
        <f>'Mortgage and Loans'!BB17</f>
        <v>17804.547031748771</v>
      </c>
      <c r="AK60" s="56">
        <f>'Mortgage and Loans'!BM17</f>
        <v>16851.075657610108</v>
      </c>
      <c r="AL60" s="56">
        <f>'Mortgage and Loans'!T22</f>
        <v>148506.51999999999</v>
      </c>
      <c r="AM60" s="12">
        <f t="shared" si="12"/>
        <v>-253719.31673347679</v>
      </c>
      <c r="AN60" s="75">
        <f t="shared" si="85"/>
        <v>-78759.146656041499</v>
      </c>
      <c r="AO60" s="86">
        <f>'Mortgage and Loans'!G23</f>
        <v>2884.34</v>
      </c>
      <c r="AP60" s="79">
        <f>('Salary Tax Breakdown'!B$16/12)-Data!AO60</f>
        <v>563.15999999999985</v>
      </c>
      <c r="AQ60" s="87"/>
      <c r="AR60" s="20">
        <f t="shared" si="152"/>
        <v>4011.5772180407512</v>
      </c>
      <c r="AS60" s="20">
        <v>750</v>
      </c>
      <c r="AT60" s="20">
        <v>0</v>
      </c>
      <c r="AU60" s="20">
        <f t="shared" si="153"/>
        <v>4761.5772180407512</v>
      </c>
      <c r="AV60" s="20">
        <f t="shared" si="154"/>
        <v>4762.3040039543812</v>
      </c>
      <c r="AW60" s="51">
        <f t="shared" si="5"/>
        <v>0</v>
      </c>
      <c r="AX60" s="51">
        <f t="shared" si="14"/>
        <v>0</v>
      </c>
      <c r="AY60" s="51">
        <f t="shared" si="15"/>
        <v>0</v>
      </c>
      <c r="AZ60" s="51">
        <f t="shared" si="16"/>
        <v>0</v>
      </c>
      <c r="BA60" s="51">
        <f t="shared" si="17"/>
        <v>0</v>
      </c>
      <c r="BB60" s="51">
        <f t="shared" si="18"/>
        <v>0</v>
      </c>
      <c r="BC60" s="51">
        <f t="shared" si="19"/>
        <v>0</v>
      </c>
      <c r="BD60" s="51">
        <f t="shared" si="20"/>
        <v>0</v>
      </c>
      <c r="BE60" s="51">
        <f t="shared" si="21"/>
        <v>0</v>
      </c>
      <c r="BF60" s="51">
        <f t="shared" si="22"/>
        <v>0</v>
      </c>
      <c r="BG60" s="51">
        <f t="shared" si="23"/>
        <v>0</v>
      </c>
      <c r="BH60" s="51">
        <f t="shared" si="24"/>
        <v>0</v>
      </c>
      <c r="BI60" s="51">
        <f t="shared" si="155"/>
        <v>0</v>
      </c>
      <c r="BJ60" s="51">
        <f t="shared" si="156"/>
        <v>0</v>
      </c>
      <c r="BK60" s="51">
        <f t="shared" si="157"/>
        <v>0</v>
      </c>
      <c r="BL60" s="51">
        <f t="shared" si="158"/>
        <v>0</v>
      </c>
      <c r="BM60" s="51">
        <f t="shared" si="159"/>
        <v>0</v>
      </c>
      <c r="BN60" s="51">
        <f t="shared" si="160"/>
        <v>0</v>
      </c>
      <c r="BO60" s="51">
        <f t="shared" si="161"/>
        <v>0</v>
      </c>
      <c r="BP60" s="51">
        <f t="shared" si="162"/>
        <v>0</v>
      </c>
      <c r="BQ60" s="51">
        <f t="shared" si="163"/>
        <v>0</v>
      </c>
      <c r="BR60" s="51">
        <f t="shared" si="164"/>
        <v>0</v>
      </c>
      <c r="BS60" s="51">
        <f t="shared" si="165"/>
        <v>0</v>
      </c>
      <c r="BT60" s="51">
        <f t="shared" si="166"/>
        <v>0</v>
      </c>
      <c r="BU60" s="20">
        <f t="shared" si="167"/>
        <v>4761.5690938525586</v>
      </c>
      <c r="BV60" s="20">
        <f t="shared" si="168"/>
        <v>4761.5166525479481</v>
      </c>
      <c r="BW60" s="20">
        <f t="shared" si="169"/>
        <v>57138.926616489014</v>
      </c>
      <c r="BX60" s="20">
        <f t="shared" si="170"/>
        <v>57138.829126230703</v>
      </c>
      <c r="BY60" s="20">
        <f t="shared" si="171"/>
        <v>57138.19983057538</v>
      </c>
      <c r="BZ60" s="21">
        <f t="shared" si="172"/>
        <v>57138.651857765035</v>
      </c>
      <c r="CA60" s="19">
        <f t="shared" si="47"/>
        <v>1428466.2964441259</v>
      </c>
      <c r="CB60" s="20">
        <f t="shared" si="173"/>
        <v>1428464.9501481794</v>
      </c>
      <c r="CC60" s="20">
        <f t="shared" si="174"/>
        <v>1428450.5045417042</v>
      </c>
      <c r="CD60" s="20">
        <f t="shared" si="48"/>
        <v>0</v>
      </c>
      <c r="CE60" s="20">
        <f t="shared" si="113"/>
        <v>1400000</v>
      </c>
      <c r="CF60" s="20">
        <f t="shared" si="37"/>
        <v>121170.79900237764</v>
      </c>
      <c r="CG60" s="20">
        <f t="shared" si="175"/>
        <v>4846.8319600951054</v>
      </c>
      <c r="CH60" s="20">
        <f t="shared" si="39"/>
        <v>403.9026633412588</v>
      </c>
      <c r="CI60" s="20">
        <f t="shared" si="176"/>
        <v>115120.6688779895</v>
      </c>
      <c r="CJ60" s="24">
        <f t="shared" si="177"/>
        <v>8.4825881789964946E-2</v>
      </c>
      <c r="CK60" s="24">
        <f t="shared" si="178"/>
        <v>5.2654209197404274E-2</v>
      </c>
      <c r="CL60" s="24">
        <f t="shared" si="179"/>
        <v>0.13387599774432365</v>
      </c>
      <c r="CM60" s="25">
        <f t="shared" si="180"/>
        <v>-3.6545354840062955E-3</v>
      </c>
      <c r="CN60" s="17"/>
      <c r="CO60" s="17"/>
      <c r="CP60" s="17"/>
      <c r="CQ60" s="17"/>
      <c r="CR60" s="17"/>
      <c r="CS60" s="17"/>
      <c r="CT60" s="17"/>
      <c r="CU60" s="17"/>
      <c r="CV60" s="17"/>
      <c r="CW60" s="30">
        <v>0</v>
      </c>
      <c r="CX60" s="17"/>
      <c r="CY60" s="17"/>
      <c r="CZ60" s="17"/>
      <c r="DA60" s="17"/>
      <c r="DB60" s="17"/>
    </row>
    <row r="61" spans="1:106" ht="15.75" thickBot="1" x14ac:dyDescent="0.3">
      <c r="A61" s="5">
        <f t="shared" si="70"/>
        <v>28</v>
      </c>
      <c r="B61" s="5">
        <f t="shared" si="69"/>
        <v>26</v>
      </c>
      <c r="C61" s="1">
        <v>44075</v>
      </c>
      <c r="D61" s="4"/>
      <c r="E61" s="30"/>
      <c r="F61" s="30"/>
      <c r="G61" s="30"/>
      <c r="H61" s="30"/>
      <c r="I61" s="10">
        <v>0</v>
      </c>
      <c r="J61" s="60">
        <v>9000</v>
      </c>
      <c r="K61" s="11">
        <v>550</v>
      </c>
      <c r="L61" s="60">
        <f t="shared" si="72"/>
        <v>9352.1779851066676</v>
      </c>
      <c r="M61" s="11">
        <v>305</v>
      </c>
      <c r="N61" s="60">
        <v>0</v>
      </c>
      <c r="O61" s="11">
        <v>0</v>
      </c>
      <c r="P61" s="11">
        <v>0</v>
      </c>
      <c r="Q61" s="60">
        <f>(Q60*($K$1/12))+Q60 + $Q$6</f>
        <v>13144.948055920995</v>
      </c>
      <c r="R61" s="60">
        <f>(R60*($K$1/12))+R60</f>
        <v>5156.4696329358885</v>
      </c>
      <c r="S61" s="60">
        <f>(S60*($K$1/12))+S60</f>
        <v>4476.850069132408</v>
      </c>
      <c r="T61" s="60">
        <f>(T60*($K$1/12))+T60+$T$6 + ((3%/12)*T$11)</f>
        <v>83696.944254118236</v>
      </c>
      <c r="U61" s="60">
        <f>(U60*$K$1/12) + U60 + ((U$11/12*7%))</f>
        <v>11367.646815085445</v>
      </c>
      <c r="V61" s="60">
        <v>3100</v>
      </c>
      <c r="W61" s="60">
        <f>(W60*($K$1/12))+W60+$W$6</f>
        <v>7461.2037652669833</v>
      </c>
      <c r="X61" s="11">
        <v>0</v>
      </c>
      <c r="Y61" s="60">
        <f>(Y60*($K$1/12))+Y60+$Y$6</f>
        <v>1960.5815711805558</v>
      </c>
      <c r="Z61" s="60">
        <f>'Mortgage and Loans'!U23</f>
        <v>31709.78</v>
      </c>
      <c r="AA61" s="12">
        <f t="shared" si="2"/>
        <v>181281.60214874716</v>
      </c>
      <c r="AB61" s="56">
        <f t="shared" si="181"/>
        <v>750</v>
      </c>
      <c r="AC61" s="56">
        <f t="shared" si="181"/>
        <v>750</v>
      </c>
      <c r="AD61" s="56">
        <f t="shared" si="181"/>
        <v>750</v>
      </c>
      <c r="AE61" s="56">
        <f t="shared" si="181"/>
        <v>750</v>
      </c>
      <c r="AF61" s="56">
        <f t="shared" si="74"/>
        <v>261.51665254794881</v>
      </c>
      <c r="AG61" s="56">
        <f t="shared" si="181"/>
        <v>750</v>
      </c>
      <c r="AH61" s="56">
        <f>'Mortgage and Loans'!AF18</f>
        <v>49670.127741334203</v>
      </c>
      <c r="AI61" s="56">
        <f>'Mortgage and Loans'!AQ18</f>
        <v>16448.629084742963</v>
      </c>
      <c r="AJ61" s="56">
        <f>'Mortgage and Loans'!BB18</f>
        <v>17696.387031748771</v>
      </c>
      <c r="AK61" s="56">
        <f>'Mortgage and Loans'!BM18</f>
        <v>15727.865657610109</v>
      </c>
      <c r="AL61" s="56">
        <f>'Mortgage and Loans'!T23</f>
        <v>148290.22</v>
      </c>
      <c r="AM61" s="12">
        <f t="shared" si="12"/>
        <v>-251844.74616798398</v>
      </c>
      <c r="AN61" s="75">
        <f t="shared" si="85"/>
        <v>-70563.144019236817</v>
      </c>
      <c r="AO61" s="86">
        <f>'Mortgage and Loans'!G24</f>
        <v>2884.34</v>
      </c>
      <c r="AP61" s="79">
        <f>('Salary Tax Breakdown'!B$16/12)-Data!AO61</f>
        <v>563.15999999999985</v>
      </c>
      <c r="AQ61" s="87"/>
      <c r="AR61" s="20">
        <f t="shared" ref="AR61:AR124" si="182">SUM(AB61:AG61)</f>
        <v>4011.516652547949</v>
      </c>
      <c r="AS61" s="20">
        <v>750</v>
      </c>
      <c r="AT61" s="20">
        <v>0</v>
      </c>
      <c r="AU61" s="20">
        <f t="shared" ref="AU61:AU124" si="183">SUM(AR61:AT61)</f>
        <v>4761.516652547949</v>
      </c>
      <c r="AV61" s="20">
        <f t="shared" ref="AV61:AV124" si="184">AU49</f>
        <v>4762.5556034029414</v>
      </c>
      <c r="AW61" s="51">
        <f t="shared" si="5"/>
        <v>0</v>
      </c>
      <c r="AX61" s="51">
        <f t="shared" si="14"/>
        <v>0</v>
      </c>
      <c r="AY61" s="51">
        <f t="shared" si="15"/>
        <v>0</v>
      </c>
      <c r="AZ61" s="51">
        <f t="shared" si="16"/>
        <v>0</v>
      </c>
      <c r="BA61" s="51">
        <f t="shared" si="17"/>
        <v>0</v>
      </c>
      <c r="BB61" s="51">
        <f t="shared" si="18"/>
        <v>0</v>
      </c>
      <c r="BC61" s="51">
        <f t="shared" si="19"/>
        <v>0</v>
      </c>
      <c r="BD61" s="51">
        <f t="shared" si="20"/>
        <v>0</v>
      </c>
      <c r="BE61" s="51">
        <f t="shared" si="21"/>
        <v>0</v>
      </c>
      <c r="BF61" s="51">
        <f t="shared" si="22"/>
        <v>0</v>
      </c>
      <c r="BG61" s="51">
        <f t="shared" si="23"/>
        <v>0</v>
      </c>
      <c r="BH61" s="51">
        <f t="shared" si="24"/>
        <v>0</v>
      </c>
      <c r="BI61" s="51">
        <f t="shared" ref="BI61:BI124" si="185">$AU61*AW61</f>
        <v>0</v>
      </c>
      <c r="BJ61" s="51">
        <f t="shared" ref="BJ61:BJ124" si="186">$AU61*AX61</f>
        <v>0</v>
      </c>
      <c r="BK61" s="51">
        <f t="shared" ref="BK61:BK124" si="187">$AU61*AY61</f>
        <v>0</v>
      </c>
      <c r="BL61" s="51">
        <f t="shared" ref="BL61:BL124" si="188">$AU61*AZ61</f>
        <v>0</v>
      </c>
      <c r="BM61" s="51">
        <f t="shared" ref="BM61:BM124" si="189">$AU61*BA61</f>
        <v>0</v>
      </c>
      <c r="BN61" s="51">
        <f t="shared" ref="BN61:BN124" si="190">$AU61*BB61</f>
        <v>0</v>
      </c>
      <c r="BO61" s="51">
        <f t="shared" ref="BO61:BO124" si="191">$AU61*BC61</f>
        <v>0</v>
      </c>
      <c r="BP61" s="51">
        <f t="shared" ref="BP61:BP124" si="192">$AU61*BD61</f>
        <v>0</v>
      </c>
      <c r="BQ61" s="51">
        <f t="shared" ref="BQ61:BQ124" si="193">$AU61*BE61</f>
        <v>0</v>
      </c>
      <c r="BR61" s="51">
        <f t="shared" ref="BR61:BR124" si="194">$AU61*BF61</f>
        <v>0</v>
      </c>
      <c r="BS61" s="51">
        <f t="shared" ref="BS61:BS124" si="195">$AU61*BG61</f>
        <v>0</v>
      </c>
      <c r="BT61" s="51">
        <f t="shared" ref="BT61:BT124" si="196">$AU61*BH61</f>
        <v>0</v>
      </c>
      <c r="BU61" s="20">
        <f t="shared" ref="BU61:BU124" si="197">AVERAGE(AU59:AU61)</f>
        <v>4761.5583195590598</v>
      </c>
      <c r="BV61" s="20">
        <f t="shared" ref="BV61:BV124" si="198">AVERAGE(AU50:AU61)</f>
        <v>4761.4300733100326</v>
      </c>
      <c r="BW61" s="20">
        <f t="shared" ref="BW61:BW124" si="199">AU61*12</f>
        <v>57138.199830575388</v>
      </c>
      <c r="BX61" s="20">
        <f t="shared" ref="BX61:BX124" si="200">BU61*12</f>
        <v>57138.699834708721</v>
      </c>
      <c r="BY61" s="20">
        <f t="shared" ref="BY61:BY124" si="201">BV61*12</f>
        <v>57137.160879720395</v>
      </c>
      <c r="BZ61" s="21">
        <f t="shared" ref="BZ61:BZ124" si="202">IF(BY61&gt;0,AVERAGE(BW61:BY61), IF(BX61&gt;0,AVERAGE(BW61:BX61), BW61))</f>
        <v>57138.020181668166</v>
      </c>
      <c r="CA61" s="19">
        <f t="shared" si="47"/>
        <v>1428450.5045417042</v>
      </c>
      <c r="CB61" s="20">
        <f t="shared" ref="CB61:CB124" si="203">AVERAGE(CA59:CA61)</f>
        <v>1428462.081407964</v>
      </c>
      <c r="CC61" s="20">
        <f t="shared" ref="CC61:CC124" si="204">AVERAGE(CA50:CA61)</f>
        <v>1428433.5731486317</v>
      </c>
      <c r="CD61" s="20">
        <f t="shared" si="48"/>
        <v>0</v>
      </c>
      <c r="CE61" s="20">
        <f t="shared" si="113"/>
        <v>1400000</v>
      </c>
      <c r="CF61" s="20">
        <f t="shared" si="37"/>
        <v>127264.64416364052</v>
      </c>
      <c r="CG61" s="20">
        <f t="shared" ref="CG61:CG124" si="205">CA$11*CF61</f>
        <v>5090.5857665456206</v>
      </c>
      <c r="CH61" s="20">
        <f t="shared" si="39"/>
        <v>424.21548054546838</v>
      </c>
      <c r="CI61" s="20">
        <f t="shared" ref="CI61:CI124" si="206">AVERAGE(CF59:CF61)</f>
        <v>121181.74250107862</v>
      </c>
      <c r="CJ61" s="24">
        <f t="shared" ref="CJ61:CJ124" si="207">CF61/CB61</f>
        <v>8.9092070290169759E-2</v>
      </c>
      <c r="CK61" s="24">
        <f t="shared" ref="CK61:CK124" si="208">(CF61-CF60)/CF60</f>
        <v>5.0291367321455976E-2</v>
      </c>
      <c r="CL61" s="24">
        <f t="shared" ref="CL61:CL124" si="209">(CF61-CF58)/CF58</f>
        <v>0.16669401920249149</v>
      </c>
      <c r="CM61" s="25">
        <f t="shared" ref="CM61:CM124" si="210">(CF61-CF49)/CF49</f>
        <v>2.7053928988985457E-2</v>
      </c>
      <c r="CN61" s="17"/>
      <c r="CO61" s="17"/>
      <c r="CP61" s="17"/>
      <c r="CQ61" s="17"/>
      <c r="CR61" s="17"/>
      <c r="CS61" s="17"/>
      <c r="CT61" s="17"/>
      <c r="CU61" s="17"/>
      <c r="CV61" s="17"/>
      <c r="CW61" s="30">
        <v>0</v>
      </c>
      <c r="CX61" s="17"/>
      <c r="CY61" s="17"/>
      <c r="CZ61" s="17"/>
      <c r="DA61" s="17"/>
      <c r="DB61" s="17"/>
    </row>
    <row r="62" spans="1:106" ht="15.75" thickBot="1" x14ac:dyDescent="0.3">
      <c r="A62" s="5">
        <f t="shared" si="70"/>
        <v>28</v>
      </c>
      <c r="B62" s="5">
        <f t="shared" si="69"/>
        <v>27</v>
      </c>
      <c r="C62" s="1">
        <v>44105</v>
      </c>
      <c r="D62" s="4"/>
      <c r="E62" s="30"/>
      <c r="F62" s="30"/>
      <c r="G62" s="30"/>
      <c r="H62" s="30"/>
      <c r="I62" s="10">
        <v>0</v>
      </c>
      <c r="J62" s="60">
        <v>9000</v>
      </c>
      <c r="K62" s="11">
        <v>550</v>
      </c>
      <c r="L62" s="60">
        <f t="shared" si="72"/>
        <v>9363.4785335053366</v>
      </c>
      <c r="M62" s="11">
        <v>305</v>
      </c>
      <c r="N62" s="60">
        <v>0</v>
      </c>
      <c r="O62" s="11">
        <v>0</v>
      </c>
      <c r="P62" s="11">
        <v>0</v>
      </c>
      <c r="Q62" s="60">
        <f>(Q61*($K$1/12))+Q61 + $Q$6</f>
        <v>14132.819857890567</v>
      </c>
      <c r="R62" s="60">
        <f>(R61*($K$1/12))+R61</f>
        <v>5184.4005101142911</v>
      </c>
      <c r="S62" s="60">
        <f>(S61*($K$1/12))+S61</f>
        <v>4501.0996736735415</v>
      </c>
      <c r="T62" s="60">
        <f>(T61*($K$1/12))+T61+$T$6 + ((3%/12)*T$11)</f>
        <v>87325.302702161382</v>
      </c>
      <c r="U62" s="60">
        <f>(U61*$K$1/12) + U61 + ((U$11/12*7%))</f>
        <v>11837.554902000493</v>
      </c>
      <c r="V62" s="60">
        <v>3100</v>
      </c>
      <c r="W62" s="60">
        <f>(W61*($K$1/12))+W61+$W$6</f>
        <v>7789.1186189955124</v>
      </c>
      <c r="X62" s="11">
        <v>0</v>
      </c>
      <c r="Y62" s="60">
        <f>(Y61*($K$1/12))+Y61+$Y$6</f>
        <v>2621.2013880244504</v>
      </c>
      <c r="Z62" s="60">
        <f>'Mortgage and Loans'!U24</f>
        <v>31926.82</v>
      </c>
      <c r="AA62" s="12">
        <f t="shared" si="2"/>
        <v>187636.79618636559</v>
      </c>
      <c r="AB62" s="56">
        <f t="shared" si="181"/>
        <v>750</v>
      </c>
      <c r="AC62" s="56">
        <f t="shared" si="181"/>
        <v>750</v>
      </c>
      <c r="AD62" s="56">
        <f t="shared" si="181"/>
        <v>750</v>
      </c>
      <c r="AE62" s="56">
        <f t="shared" si="181"/>
        <v>750</v>
      </c>
      <c r="AF62" s="56">
        <f t="shared" si="74"/>
        <v>261.43007331003275</v>
      </c>
      <c r="AG62" s="56">
        <f t="shared" si="181"/>
        <v>750</v>
      </c>
      <c r="AH62" s="56">
        <f>'Mortgage and Loans'!AF19</f>
        <v>49345.137741334205</v>
      </c>
      <c r="AI62" s="56">
        <f>'Mortgage and Loans'!AQ19</f>
        <v>16344.829084742963</v>
      </c>
      <c r="AJ62" s="56">
        <f>'Mortgage and Loans'!BB19</f>
        <v>17587.647031748769</v>
      </c>
      <c r="AK62" s="56">
        <f>'Mortgage and Loans'!BM19</f>
        <v>14598.105657610109</v>
      </c>
      <c r="AL62" s="56">
        <f>'Mortgage and Loans'!T24</f>
        <v>148073.18</v>
      </c>
      <c r="AM62" s="12">
        <f t="shared" si="12"/>
        <v>-249960.32958874607</v>
      </c>
      <c r="AN62" s="75">
        <f t="shared" si="85"/>
        <v>-62323.533402380475</v>
      </c>
      <c r="AO62" s="86">
        <f>'Mortgage and Loans'!G25</f>
        <v>2884.34</v>
      </c>
      <c r="AP62" s="79">
        <f>('Salary Tax Breakdown'!B$16/12)-Data!AO62</f>
        <v>563.15999999999985</v>
      </c>
      <c r="AQ62" s="87"/>
      <c r="AR62" s="20">
        <f t="shared" si="182"/>
        <v>4011.4300733100326</v>
      </c>
      <c r="AS62" s="20">
        <v>750</v>
      </c>
      <c r="AT62" s="20">
        <v>0</v>
      </c>
      <c r="AU62" s="20">
        <f t="shared" si="183"/>
        <v>4761.4300733100326</v>
      </c>
      <c r="AV62" s="20">
        <f t="shared" si="184"/>
        <v>4761.818830509912</v>
      </c>
      <c r="AW62" s="51">
        <f t="shared" si="5"/>
        <v>0</v>
      </c>
      <c r="AX62" s="51">
        <f t="shared" si="14"/>
        <v>0</v>
      </c>
      <c r="AY62" s="51">
        <f t="shared" si="15"/>
        <v>0</v>
      </c>
      <c r="AZ62" s="51">
        <f t="shared" si="16"/>
        <v>0</v>
      </c>
      <c r="BA62" s="51">
        <f t="shared" si="17"/>
        <v>0</v>
      </c>
      <c r="BB62" s="51">
        <f t="shared" si="18"/>
        <v>0</v>
      </c>
      <c r="BC62" s="51">
        <f t="shared" si="19"/>
        <v>0</v>
      </c>
      <c r="BD62" s="51">
        <f t="shared" si="20"/>
        <v>0</v>
      </c>
      <c r="BE62" s="51">
        <f t="shared" si="21"/>
        <v>0</v>
      </c>
      <c r="BF62" s="51">
        <f t="shared" si="22"/>
        <v>0</v>
      </c>
      <c r="BG62" s="51">
        <f t="shared" si="23"/>
        <v>0</v>
      </c>
      <c r="BH62" s="51">
        <f t="shared" si="24"/>
        <v>0</v>
      </c>
      <c r="BI62" s="51">
        <f t="shared" si="185"/>
        <v>0</v>
      </c>
      <c r="BJ62" s="51">
        <f t="shared" si="186"/>
        <v>0</v>
      </c>
      <c r="BK62" s="51">
        <f t="shared" si="187"/>
        <v>0</v>
      </c>
      <c r="BL62" s="51">
        <f t="shared" si="188"/>
        <v>0</v>
      </c>
      <c r="BM62" s="51">
        <f t="shared" si="189"/>
        <v>0</v>
      </c>
      <c r="BN62" s="51">
        <f t="shared" si="190"/>
        <v>0</v>
      </c>
      <c r="BO62" s="51">
        <f t="shared" si="191"/>
        <v>0</v>
      </c>
      <c r="BP62" s="51">
        <f t="shared" si="192"/>
        <v>0</v>
      </c>
      <c r="BQ62" s="51">
        <f t="shared" si="193"/>
        <v>0</v>
      </c>
      <c r="BR62" s="51">
        <f t="shared" si="194"/>
        <v>0</v>
      </c>
      <c r="BS62" s="51">
        <f t="shared" si="195"/>
        <v>0</v>
      </c>
      <c r="BT62" s="51">
        <f t="shared" si="196"/>
        <v>0</v>
      </c>
      <c r="BU62" s="20">
        <f t="shared" si="197"/>
        <v>4761.5079812995782</v>
      </c>
      <c r="BV62" s="20">
        <f t="shared" si="198"/>
        <v>4761.3976768767097</v>
      </c>
      <c r="BW62" s="20">
        <f t="shared" si="199"/>
        <v>57137.160879720395</v>
      </c>
      <c r="BX62" s="20">
        <f t="shared" si="200"/>
        <v>57138.095775594935</v>
      </c>
      <c r="BY62" s="20">
        <f t="shared" si="201"/>
        <v>57136.772122520517</v>
      </c>
      <c r="BZ62" s="21">
        <f t="shared" si="202"/>
        <v>57137.342925945275</v>
      </c>
      <c r="CA62" s="19">
        <f t="shared" si="47"/>
        <v>1428433.573148632</v>
      </c>
      <c r="CB62" s="20">
        <f t="shared" si="203"/>
        <v>1428450.1247114874</v>
      </c>
      <c r="CC62" s="20">
        <f t="shared" si="204"/>
        <v>1428423.6420478784</v>
      </c>
      <c r="CD62" s="20">
        <f t="shared" si="48"/>
        <v>0</v>
      </c>
      <c r="CE62" s="20">
        <f t="shared" si="113"/>
        <v>1400000</v>
      </c>
      <c r="CF62" s="20">
        <f t="shared" si="37"/>
        <v>133391.49765286024</v>
      </c>
      <c r="CG62" s="20">
        <f t="shared" si="205"/>
        <v>5335.6599061144098</v>
      </c>
      <c r="CH62" s="20">
        <f t="shared" si="39"/>
        <v>444.63832550953413</v>
      </c>
      <c r="CI62" s="20">
        <f t="shared" si="206"/>
        <v>127275.64693962614</v>
      </c>
      <c r="CJ62" s="24">
        <f t="shared" si="207"/>
        <v>9.3381977673040642E-2</v>
      </c>
      <c r="CK62" s="24">
        <f t="shared" si="208"/>
        <v>4.8142620674298489E-2</v>
      </c>
      <c r="CL62" s="24">
        <f t="shared" si="209"/>
        <v>0.15881980338079435</v>
      </c>
      <c r="CM62" s="25">
        <f t="shared" si="210"/>
        <v>5.6801920555663139E-2</v>
      </c>
      <c r="CN62" s="17"/>
      <c r="CO62" s="17"/>
      <c r="CP62" s="17"/>
      <c r="CQ62" s="17"/>
      <c r="CR62" s="17"/>
      <c r="CS62" s="17"/>
      <c r="CT62" s="17"/>
      <c r="CU62" s="17"/>
      <c r="CV62" s="17"/>
      <c r="CW62" s="30">
        <v>0</v>
      </c>
      <c r="CX62" s="17"/>
      <c r="CY62" s="17"/>
      <c r="CZ62" s="17"/>
      <c r="DA62" s="17"/>
      <c r="DB62" s="17"/>
    </row>
    <row r="63" spans="1:106" ht="15.75" thickBot="1" x14ac:dyDescent="0.3">
      <c r="A63" s="5">
        <f t="shared" si="70"/>
        <v>28</v>
      </c>
      <c r="B63" s="5">
        <f t="shared" si="69"/>
        <v>27</v>
      </c>
      <c r="C63" s="1">
        <v>44136</v>
      </c>
      <c r="D63" s="4"/>
      <c r="E63" s="30"/>
      <c r="F63" s="30"/>
      <c r="G63" s="30"/>
      <c r="H63" s="30"/>
      <c r="I63" s="10">
        <v>0</v>
      </c>
      <c r="J63" s="60">
        <v>9000</v>
      </c>
      <c r="K63" s="11">
        <v>550</v>
      </c>
      <c r="L63" s="60">
        <f t="shared" si="72"/>
        <v>9374.7927367333214</v>
      </c>
      <c r="M63" s="11">
        <v>305</v>
      </c>
      <c r="N63" s="60">
        <v>0</v>
      </c>
      <c r="O63" s="11">
        <v>0</v>
      </c>
      <c r="P63" s="11">
        <v>0</v>
      </c>
      <c r="Q63" s="60">
        <f>(Q62*($K$1/12))+Q62 + $Q$6</f>
        <v>15126.042632120807</v>
      </c>
      <c r="R63" s="60">
        <f>(R62*($K$1/12))+R62</f>
        <v>5212.4826795440767</v>
      </c>
      <c r="S63" s="60">
        <f>(S62*($K$1/12))+S62</f>
        <v>4525.4806302392735</v>
      </c>
      <c r="T63" s="60">
        <f>(T62*($K$1/12))+T62+$T$6 + ((3%/12)*T$11)</f>
        <v>90973.314758464752</v>
      </c>
      <c r="U63" s="60">
        <f>(U62*$K$1/12) + U62 + ((U$11/12*7%))</f>
        <v>12310.00832438633</v>
      </c>
      <c r="V63" s="60">
        <v>3100</v>
      </c>
      <c r="W63" s="60">
        <f>(W62*($K$1/12))+W62+$W$6</f>
        <v>8118.8096781817385</v>
      </c>
      <c r="X63" s="11">
        <v>0</v>
      </c>
      <c r="Y63" s="60">
        <f>(Y62*($K$1/12))+Y62+$Y$6</f>
        <v>3285.3995622095827</v>
      </c>
      <c r="Z63" s="60">
        <f>'Mortgage and Loans'!U25</f>
        <v>32144.61</v>
      </c>
      <c r="AA63" s="12">
        <f t="shared" si="2"/>
        <v>194025.94100187987</v>
      </c>
      <c r="AB63" s="56">
        <f t="shared" si="181"/>
        <v>750</v>
      </c>
      <c r="AC63" s="56">
        <f t="shared" si="181"/>
        <v>750</v>
      </c>
      <c r="AD63" s="56">
        <f t="shared" si="181"/>
        <v>750</v>
      </c>
      <c r="AE63" s="56">
        <f t="shared" si="181"/>
        <v>750</v>
      </c>
      <c r="AF63" s="56">
        <f t="shared" si="74"/>
        <v>261.39767687670945</v>
      </c>
      <c r="AG63" s="56">
        <f t="shared" si="181"/>
        <v>750</v>
      </c>
      <c r="AH63" s="56">
        <f>'Mortgage and Loans'!AF20</f>
        <v>49018.707741334205</v>
      </c>
      <c r="AI63" s="56">
        <f>'Mortgage and Loans'!AQ20</f>
        <v>16240.509084742964</v>
      </c>
      <c r="AJ63" s="56">
        <f>'Mortgage and Loans'!BB20</f>
        <v>17478.317031748767</v>
      </c>
      <c r="AK63" s="56">
        <f>'Mortgage and Loans'!BM20</f>
        <v>13461.755657610109</v>
      </c>
      <c r="AL63" s="56">
        <f>'Mortgage and Loans'!T25</f>
        <v>147855.38999999998</v>
      </c>
      <c r="AM63" s="12">
        <f t="shared" si="12"/>
        <v>-248066.07719231275</v>
      </c>
      <c r="AN63" s="75">
        <f t="shared" si="85"/>
        <v>-54040.136190432881</v>
      </c>
      <c r="AO63" s="86">
        <f>'Mortgage and Loans'!G26</f>
        <v>2884.34</v>
      </c>
      <c r="AP63" s="79">
        <f>('Salary Tax Breakdown'!B$16/12)-Data!AO63</f>
        <v>563.15999999999985</v>
      </c>
      <c r="AQ63" s="87"/>
      <c r="AR63" s="20">
        <f t="shared" si="182"/>
        <v>4011.3976768767093</v>
      </c>
      <c r="AS63" s="20">
        <v>750</v>
      </c>
      <c r="AT63" s="20">
        <v>0</v>
      </c>
      <c r="AU63" s="20">
        <f t="shared" si="183"/>
        <v>4761.3976768767097</v>
      </c>
      <c r="AV63" s="20">
        <f t="shared" si="184"/>
        <v>4761.4824871110795</v>
      </c>
      <c r="AW63" s="51">
        <f t="shared" si="5"/>
        <v>0</v>
      </c>
      <c r="AX63" s="51">
        <f t="shared" si="14"/>
        <v>0</v>
      </c>
      <c r="AY63" s="51">
        <f t="shared" si="15"/>
        <v>0</v>
      </c>
      <c r="AZ63" s="51">
        <f t="shared" si="16"/>
        <v>0</v>
      </c>
      <c r="BA63" s="51">
        <f t="shared" si="17"/>
        <v>0</v>
      </c>
      <c r="BB63" s="51">
        <f t="shared" si="18"/>
        <v>0</v>
      </c>
      <c r="BC63" s="51">
        <f t="shared" si="19"/>
        <v>0</v>
      </c>
      <c r="BD63" s="51">
        <f t="shared" si="20"/>
        <v>0</v>
      </c>
      <c r="BE63" s="51">
        <f t="shared" si="21"/>
        <v>0</v>
      </c>
      <c r="BF63" s="51">
        <f t="shared" si="22"/>
        <v>0</v>
      </c>
      <c r="BG63" s="51">
        <f t="shared" si="23"/>
        <v>0</v>
      </c>
      <c r="BH63" s="51">
        <f t="shared" si="24"/>
        <v>0</v>
      </c>
      <c r="BI63" s="51">
        <f t="shared" si="185"/>
        <v>0</v>
      </c>
      <c r="BJ63" s="51">
        <f t="shared" si="186"/>
        <v>0</v>
      </c>
      <c r="BK63" s="51">
        <f t="shared" si="187"/>
        <v>0</v>
      </c>
      <c r="BL63" s="51">
        <f t="shared" si="188"/>
        <v>0</v>
      </c>
      <c r="BM63" s="51">
        <f t="shared" si="189"/>
        <v>0</v>
      </c>
      <c r="BN63" s="51">
        <f t="shared" si="190"/>
        <v>0</v>
      </c>
      <c r="BO63" s="51">
        <f t="shared" si="191"/>
        <v>0</v>
      </c>
      <c r="BP63" s="51">
        <f t="shared" si="192"/>
        <v>0</v>
      </c>
      <c r="BQ63" s="51">
        <f t="shared" si="193"/>
        <v>0</v>
      </c>
      <c r="BR63" s="51">
        <f t="shared" si="194"/>
        <v>0</v>
      </c>
      <c r="BS63" s="51">
        <f t="shared" si="195"/>
        <v>0</v>
      </c>
      <c r="BT63" s="51">
        <f t="shared" si="196"/>
        <v>0</v>
      </c>
      <c r="BU63" s="20">
        <f t="shared" si="197"/>
        <v>4761.4481342448971</v>
      </c>
      <c r="BV63" s="20">
        <f t="shared" si="198"/>
        <v>4761.3906093571795</v>
      </c>
      <c r="BW63" s="20">
        <f t="shared" si="199"/>
        <v>57136.772122520517</v>
      </c>
      <c r="BX63" s="20">
        <f t="shared" si="200"/>
        <v>57137.377610938769</v>
      </c>
      <c r="BY63" s="20">
        <f t="shared" si="201"/>
        <v>57136.687312286158</v>
      </c>
      <c r="BZ63" s="21">
        <f t="shared" si="202"/>
        <v>57136.945681915153</v>
      </c>
      <c r="CA63" s="19">
        <f t="shared" si="47"/>
        <v>1428423.6420478788</v>
      </c>
      <c r="CB63" s="20">
        <f t="shared" si="203"/>
        <v>1428435.9065794051</v>
      </c>
      <c r="CC63" s="20">
        <f t="shared" si="204"/>
        <v>1428417.7624514271</v>
      </c>
      <c r="CD63" s="20">
        <f t="shared" si="48"/>
        <v>0</v>
      </c>
      <c r="CE63" s="20">
        <f t="shared" si="113"/>
        <v>1400000</v>
      </c>
      <c r="CF63" s="20">
        <f t="shared" si="37"/>
        <v>139551.53826514655</v>
      </c>
      <c r="CG63" s="20">
        <f t="shared" si="205"/>
        <v>5582.0615306058617</v>
      </c>
      <c r="CH63" s="20">
        <f t="shared" si="39"/>
        <v>465.17179421715514</v>
      </c>
      <c r="CI63" s="20">
        <f t="shared" si="206"/>
        <v>133402.56002721578</v>
      </c>
      <c r="CJ63" s="24">
        <f t="shared" si="207"/>
        <v>9.7695344693009542E-2</v>
      </c>
      <c r="CK63" s="24">
        <f t="shared" si="208"/>
        <v>4.6180159310582711E-2</v>
      </c>
      <c r="CL63" s="24">
        <f t="shared" si="209"/>
        <v>0.15169281224602837</v>
      </c>
      <c r="CM63" s="25">
        <f t="shared" si="210"/>
        <v>8.5633392434213543E-2</v>
      </c>
      <c r="CN63" s="17"/>
      <c r="CO63" s="17"/>
      <c r="CP63" s="17"/>
      <c r="CQ63" s="17"/>
      <c r="CR63" s="17"/>
      <c r="CS63" s="17"/>
      <c r="CT63" s="17"/>
      <c r="CU63" s="17"/>
      <c r="CV63" s="17"/>
      <c r="CW63" s="30">
        <v>0</v>
      </c>
      <c r="CX63" s="17"/>
      <c r="CY63" s="17"/>
      <c r="CZ63" s="17"/>
      <c r="DA63" s="17"/>
      <c r="DB63" s="17"/>
    </row>
    <row r="64" spans="1:106" ht="15.75" thickBot="1" x14ac:dyDescent="0.3">
      <c r="A64" s="5">
        <f t="shared" si="70"/>
        <v>29</v>
      </c>
      <c r="B64" s="5">
        <f t="shared" si="69"/>
        <v>27</v>
      </c>
      <c r="C64" s="1">
        <v>44166</v>
      </c>
      <c r="D64" s="4"/>
      <c r="E64" s="30"/>
      <c r="F64" s="30"/>
      <c r="G64" s="30"/>
      <c r="H64" s="30"/>
      <c r="I64" s="10">
        <v>0</v>
      </c>
      <c r="J64" s="60">
        <v>9000</v>
      </c>
      <c r="K64" s="11">
        <v>550</v>
      </c>
      <c r="L64" s="60">
        <f t="shared" si="72"/>
        <v>9386.1206112902073</v>
      </c>
      <c r="M64" s="11">
        <v>305</v>
      </c>
      <c r="N64" s="60">
        <v>0</v>
      </c>
      <c r="O64" s="11">
        <v>0</v>
      </c>
      <c r="P64" s="11">
        <v>0</v>
      </c>
      <c r="Q64" s="60">
        <f>(Q63*($K$1/12))+Q63 + $Q$6</f>
        <v>16124.645363044794</v>
      </c>
      <c r="R64" s="60">
        <f>(R63*($K$1/12))+R63</f>
        <v>5240.7169607249407</v>
      </c>
      <c r="S64" s="60">
        <f>(S63*($K$1/12))+S63</f>
        <v>4549.9936503197359</v>
      </c>
      <c r="T64" s="60">
        <f>(T63*($K$1/12))+T63+$T$6 + ((3%/12)*T$11)</f>
        <v>94641.086880073097</v>
      </c>
      <c r="U64" s="60">
        <f>(U63*$K$1/12) + U63 + ((U$11/12*7%))</f>
        <v>12785.020869476757</v>
      </c>
      <c r="V64" s="60">
        <v>3100</v>
      </c>
      <c r="W64" s="60">
        <f>(W63*($K$1/12))+W63+$W$6</f>
        <v>8450.2865639385564</v>
      </c>
      <c r="X64" s="11">
        <v>0</v>
      </c>
      <c r="Y64" s="60">
        <f>(Y63*($K$1/12))+Y63+$Y$6</f>
        <v>3953.1954765048845</v>
      </c>
      <c r="Z64" s="60">
        <f>'Mortgage and Loans'!U26</f>
        <v>32363.15</v>
      </c>
      <c r="AA64" s="12">
        <f t="shared" si="2"/>
        <v>200449.21637537295</v>
      </c>
      <c r="AB64" s="56">
        <f t="shared" si="181"/>
        <v>750</v>
      </c>
      <c r="AC64" s="56">
        <f t="shared" si="181"/>
        <v>750</v>
      </c>
      <c r="AD64" s="56">
        <f t="shared" si="181"/>
        <v>750</v>
      </c>
      <c r="AE64" s="56">
        <f t="shared" si="181"/>
        <v>750</v>
      </c>
      <c r="AF64" s="56">
        <f t="shared" si="74"/>
        <v>261.39060935717862</v>
      </c>
      <c r="AG64" s="56">
        <f t="shared" si="181"/>
        <v>750</v>
      </c>
      <c r="AH64" s="56">
        <f>'Mortgage and Loans'!AF21</f>
        <v>48690.837741334202</v>
      </c>
      <c r="AI64" s="56">
        <f>'Mortgage and Loans'!AQ21</f>
        <v>16135.669084742964</v>
      </c>
      <c r="AJ64" s="56">
        <f>'Mortgage and Loans'!BB21</f>
        <v>17368.387031748767</v>
      </c>
      <c r="AK64" s="56">
        <f>'Mortgage and Loans'!BM21</f>
        <v>12318.775657610109</v>
      </c>
      <c r="AL64" s="56">
        <f>'Mortgage and Loans'!T26</f>
        <v>147636.84999999998</v>
      </c>
      <c r="AM64" s="12">
        <f t="shared" si="12"/>
        <v>-246161.91012479318</v>
      </c>
      <c r="AN64" s="75">
        <f t="shared" si="85"/>
        <v>-45712.693749420228</v>
      </c>
      <c r="AO64" s="86">
        <f>'Mortgage and Loans'!G27</f>
        <v>2884.34</v>
      </c>
      <c r="AP64" s="79">
        <f>('Salary Tax Breakdown'!B$16/12)-Data!AO64</f>
        <v>563.15999999999985</v>
      </c>
      <c r="AQ64" s="87"/>
      <c r="AR64" s="20">
        <f t="shared" si="182"/>
        <v>4011.3906093571786</v>
      </c>
      <c r="AS64" s="20">
        <v>750</v>
      </c>
      <c r="AT64" s="20">
        <v>0</v>
      </c>
      <c r="AU64" s="20">
        <f t="shared" si="183"/>
        <v>4761.3906093571786</v>
      </c>
      <c r="AV64" s="20">
        <f t="shared" si="184"/>
        <v>4761.5071779339005</v>
      </c>
      <c r="AW64" s="51">
        <f t="shared" si="5"/>
        <v>0</v>
      </c>
      <c r="AX64" s="51">
        <f t="shared" si="14"/>
        <v>0</v>
      </c>
      <c r="AY64" s="51">
        <f t="shared" si="15"/>
        <v>0</v>
      </c>
      <c r="AZ64" s="51">
        <f t="shared" si="16"/>
        <v>0</v>
      </c>
      <c r="BA64" s="51">
        <f t="shared" si="17"/>
        <v>0</v>
      </c>
      <c r="BB64" s="51">
        <f t="shared" si="18"/>
        <v>0</v>
      </c>
      <c r="BC64" s="51">
        <f t="shared" si="19"/>
        <v>0</v>
      </c>
      <c r="BD64" s="51">
        <f t="shared" si="20"/>
        <v>0</v>
      </c>
      <c r="BE64" s="51">
        <f t="shared" si="21"/>
        <v>0</v>
      </c>
      <c r="BF64" s="51">
        <f t="shared" si="22"/>
        <v>0</v>
      </c>
      <c r="BG64" s="51">
        <f t="shared" si="23"/>
        <v>0</v>
      </c>
      <c r="BH64" s="51">
        <f t="shared" si="24"/>
        <v>0</v>
      </c>
      <c r="BI64" s="51">
        <f t="shared" si="185"/>
        <v>0</v>
      </c>
      <c r="BJ64" s="51">
        <f t="shared" si="186"/>
        <v>0</v>
      </c>
      <c r="BK64" s="51">
        <f t="shared" si="187"/>
        <v>0</v>
      </c>
      <c r="BL64" s="51">
        <f t="shared" si="188"/>
        <v>0</v>
      </c>
      <c r="BM64" s="51">
        <f t="shared" si="189"/>
        <v>0</v>
      </c>
      <c r="BN64" s="51">
        <f t="shared" si="190"/>
        <v>0</v>
      </c>
      <c r="BO64" s="51">
        <f t="shared" si="191"/>
        <v>0</v>
      </c>
      <c r="BP64" s="51">
        <f t="shared" si="192"/>
        <v>0</v>
      </c>
      <c r="BQ64" s="51">
        <f t="shared" si="193"/>
        <v>0</v>
      </c>
      <c r="BR64" s="51">
        <f t="shared" si="194"/>
        <v>0</v>
      </c>
      <c r="BS64" s="51">
        <f t="shared" si="195"/>
        <v>0</v>
      </c>
      <c r="BT64" s="51">
        <f t="shared" si="196"/>
        <v>0</v>
      </c>
      <c r="BU64" s="20">
        <f t="shared" si="197"/>
        <v>4761.4061198479731</v>
      </c>
      <c r="BV64" s="20">
        <f t="shared" si="198"/>
        <v>4761.3808953091184</v>
      </c>
      <c r="BW64" s="20">
        <f t="shared" si="199"/>
        <v>57136.687312286143</v>
      </c>
      <c r="BX64" s="20">
        <f t="shared" si="200"/>
        <v>57136.87343817568</v>
      </c>
      <c r="BY64" s="20">
        <f t="shared" si="201"/>
        <v>57136.570743709424</v>
      </c>
      <c r="BZ64" s="21">
        <f t="shared" si="202"/>
        <v>57136.71049805708</v>
      </c>
      <c r="CA64" s="19">
        <f t="shared" si="47"/>
        <v>1428417.7624514271</v>
      </c>
      <c r="CB64" s="20">
        <f t="shared" si="203"/>
        <v>1428424.9925493125</v>
      </c>
      <c r="CC64" s="20">
        <f t="shared" si="204"/>
        <v>1428416.0481763885</v>
      </c>
      <c r="CD64" s="20">
        <f t="shared" si="48"/>
        <v>0</v>
      </c>
      <c r="CE64" s="20">
        <f t="shared" si="113"/>
        <v>1400000</v>
      </c>
      <c r="CF64" s="20">
        <f t="shared" si="37"/>
        <v>145744.94576408275</v>
      </c>
      <c r="CG64" s="20">
        <f t="shared" si="205"/>
        <v>5829.7978305633096</v>
      </c>
      <c r="CH64" s="20">
        <f t="shared" si="39"/>
        <v>485.81648588027582</v>
      </c>
      <c r="CI64" s="20">
        <f t="shared" si="206"/>
        <v>139562.6605606965</v>
      </c>
      <c r="CJ64" s="24">
        <f t="shared" si="207"/>
        <v>0.10203192083888947</v>
      </c>
      <c r="CK64" s="24">
        <f t="shared" si="208"/>
        <v>4.4380789892611468E-2</v>
      </c>
      <c r="CL64" s="24">
        <f t="shared" si="209"/>
        <v>0.14521159212671608</v>
      </c>
      <c r="CM64" s="25">
        <f t="shared" si="210"/>
        <v>0.11358965653408455</v>
      </c>
      <c r="CN64" s="17"/>
      <c r="CO64" s="17"/>
      <c r="CP64" s="17"/>
      <c r="CQ64" s="17"/>
      <c r="CR64" s="17"/>
      <c r="CS64" s="17"/>
      <c r="CT64" s="17"/>
      <c r="CU64" s="17"/>
      <c r="CV64" s="17"/>
      <c r="CW64" s="30">
        <v>0</v>
      </c>
      <c r="CX64" s="17"/>
      <c r="CY64" s="17"/>
      <c r="CZ64" s="17"/>
      <c r="DA64" s="17"/>
      <c r="DB64" s="17"/>
    </row>
    <row r="65" spans="1:106" ht="15.75" thickBot="1" x14ac:dyDescent="0.3">
      <c r="A65" s="5">
        <f t="shared" si="70"/>
        <v>29</v>
      </c>
      <c r="B65" s="5">
        <f t="shared" si="69"/>
        <v>27</v>
      </c>
      <c r="C65" s="1">
        <v>44197</v>
      </c>
      <c r="D65" s="4"/>
      <c r="E65" s="30"/>
      <c r="F65" s="30"/>
      <c r="G65" s="30">
        <f t="shared" ref="G59:G122" si="211">IF(F65=0,IF(F329=1,1,0),0)</f>
        <v>0</v>
      </c>
      <c r="H65" s="30"/>
      <c r="I65" s="10">
        <v>0</v>
      </c>
      <c r="J65" s="60">
        <v>9000</v>
      </c>
      <c r="K65" s="11">
        <v>550</v>
      </c>
      <c r="L65" s="60">
        <f t="shared" si="72"/>
        <v>9397.462173695516</v>
      </c>
      <c r="M65" s="11">
        <v>305</v>
      </c>
      <c r="N65" s="60">
        <v>0</v>
      </c>
      <c r="O65" s="11">
        <v>0</v>
      </c>
      <c r="P65" s="11">
        <v>0</v>
      </c>
      <c r="Q65" s="60">
        <f>(Q64*($K$1/12))+Q64 + $Q$6</f>
        <v>17128.657192094619</v>
      </c>
      <c r="R65" s="60">
        <f>(R64*($K$1/12))+R64</f>
        <v>5269.1041775955346</v>
      </c>
      <c r="S65" s="60">
        <f>(S64*($K$1/12))+S64</f>
        <v>4574.6394492589679</v>
      </c>
      <c r="T65" s="60">
        <f>(T64*($K$1/12))+T64+$T$6 + ((3%/12)*T$11)</f>
        <v>98328.726100673492</v>
      </c>
      <c r="U65" s="60">
        <f>(U64*$K$1/12) + U64 + ((U$11/12*7%))</f>
        <v>13262.606399186423</v>
      </c>
      <c r="V65" s="60">
        <v>3100</v>
      </c>
      <c r="W65" s="60">
        <f>(W64*($K$1/12))+W64+$W$6</f>
        <v>8783.5589494932228</v>
      </c>
      <c r="X65" s="11">
        <v>0</v>
      </c>
      <c r="Y65" s="60">
        <f>(Y64*($K$1/12))+Y64+$Y$6</f>
        <v>4624.6086186692864</v>
      </c>
      <c r="Z65" s="60">
        <f>'Mortgage and Loans'!U27</f>
        <v>32582.44</v>
      </c>
      <c r="AA65" s="12">
        <f t="shared" si="2"/>
        <v>206906.80306066707</v>
      </c>
      <c r="AB65" s="56">
        <f t="shared" si="181"/>
        <v>750</v>
      </c>
      <c r="AC65" s="56">
        <f t="shared" si="181"/>
        <v>750</v>
      </c>
      <c r="AD65" s="56">
        <f t="shared" si="181"/>
        <v>750</v>
      </c>
      <c r="AE65" s="56">
        <f t="shared" si="181"/>
        <v>750</v>
      </c>
      <c r="AF65" s="56">
        <f t="shared" si="74"/>
        <v>261.38089530911844</v>
      </c>
      <c r="AG65" s="56">
        <f t="shared" si="181"/>
        <v>750</v>
      </c>
      <c r="AH65" s="56">
        <f>'Mortgage and Loans'!AF22</f>
        <v>48361.517741334203</v>
      </c>
      <c r="AI65" s="56">
        <f>'Mortgage and Loans'!AQ22</f>
        <v>16030.309084742963</v>
      </c>
      <c r="AJ65" s="56">
        <f>'Mortgage and Loans'!BB22</f>
        <v>17257.867031748767</v>
      </c>
      <c r="AK65" s="56">
        <f>'Mortgage and Loans'!BM22</f>
        <v>11169.12565761011</v>
      </c>
      <c r="AL65" s="56">
        <f>'Mortgage and Loans'!T27</f>
        <v>147417.55999999997</v>
      </c>
      <c r="AM65" s="12">
        <f t="shared" si="12"/>
        <v>-244247.76041074513</v>
      </c>
      <c r="AN65" s="75">
        <f t="shared" si="85"/>
        <v>-37340.957350078068</v>
      </c>
      <c r="AO65" s="86">
        <f>'Mortgage and Loans'!G28</f>
        <v>2884.34</v>
      </c>
      <c r="AP65" s="79">
        <f>('Salary Tax Breakdown'!B$16/12)-Data!AO65</f>
        <v>563.15999999999985</v>
      </c>
      <c r="AQ65" s="87"/>
      <c r="AR65" s="20">
        <f t="shared" si="182"/>
        <v>4011.3808953091184</v>
      </c>
      <c r="AS65" s="20">
        <v>750</v>
      </c>
      <c r="AT65" s="20">
        <v>0</v>
      </c>
      <c r="AU65" s="20">
        <f t="shared" si="183"/>
        <v>4761.3808953091184</v>
      </c>
      <c r="AV65" s="20">
        <f t="shared" si="184"/>
        <v>4761.2733277333646</v>
      </c>
      <c r="AW65" s="51">
        <f t="shared" si="5"/>
        <v>0</v>
      </c>
      <c r="AX65" s="51">
        <f t="shared" si="14"/>
        <v>0</v>
      </c>
      <c r="AY65" s="51">
        <f t="shared" si="15"/>
        <v>0</v>
      </c>
      <c r="AZ65" s="51">
        <f t="shared" si="16"/>
        <v>0</v>
      </c>
      <c r="BA65" s="51">
        <f t="shared" si="17"/>
        <v>0</v>
      </c>
      <c r="BB65" s="51">
        <f t="shared" si="18"/>
        <v>0</v>
      </c>
      <c r="BC65" s="51">
        <f t="shared" si="19"/>
        <v>0</v>
      </c>
      <c r="BD65" s="51">
        <f t="shared" si="20"/>
        <v>0</v>
      </c>
      <c r="BE65" s="51">
        <f t="shared" si="21"/>
        <v>0</v>
      </c>
      <c r="BF65" s="51">
        <f t="shared" si="22"/>
        <v>0</v>
      </c>
      <c r="BG65" s="51">
        <f t="shared" si="23"/>
        <v>0</v>
      </c>
      <c r="BH65" s="51">
        <f t="shared" si="24"/>
        <v>0</v>
      </c>
      <c r="BI65" s="51">
        <f t="shared" si="185"/>
        <v>0</v>
      </c>
      <c r="BJ65" s="51">
        <f t="shared" si="186"/>
        <v>0</v>
      </c>
      <c r="BK65" s="51">
        <f t="shared" si="187"/>
        <v>0</v>
      </c>
      <c r="BL65" s="51">
        <f t="shared" si="188"/>
        <v>0</v>
      </c>
      <c r="BM65" s="51">
        <f t="shared" si="189"/>
        <v>0</v>
      </c>
      <c r="BN65" s="51">
        <f t="shared" si="190"/>
        <v>0</v>
      </c>
      <c r="BO65" s="51">
        <f t="shared" si="191"/>
        <v>0</v>
      </c>
      <c r="BP65" s="51">
        <f t="shared" si="192"/>
        <v>0</v>
      </c>
      <c r="BQ65" s="51">
        <f t="shared" si="193"/>
        <v>0</v>
      </c>
      <c r="BR65" s="51">
        <f t="shared" si="194"/>
        <v>0</v>
      </c>
      <c r="BS65" s="51">
        <f t="shared" si="195"/>
        <v>0</v>
      </c>
      <c r="BT65" s="51">
        <f t="shared" si="196"/>
        <v>0</v>
      </c>
      <c r="BU65" s="20">
        <f t="shared" si="197"/>
        <v>4761.3897271810019</v>
      </c>
      <c r="BV65" s="20">
        <f t="shared" si="198"/>
        <v>4761.3898592737651</v>
      </c>
      <c r="BW65" s="20">
        <f t="shared" si="199"/>
        <v>57136.570743709424</v>
      </c>
      <c r="BX65" s="20">
        <f t="shared" si="200"/>
        <v>57136.676726172023</v>
      </c>
      <c r="BY65" s="20">
        <f t="shared" si="201"/>
        <v>57136.678311285184</v>
      </c>
      <c r="BZ65" s="21">
        <f t="shared" si="202"/>
        <v>57136.641927055549</v>
      </c>
      <c r="CA65" s="19">
        <f t="shared" si="47"/>
        <v>1428416.0481763887</v>
      </c>
      <c r="CB65" s="20">
        <f t="shared" si="203"/>
        <v>1428419.1508918982</v>
      </c>
      <c r="CC65" s="20">
        <f t="shared" si="204"/>
        <v>1428421.1599440419</v>
      </c>
      <c r="CD65" s="20">
        <f t="shared" si="48"/>
        <v>0</v>
      </c>
      <c r="CE65" s="20">
        <f t="shared" si="113"/>
        <v>1400000</v>
      </c>
      <c r="CF65" s="20">
        <f t="shared" si="37"/>
        <v>151971.90088697156</v>
      </c>
      <c r="CG65" s="20">
        <f t="shared" si="205"/>
        <v>6078.8760354788628</v>
      </c>
      <c r="CH65" s="20">
        <f t="shared" si="39"/>
        <v>506.57300295657188</v>
      </c>
      <c r="CI65" s="20">
        <f t="shared" si="206"/>
        <v>145756.12830540029</v>
      </c>
      <c r="CJ65" s="24">
        <f t="shared" si="207"/>
        <v>0.1063916713746669</v>
      </c>
      <c r="CK65" s="24">
        <f t="shared" si="208"/>
        <v>4.2725015884724979E-2</v>
      </c>
      <c r="CL65" s="24">
        <f t="shared" si="209"/>
        <v>0.13929226045924756</v>
      </c>
      <c r="CM65" s="25">
        <f t="shared" si="210"/>
        <v>0.54892672934532527</v>
      </c>
      <c r="CN65" s="17"/>
      <c r="CO65" s="17"/>
      <c r="CP65" s="17"/>
      <c r="CQ65" s="17"/>
      <c r="CR65" s="17"/>
      <c r="CS65" s="17"/>
      <c r="CT65" s="17"/>
      <c r="CU65" s="17"/>
      <c r="CV65" s="17"/>
      <c r="CW65" s="30">
        <v>0</v>
      </c>
      <c r="CX65" s="17"/>
      <c r="CY65" s="17"/>
      <c r="CZ65" s="17"/>
      <c r="DA65" s="17"/>
      <c r="DB65" s="17"/>
    </row>
    <row r="66" spans="1:106" ht="15.75" thickBot="1" x14ac:dyDescent="0.3">
      <c r="A66" s="5">
        <f t="shared" si="70"/>
        <v>29</v>
      </c>
      <c r="B66" s="5">
        <f t="shared" si="69"/>
        <v>27</v>
      </c>
      <c r="C66" s="1">
        <v>44228</v>
      </c>
      <c r="D66" s="4"/>
      <c r="E66" s="30"/>
      <c r="F66" s="30"/>
      <c r="G66" s="30">
        <f t="shared" si="211"/>
        <v>0</v>
      </c>
      <c r="H66" s="30"/>
      <c r="I66" s="10">
        <v>0</v>
      </c>
      <c r="J66" s="60">
        <v>9000</v>
      </c>
      <c r="K66" s="11">
        <v>550</v>
      </c>
      <c r="L66" s="60">
        <f t="shared" si="72"/>
        <v>9408.8174404887304</v>
      </c>
      <c r="M66" s="11">
        <v>305</v>
      </c>
      <c r="N66" s="60">
        <v>0</v>
      </c>
      <c r="O66" s="11">
        <v>0</v>
      </c>
      <c r="P66" s="11">
        <v>0</v>
      </c>
      <c r="Q66" s="60">
        <f>(Q65*($K$1/12))+Q65 + $Q$6</f>
        <v>18138.107418551797</v>
      </c>
      <c r="R66" s="60">
        <f>(R65*($K$1/12))+R65</f>
        <v>5297.6451585575105</v>
      </c>
      <c r="S66" s="60">
        <f>(S65*($K$1/12))+S65</f>
        <v>4599.4187462757873</v>
      </c>
      <c r="T66" s="60">
        <f>(T65*($K$1/12))+T65+$T$6 + ((3%/12)*T$11)</f>
        <v>102036.34003371881</v>
      </c>
      <c r="U66" s="60">
        <f>(U65*$K$1/12) + U65 + ((U$11/12*7%))</f>
        <v>13742.778850515349</v>
      </c>
      <c r="V66" s="60">
        <v>3100</v>
      </c>
      <c r="W66" s="60">
        <f>(W65*($K$1/12))+W65+$W$6</f>
        <v>9118.6365604696439</v>
      </c>
      <c r="X66" s="11">
        <v>0</v>
      </c>
      <c r="Y66" s="60">
        <f>(Y65*($K$1/12))+Y65+$Y$6</f>
        <v>5299.6585820204118</v>
      </c>
      <c r="Z66" s="60">
        <f>'Mortgage and Loans'!U28</f>
        <v>32802.49</v>
      </c>
      <c r="AA66" s="12">
        <f t="shared" si="2"/>
        <v>213398.89279059801</v>
      </c>
      <c r="AB66" s="56">
        <f t="shared" si="181"/>
        <v>750</v>
      </c>
      <c r="AC66" s="56">
        <f t="shared" si="181"/>
        <v>750</v>
      </c>
      <c r="AD66" s="56">
        <f t="shared" si="181"/>
        <v>750</v>
      </c>
      <c r="AE66" s="56">
        <f t="shared" si="181"/>
        <v>750</v>
      </c>
      <c r="AF66" s="56">
        <f t="shared" si="74"/>
        <v>261.38985927376461</v>
      </c>
      <c r="AG66" s="56">
        <f t="shared" si="181"/>
        <v>750</v>
      </c>
      <c r="AH66" s="56">
        <f>'Mortgage and Loans'!AF23</f>
        <v>48030.737741334204</v>
      </c>
      <c r="AI66" s="56">
        <f>'Mortgage and Loans'!AQ23</f>
        <v>15924.419084742964</v>
      </c>
      <c r="AJ66" s="56">
        <f>'Mortgage and Loans'!BB23</f>
        <v>17146.747031748768</v>
      </c>
      <c r="AK66" s="56">
        <f>'Mortgage and Loans'!BM23</f>
        <v>10012.765657610109</v>
      </c>
      <c r="AL66" s="56">
        <f>'Mortgage and Loans'!T28</f>
        <v>147197.50999999998</v>
      </c>
      <c r="AM66" s="12">
        <f t="shared" si="12"/>
        <v>-242323.5693747098</v>
      </c>
      <c r="AN66" s="75">
        <f t="shared" si="85"/>
        <v>-28924.676584111789</v>
      </c>
      <c r="AO66" s="86">
        <f>'Mortgage and Loans'!G29</f>
        <v>2884.34</v>
      </c>
      <c r="AP66" s="79">
        <f>('Salary Tax Breakdown'!B$16/12)-Data!AO66</f>
        <v>563.15999999999985</v>
      </c>
      <c r="AQ66" s="87"/>
      <c r="AR66" s="20">
        <f t="shared" si="182"/>
        <v>4011.3898592737646</v>
      </c>
      <c r="AS66" s="20">
        <v>750</v>
      </c>
      <c r="AT66" s="20">
        <v>0</v>
      </c>
      <c r="AU66" s="20">
        <f t="shared" si="183"/>
        <v>4761.3898592737642</v>
      </c>
      <c r="AV66" s="20">
        <f t="shared" si="184"/>
        <v>4760.8527443193097</v>
      </c>
      <c r="AW66" s="51">
        <f t="shared" si="5"/>
        <v>0</v>
      </c>
      <c r="AX66" s="51">
        <f t="shared" si="14"/>
        <v>0</v>
      </c>
      <c r="AY66" s="51">
        <f t="shared" si="15"/>
        <v>0</v>
      </c>
      <c r="AZ66" s="51">
        <f t="shared" si="16"/>
        <v>0</v>
      </c>
      <c r="BA66" s="51">
        <f t="shared" si="17"/>
        <v>0</v>
      </c>
      <c r="BB66" s="51">
        <f t="shared" si="18"/>
        <v>0</v>
      </c>
      <c r="BC66" s="51">
        <f t="shared" si="19"/>
        <v>0</v>
      </c>
      <c r="BD66" s="51">
        <f t="shared" si="20"/>
        <v>0</v>
      </c>
      <c r="BE66" s="51">
        <f t="shared" si="21"/>
        <v>0</v>
      </c>
      <c r="BF66" s="51">
        <f t="shared" si="22"/>
        <v>0</v>
      </c>
      <c r="BG66" s="51">
        <f t="shared" si="23"/>
        <v>0</v>
      </c>
      <c r="BH66" s="51">
        <f t="shared" si="24"/>
        <v>0</v>
      </c>
      <c r="BI66" s="51">
        <f t="shared" si="185"/>
        <v>0</v>
      </c>
      <c r="BJ66" s="51">
        <f t="shared" si="186"/>
        <v>0</v>
      </c>
      <c r="BK66" s="51">
        <f t="shared" si="187"/>
        <v>0</v>
      </c>
      <c r="BL66" s="51">
        <f t="shared" si="188"/>
        <v>0</v>
      </c>
      <c r="BM66" s="51">
        <f t="shared" si="189"/>
        <v>0</v>
      </c>
      <c r="BN66" s="51">
        <f t="shared" si="190"/>
        <v>0</v>
      </c>
      <c r="BO66" s="51">
        <f t="shared" si="191"/>
        <v>0</v>
      </c>
      <c r="BP66" s="51">
        <f t="shared" si="192"/>
        <v>0</v>
      </c>
      <c r="BQ66" s="51">
        <f t="shared" si="193"/>
        <v>0</v>
      </c>
      <c r="BR66" s="51">
        <f t="shared" si="194"/>
        <v>0</v>
      </c>
      <c r="BS66" s="51">
        <f t="shared" si="195"/>
        <v>0</v>
      </c>
      <c r="BT66" s="51">
        <f t="shared" si="196"/>
        <v>0</v>
      </c>
      <c r="BU66" s="20">
        <f t="shared" si="197"/>
        <v>4761.3871213133534</v>
      </c>
      <c r="BV66" s="20">
        <f t="shared" si="198"/>
        <v>4761.4346188533027</v>
      </c>
      <c r="BW66" s="20">
        <f t="shared" si="199"/>
        <v>57136.67831128517</v>
      </c>
      <c r="BX66" s="20">
        <f t="shared" si="200"/>
        <v>57136.645455760241</v>
      </c>
      <c r="BY66" s="20">
        <f t="shared" si="201"/>
        <v>57137.215426239636</v>
      </c>
      <c r="BZ66" s="21">
        <f t="shared" si="202"/>
        <v>57136.846397761685</v>
      </c>
      <c r="CA66" s="19">
        <f t="shared" si="47"/>
        <v>1428421.1599440421</v>
      </c>
      <c r="CB66" s="20">
        <f t="shared" si="203"/>
        <v>1428418.3235239526</v>
      </c>
      <c r="CC66" s="20">
        <f t="shared" si="204"/>
        <v>1428429.3228663451</v>
      </c>
      <c r="CD66" s="20">
        <f t="shared" si="48"/>
        <v>0</v>
      </c>
      <c r="CE66" s="20">
        <f t="shared" si="113"/>
        <v>1400000</v>
      </c>
      <c r="CF66" s="20">
        <f t="shared" si="37"/>
        <v>158232.58535010929</v>
      </c>
      <c r="CG66" s="20">
        <f t="shared" si="205"/>
        <v>6329.3034140043719</v>
      </c>
      <c r="CH66" s="20">
        <f t="shared" si="39"/>
        <v>527.44195116703099</v>
      </c>
      <c r="CI66" s="20">
        <f t="shared" si="206"/>
        <v>151983.14400038787</v>
      </c>
      <c r="CJ66" s="24">
        <f t="shared" si="207"/>
        <v>0.11077468185912413</v>
      </c>
      <c r="CK66" s="24">
        <f t="shared" si="208"/>
        <v>4.1196329233218504E-2</v>
      </c>
      <c r="CL66" s="24">
        <f t="shared" si="209"/>
        <v>0.13386485965829298</v>
      </c>
      <c r="CM66" s="25">
        <f t="shared" si="210"/>
        <v>0.57784302533816434</v>
      </c>
      <c r="CN66" s="17"/>
      <c r="CO66" s="17"/>
      <c r="CP66" s="17"/>
      <c r="CQ66" s="17"/>
      <c r="CR66" s="17"/>
      <c r="CS66" s="17"/>
      <c r="CT66" s="17"/>
      <c r="CU66" s="17"/>
      <c r="CV66" s="17"/>
      <c r="CW66" s="30">
        <v>0</v>
      </c>
      <c r="CX66" s="17"/>
      <c r="CY66" s="17"/>
      <c r="CZ66" s="17"/>
      <c r="DA66" s="17"/>
      <c r="DB66" s="17"/>
    </row>
    <row r="67" spans="1:106" ht="15.75" thickBot="1" x14ac:dyDescent="0.3">
      <c r="A67" s="5">
        <f t="shared" si="70"/>
        <v>29</v>
      </c>
      <c r="B67" s="5">
        <f t="shared" si="69"/>
        <v>27</v>
      </c>
      <c r="C67" s="1">
        <v>44256</v>
      </c>
      <c r="D67" s="4"/>
      <c r="E67" s="30"/>
      <c r="F67" s="30"/>
      <c r="G67" s="30">
        <f t="shared" si="211"/>
        <v>0</v>
      </c>
      <c r="H67" s="30"/>
      <c r="I67" s="10">
        <v>0</v>
      </c>
      <c r="J67" s="60">
        <v>9000</v>
      </c>
      <c r="K67" s="11">
        <v>550</v>
      </c>
      <c r="L67" s="60">
        <f t="shared" si="72"/>
        <v>9420.1864282293209</v>
      </c>
      <c r="M67" s="11">
        <v>305</v>
      </c>
      <c r="N67" s="60">
        <v>0</v>
      </c>
      <c r="O67" s="11">
        <v>0</v>
      </c>
      <c r="P67" s="11">
        <v>0</v>
      </c>
      <c r="Q67" s="60">
        <f>(Q66*($K$1/12))+Q66 + $Q$6</f>
        <v>19153.025500402284</v>
      </c>
      <c r="R67" s="60">
        <f>(R66*($K$1/12))+R66</f>
        <v>5326.3407364996974</v>
      </c>
      <c r="S67" s="60">
        <f>(S66*($K$1/12))+S66</f>
        <v>4624.3322644847813</v>
      </c>
      <c r="T67" s="60">
        <f>(T66*($K$1/12))+T66+$T$6 + ((3%/12)*T$11)</f>
        <v>105764.03687556811</v>
      </c>
      <c r="U67" s="60">
        <f>(U66*$K$1/12) + U66 + ((U$11/12*7%))</f>
        <v>14225.552235955642</v>
      </c>
      <c r="V67" s="60">
        <v>3100</v>
      </c>
      <c r="W67" s="60">
        <f>(W66*($K$1/12))+W66+$W$6</f>
        <v>9455.529175172187</v>
      </c>
      <c r="X67" s="11">
        <v>0</v>
      </c>
      <c r="Y67" s="60">
        <f>(Y66*($K$1/12))+Y66+$Y$6</f>
        <v>5978.3650660063558</v>
      </c>
      <c r="Z67" s="60">
        <f>'Mortgage and Loans'!U29</f>
        <v>33023.300000000003</v>
      </c>
      <c r="AA67" s="12">
        <f t="shared" si="2"/>
        <v>219925.66828231834</v>
      </c>
      <c r="AB67" s="56">
        <f t="shared" si="181"/>
        <v>750</v>
      </c>
      <c r="AC67" s="56">
        <f t="shared" si="181"/>
        <v>750</v>
      </c>
      <c r="AD67" s="56">
        <f t="shared" si="181"/>
        <v>750</v>
      </c>
      <c r="AE67" s="56">
        <f t="shared" si="181"/>
        <v>750</v>
      </c>
      <c r="AF67" s="56">
        <f t="shared" si="74"/>
        <v>261.43461885330254</v>
      </c>
      <c r="AG67" s="56">
        <f t="shared" si="181"/>
        <v>750</v>
      </c>
      <c r="AH67" s="56">
        <f>'Mortgage and Loans'!AF24</f>
        <v>47698.497741334206</v>
      </c>
      <c r="AI67" s="56">
        <f>'Mortgage and Loans'!AQ24</f>
        <v>15817.999084742964</v>
      </c>
      <c r="AJ67" s="56">
        <f>'Mortgage and Loans'!BB24</f>
        <v>17035.027031748767</v>
      </c>
      <c r="AK67" s="56">
        <f>'Mortgage and Loans'!BM24</f>
        <v>8849.6656576101086</v>
      </c>
      <c r="AL67" s="56">
        <f>'Mortgage and Loans'!T29</f>
        <v>146976.69999999998</v>
      </c>
      <c r="AM67" s="12">
        <f t="shared" si="12"/>
        <v>-240389.32413428932</v>
      </c>
      <c r="AN67" s="75">
        <f t="shared" si="85"/>
        <v>-20463.65585197098</v>
      </c>
      <c r="AO67" s="86">
        <f>'Mortgage and Loans'!G30</f>
        <v>2884.34</v>
      </c>
      <c r="AP67" s="79">
        <f>('Salary Tax Breakdown'!B$16/12)-Data!AO67</f>
        <v>563.15999999999985</v>
      </c>
      <c r="AQ67" s="87"/>
      <c r="AR67" s="20">
        <f t="shared" si="182"/>
        <v>4011.4346188533027</v>
      </c>
      <c r="AS67" s="20">
        <v>750</v>
      </c>
      <c r="AT67" s="20">
        <v>0</v>
      </c>
      <c r="AU67" s="20">
        <f t="shared" si="183"/>
        <v>4761.4346188533027</v>
      </c>
      <c r="AV67" s="20">
        <f t="shared" si="184"/>
        <v>4761.168221115875</v>
      </c>
      <c r="AW67" s="51">
        <f t="shared" si="5"/>
        <v>0</v>
      </c>
      <c r="AX67" s="51">
        <f t="shared" si="14"/>
        <v>0</v>
      </c>
      <c r="AY67" s="51">
        <f t="shared" si="15"/>
        <v>0</v>
      </c>
      <c r="AZ67" s="51">
        <f t="shared" si="16"/>
        <v>0</v>
      </c>
      <c r="BA67" s="51">
        <f t="shared" si="17"/>
        <v>0</v>
      </c>
      <c r="BB67" s="51">
        <f t="shared" si="18"/>
        <v>0</v>
      </c>
      <c r="BC67" s="51">
        <f t="shared" si="19"/>
        <v>0</v>
      </c>
      <c r="BD67" s="51">
        <f t="shared" si="20"/>
        <v>0</v>
      </c>
      <c r="BE67" s="51">
        <f t="shared" si="21"/>
        <v>0</v>
      </c>
      <c r="BF67" s="51">
        <f t="shared" si="22"/>
        <v>0</v>
      </c>
      <c r="BG67" s="51">
        <f t="shared" si="23"/>
        <v>0</v>
      </c>
      <c r="BH67" s="51">
        <f t="shared" si="24"/>
        <v>0</v>
      </c>
      <c r="BI67" s="51">
        <f t="shared" si="185"/>
        <v>0</v>
      </c>
      <c r="BJ67" s="51">
        <f t="shared" si="186"/>
        <v>0</v>
      </c>
      <c r="BK67" s="51">
        <f t="shared" si="187"/>
        <v>0</v>
      </c>
      <c r="BL67" s="51">
        <f t="shared" si="188"/>
        <v>0</v>
      </c>
      <c r="BM67" s="51">
        <f t="shared" si="189"/>
        <v>0</v>
      </c>
      <c r="BN67" s="51">
        <f t="shared" si="190"/>
        <v>0</v>
      </c>
      <c r="BO67" s="51">
        <f t="shared" si="191"/>
        <v>0</v>
      </c>
      <c r="BP67" s="51">
        <f t="shared" si="192"/>
        <v>0</v>
      </c>
      <c r="BQ67" s="51">
        <f t="shared" si="193"/>
        <v>0</v>
      </c>
      <c r="BR67" s="51">
        <f t="shared" si="194"/>
        <v>0</v>
      </c>
      <c r="BS67" s="51">
        <f t="shared" si="195"/>
        <v>0</v>
      </c>
      <c r="BT67" s="51">
        <f t="shared" si="196"/>
        <v>0</v>
      </c>
      <c r="BU67" s="20">
        <f t="shared" si="197"/>
        <v>4761.4017911453948</v>
      </c>
      <c r="BV67" s="20">
        <f t="shared" si="198"/>
        <v>4761.4568186647548</v>
      </c>
      <c r="BW67" s="20">
        <f t="shared" si="199"/>
        <v>57137.215426239636</v>
      </c>
      <c r="BX67" s="20">
        <f t="shared" si="200"/>
        <v>57136.821493744734</v>
      </c>
      <c r="BY67" s="20">
        <f t="shared" si="201"/>
        <v>57137.481823977054</v>
      </c>
      <c r="BZ67" s="21">
        <f t="shared" si="202"/>
        <v>57137.172914653805</v>
      </c>
      <c r="CA67" s="19">
        <f t="shared" si="47"/>
        <v>1428429.3228663451</v>
      </c>
      <c r="CB67" s="20">
        <f t="shared" si="203"/>
        <v>1428422.176995592</v>
      </c>
      <c r="CC67" s="20">
        <f t="shared" si="204"/>
        <v>1428434.9151011007</v>
      </c>
      <c r="CD67" s="20">
        <f t="shared" si="48"/>
        <v>0</v>
      </c>
      <c r="CE67" s="20">
        <f t="shared" si="113"/>
        <v>1400000</v>
      </c>
      <c r="CF67" s="20">
        <f t="shared" si="37"/>
        <v>164527.18185408902</v>
      </c>
      <c r="CG67" s="20">
        <f t="shared" si="205"/>
        <v>6581.0872741635612</v>
      </c>
      <c r="CH67" s="20">
        <f t="shared" si="39"/>
        <v>548.4239395136301</v>
      </c>
      <c r="CI67" s="20">
        <f t="shared" si="206"/>
        <v>158243.88936372331</v>
      </c>
      <c r="CJ67" s="24">
        <f t="shared" si="207"/>
        <v>0.11518106096626134</v>
      </c>
      <c r="CK67" s="24">
        <f t="shared" si="208"/>
        <v>3.9780658895588107E-2</v>
      </c>
      <c r="CL67" s="24">
        <f t="shared" si="209"/>
        <v>0.12887058272613494</v>
      </c>
      <c r="CM67" s="25">
        <f t="shared" si="210"/>
        <v>0.60568133512710343</v>
      </c>
      <c r="CN67" s="17"/>
      <c r="CO67" s="17"/>
      <c r="CP67" s="17"/>
      <c r="CQ67" s="17"/>
      <c r="CR67" s="17"/>
      <c r="CS67" s="17"/>
      <c r="CT67" s="17"/>
      <c r="CU67" s="17"/>
      <c r="CV67" s="17"/>
      <c r="CW67" s="30">
        <v>0</v>
      </c>
      <c r="CX67" s="17"/>
      <c r="CY67" s="17"/>
      <c r="CZ67" s="17"/>
      <c r="DA67" s="17"/>
      <c r="DB67" s="17"/>
    </row>
    <row r="68" spans="1:106" ht="15.75" thickBot="1" x14ac:dyDescent="0.3">
      <c r="A68" s="5">
        <f t="shared" si="70"/>
        <v>29</v>
      </c>
      <c r="B68" s="5">
        <f t="shared" si="69"/>
        <v>27</v>
      </c>
      <c r="C68" s="1">
        <v>44287</v>
      </c>
      <c r="D68" s="4"/>
      <c r="E68" s="30"/>
      <c r="F68" s="30"/>
      <c r="G68" s="30">
        <f t="shared" si="211"/>
        <v>0</v>
      </c>
      <c r="H68" s="30"/>
      <c r="I68" s="10">
        <v>0</v>
      </c>
      <c r="J68" s="60">
        <v>9000</v>
      </c>
      <c r="K68" s="11">
        <v>550</v>
      </c>
      <c r="L68" s="60">
        <f t="shared" si="72"/>
        <v>9431.5691534967646</v>
      </c>
      <c r="M68" s="11">
        <v>305</v>
      </c>
      <c r="N68" s="60">
        <v>0</v>
      </c>
      <c r="O68" s="11">
        <v>0</v>
      </c>
      <c r="P68" s="11">
        <v>0</v>
      </c>
      <c r="Q68" s="60">
        <f>(Q67*($K$1/12))+Q67 + $Q$6</f>
        <v>20173.441055196126</v>
      </c>
      <c r="R68" s="60">
        <f>(R67*($K$1/12))+R67</f>
        <v>5355.1917488224044</v>
      </c>
      <c r="S68" s="60">
        <f>(S67*($K$1/12))+S67</f>
        <v>4649.3807309174072</v>
      </c>
      <c r="T68" s="60">
        <f>(T67*($K$1/12))+T67+$T$6 + ((3%/12)*T$11)</f>
        <v>109511.92540864411</v>
      </c>
      <c r="U68" s="60">
        <f>(U67*$K$1/12) + U67 + ((U$11/12*7%))</f>
        <v>14710.940643900401</v>
      </c>
      <c r="V68" s="60">
        <v>3100</v>
      </c>
      <c r="W68" s="60">
        <f>(W67*($K$1/12))+W67+$W$6</f>
        <v>9794.2466248710371</v>
      </c>
      <c r="X68" s="11">
        <v>0</v>
      </c>
      <c r="Y68" s="60">
        <f>(Y67*($K$1/12))+Y67+$Y$6</f>
        <v>6660.7478767805569</v>
      </c>
      <c r="Z68" s="60">
        <f>'Mortgage and Loans'!U30</f>
        <v>33244.870000000003</v>
      </c>
      <c r="AA68" s="12">
        <f t="shared" si="2"/>
        <v>226487.31324262879</v>
      </c>
      <c r="AB68" s="56">
        <f t="shared" si="181"/>
        <v>750</v>
      </c>
      <c r="AC68" s="56">
        <f t="shared" si="181"/>
        <v>750</v>
      </c>
      <c r="AD68" s="56">
        <f t="shared" si="181"/>
        <v>750</v>
      </c>
      <c r="AE68" s="56">
        <f t="shared" si="181"/>
        <v>750</v>
      </c>
      <c r="AF68" s="56">
        <f t="shared" si="74"/>
        <v>261.45681866475485</v>
      </c>
      <c r="AG68" s="56">
        <f t="shared" si="181"/>
        <v>750</v>
      </c>
      <c r="AH68" s="56">
        <f>'Mortgage and Loans'!AF25</f>
        <v>47364.787741334207</v>
      </c>
      <c r="AI68" s="56">
        <f>'Mortgage and Loans'!AQ25</f>
        <v>15711.049084742963</v>
      </c>
      <c r="AJ68" s="56">
        <f>'Mortgage and Loans'!BB25</f>
        <v>16922.697031748765</v>
      </c>
      <c r="AK68" s="56">
        <f>'Mortgage and Loans'!BM25</f>
        <v>7679.7756576101092</v>
      </c>
      <c r="AL68" s="56">
        <f>'Mortgage and Loans'!T30</f>
        <v>146755.12999999998</v>
      </c>
      <c r="AM68" s="12">
        <f t="shared" si="12"/>
        <v>-238444.89633410075</v>
      </c>
      <c r="AN68" s="75">
        <f t="shared" si="85"/>
        <v>-11957.583091471955</v>
      </c>
      <c r="AO68" s="86">
        <f>'Mortgage and Loans'!G31</f>
        <v>2884.34</v>
      </c>
      <c r="AP68" s="79">
        <f>('Salary Tax Breakdown'!B$16/12)-Data!AO68</f>
        <v>563.15999999999985</v>
      </c>
      <c r="AQ68" s="87"/>
      <c r="AR68" s="20">
        <f t="shared" si="182"/>
        <v>4011.4568186647548</v>
      </c>
      <c r="AS68" s="20">
        <v>750</v>
      </c>
      <c r="AT68" s="20">
        <v>0</v>
      </c>
      <c r="AU68" s="20">
        <f t="shared" si="183"/>
        <v>4761.4568186647548</v>
      </c>
      <c r="AV68" s="20">
        <f t="shared" si="184"/>
        <v>4761.3558416540945</v>
      </c>
      <c r="AW68" s="51">
        <f t="shared" si="5"/>
        <v>0</v>
      </c>
      <c r="AX68" s="51">
        <f t="shared" si="14"/>
        <v>0</v>
      </c>
      <c r="AY68" s="51">
        <f t="shared" si="15"/>
        <v>0</v>
      </c>
      <c r="AZ68" s="51">
        <f t="shared" si="16"/>
        <v>0</v>
      </c>
      <c r="BA68" s="51">
        <f t="shared" si="17"/>
        <v>0</v>
      </c>
      <c r="BB68" s="51">
        <f t="shared" si="18"/>
        <v>0</v>
      </c>
      <c r="BC68" s="51">
        <f t="shared" si="19"/>
        <v>0</v>
      </c>
      <c r="BD68" s="51">
        <f t="shared" si="20"/>
        <v>0</v>
      </c>
      <c r="BE68" s="51">
        <f t="shared" si="21"/>
        <v>0</v>
      </c>
      <c r="BF68" s="51">
        <f t="shared" si="22"/>
        <v>0</v>
      </c>
      <c r="BG68" s="51">
        <f t="shared" si="23"/>
        <v>0</v>
      </c>
      <c r="BH68" s="51">
        <f t="shared" si="24"/>
        <v>0</v>
      </c>
      <c r="BI68" s="51">
        <f t="shared" si="185"/>
        <v>0</v>
      </c>
      <c r="BJ68" s="51">
        <f t="shared" si="186"/>
        <v>0</v>
      </c>
      <c r="BK68" s="51">
        <f t="shared" si="187"/>
        <v>0</v>
      </c>
      <c r="BL68" s="51">
        <f t="shared" si="188"/>
        <v>0</v>
      </c>
      <c r="BM68" s="51">
        <f t="shared" si="189"/>
        <v>0</v>
      </c>
      <c r="BN68" s="51">
        <f t="shared" si="190"/>
        <v>0</v>
      </c>
      <c r="BO68" s="51">
        <f t="shared" si="191"/>
        <v>0</v>
      </c>
      <c r="BP68" s="51">
        <f t="shared" si="192"/>
        <v>0</v>
      </c>
      <c r="BQ68" s="51">
        <f t="shared" si="193"/>
        <v>0</v>
      </c>
      <c r="BR68" s="51">
        <f t="shared" si="194"/>
        <v>0</v>
      </c>
      <c r="BS68" s="51">
        <f t="shared" si="195"/>
        <v>0</v>
      </c>
      <c r="BT68" s="51">
        <f t="shared" si="196"/>
        <v>0</v>
      </c>
      <c r="BU68" s="20">
        <f t="shared" si="197"/>
        <v>4761.4270989306069</v>
      </c>
      <c r="BV68" s="20">
        <f t="shared" si="198"/>
        <v>4761.4652334156435</v>
      </c>
      <c r="BW68" s="20">
        <f t="shared" si="199"/>
        <v>57137.481823977054</v>
      </c>
      <c r="BX68" s="20">
        <f t="shared" si="200"/>
        <v>57137.125187167287</v>
      </c>
      <c r="BY68" s="20">
        <f t="shared" si="201"/>
        <v>57137.582800987722</v>
      </c>
      <c r="BZ68" s="21">
        <f t="shared" si="202"/>
        <v>57137.396604044021</v>
      </c>
      <c r="CA68" s="19">
        <f t="shared" si="47"/>
        <v>1428434.9151011005</v>
      </c>
      <c r="CB68" s="20">
        <f t="shared" si="203"/>
        <v>1428428.4659704959</v>
      </c>
      <c r="CC68" s="20">
        <f t="shared" si="204"/>
        <v>1428438.1600324055</v>
      </c>
      <c r="CD68" s="20">
        <f t="shared" si="48"/>
        <v>0</v>
      </c>
      <c r="CE68" s="20">
        <f t="shared" si="113"/>
        <v>1400000</v>
      </c>
      <c r="CF68" s="20">
        <f t="shared" si="37"/>
        <v>170855.87408913203</v>
      </c>
      <c r="CG68" s="20">
        <f t="shared" si="205"/>
        <v>6834.2349635652818</v>
      </c>
      <c r="CH68" s="20">
        <f t="shared" si="39"/>
        <v>569.51958029710681</v>
      </c>
      <c r="CI68" s="20">
        <f t="shared" si="206"/>
        <v>164538.54709777678</v>
      </c>
      <c r="CJ68" s="24">
        <f t="shared" si="207"/>
        <v>0.11961108180034061</v>
      </c>
      <c r="CK68" s="24">
        <f t="shared" si="208"/>
        <v>3.8465937140135381E-2</v>
      </c>
      <c r="CL68" s="24">
        <f t="shared" si="209"/>
        <v>0.12425963676143885</v>
      </c>
      <c r="CM68" s="25">
        <f t="shared" si="210"/>
        <v>0.63250045174718383</v>
      </c>
      <c r="CN68" s="17"/>
      <c r="CO68" s="17"/>
      <c r="CP68" s="17"/>
      <c r="CQ68" s="17"/>
      <c r="CR68" s="17"/>
      <c r="CS68" s="17"/>
      <c r="CT68" s="17"/>
      <c r="CU68" s="17"/>
      <c r="CV68" s="17"/>
      <c r="CW68" s="30">
        <v>0</v>
      </c>
      <c r="CX68" s="17"/>
      <c r="CY68" s="17"/>
      <c r="CZ68" s="17"/>
      <c r="DA68" s="17"/>
      <c r="DB68" s="17"/>
    </row>
    <row r="69" spans="1:106" ht="15.75" thickBot="1" x14ac:dyDescent="0.3">
      <c r="A69" s="5">
        <f t="shared" si="70"/>
        <v>29</v>
      </c>
      <c r="B69" s="5">
        <f t="shared" si="69"/>
        <v>27</v>
      </c>
      <c r="C69" s="1">
        <v>44317</v>
      </c>
      <c r="D69" s="4"/>
      <c r="E69" s="30"/>
      <c r="F69" s="30"/>
      <c r="G69" s="30">
        <f t="shared" si="211"/>
        <v>0</v>
      </c>
      <c r="H69" s="30"/>
      <c r="I69" s="10">
        <v>0</v>
      </c>
      <c r="J69" s="60">
        <v>9000</v>
      </c>
      <c r="K69" s="11">
        <v>550</v>
      </c>
      <c r="L69" s="60">
        <f t="shared" si="72"/>
        <v>9442.965632890573</v>
      </c>
      <c r="M69" s="11">
        <v>305</v>
      </c>
      <c r="N69" s="60">
        <v>0</v>
      </c>
      <c r="O69" s="11">
        <v>0</v>
      </c>
      <c r="P69" s="11">
        <v>0</v>
      </c>
      <c r="Q69" s="60">
        <f>(Q68*($K$1/12))+Q68 + $Q$6</f>
        <v>21199.38386091177</v>
      </c>
      <c r="R69" s="60">
        <f>(R68*($K$1/12))+R68</f>
        <v>5384.199037461859</v>
      </c>
      <c r="S69" s="60">
        <f>(S68*($K$1/12))+S68</f>
        <v>4674.5648765432097</v>
      </c>
      <c r="T69" s="60">
        <f>(T68*($K$1/12))+T68+$T$6 + ((3%/12)*T$11)</f>
        <v>113280.11500460759</v>
      </c>
      <c r="U69" s="60">
        <f>(U68*$K$1/12) + U68 + ((U$11/12*7%))</f>
        <v>15198.958239054862</v>
      </c>
      <c r="V69" s="60">
        <v>3100</v>
      </c>
      <c r="W69" s="60">
        <f>(W68*($K$1/12))+W68+$W$6</f>
        <v>10134.798794089089</v>
      </c>
      <c r="X69" s="11">
        <v>0</v>
      </c>
      <c r="Y69" s="60">
        <f>(Y68*($K$1/12))+Y68+$Y$6</f>
        <v>7346.8269277797854</v>
      </c>
      <c r="Z69" s="60">
        <f>'Mortgage and Loans'!U31</f>
        <v>33467.199999999997</v>
      </c>
      <c r="AA69" s="12">
        <f t="shared" si="2"/>
        <v>233084.01237333874</v>
      </c>
      <c r="AB69" s="56">
        <f t="shared" si="181"/>
        <v>750</v>
      </c>
      <c r="AC69" s="56">
        <f t="shared" si="181"/>
        <v>750</v>
      </c>
      <c r="AD69" s="56">
        <f t="shared" si="181"/>
        <v>750</v>
      </c>
      <c r="AE69" s="56">
        <f t="shared" si="181"/>
        <v>750</v>
      </c>
      <c r="AF69" s="56">
        <f t="shared" si="74"/>
        <v>261.46523341564324</v>
      </c>
      <c r="AG69" s="56">
        <f t="shared" si="181"/>
        <v>750</v>
      </c>
      <c r="AH69" s="56">
        <f>'Mortgage and Loans'!AF26</f>
        <v>47029.597741334204</v>
      </c>
      <c r="AI69" s="56">
        <f>'Mortgage and Loans'!AQ26</f>
        <v>15603.569084742963</v>
      </c>
      <c r="AJ69" s="56">
        <f>'Mortgage and Loans'!BB26</f>
        <v>16809.757031748766</v>
      </c>
      <c r="AK69" s="56">
        <f>'Mortgage and Loans'!BM26</f>
        <v>6503.0656576101092</v>
      </c>
      <c r="AL69" s="56">
        <f>'Mortgage and Loans'!T31</f>
        <v>146532.79999999999</v>
      </c>
      <c r="AM69" s="12">
        <f t="shared" si="12"/>
        <v>-236490.25474885167</v>
      </c>
      <c r="AN69" s="75">
        <f t="shared" si="85"/>
        <v>-3406.2423755129275</v>
      </c>
      <c r="AO69" s="86">
        <f>'Mortgage and Loans'!G32</f>
        <v>2884.34</v>
      </c>
      <c r="AP69" s="79">
        <f>('Salary Tax Breakdown'!B$16/12)-Data!AO69</f>
        <v>563.15999999999985</v>
      </c>
      <c r="AQ69" s="87"/>
      <c r="AR69" s="20">
        <f t="shared" si="182"/>
        <v>4011.4652334156431</v>
      </c>
      <c r="AS69" s="20">
        <v>750</v>
      </c>
      <c r="AT69" s="20">
        <v>0</v>
      </c>
      <c r="AU69" s="20">
        <f t="shared" si="183"/>
        <v>4761.4652334156435</v>
      </c>
      <c r="AV69" s="20">
        <f t="shared" si="184"/>
        <v>4761.4783152372311</v>
      </c>
      <c r="AW69" s="51">
        <f t="shared" si="5"/>
        <v>0</v>
      </c>
      <c r="AX69" s="51">
        <f t="shared" si="14"/>
        <v>0</v>
      </c>
      <c r="AY69" s="51">
        <f t="shared" si="15"/>
        <v>0</v>
      </c>
      <c r="AZ69" s="51">
        <f t="shared" si="16"/>
        <v>0</v>
      </c>
      <c r="BA69" s="51">
        <f t="shared" si="17"/>
        <v>0</v>
      </c>
      <c r="BB69" s="51">
        <f t="shared" si="18"/>
        <v>0</v>
      </c>
      <c r="BC69" s="51">
        <f t="shared" si="19"/>
        <v>0</v>
      </c>
      <c r="BD69" s="51">
        <f t="shared" si="20"/>
        <v>0</v>
      </c>
      <c r="BE69" s="51">
        <f t="shared" si="21"/>
        <v>0</v>
      </c>
      <c r="BF69" s="51">
        <f t="shared" si="22"/>
        <v>0</v>
      </c>
      <c r="BG69" s="51">
        <f t="shared" si="23"/>
        <v>0</v>
      </c>
      <c r="BH69" s="51">
        <f t="shared" si="24"/>
        <v>0</v>
      </c>
      <c r="BI69" s="51">
        <f t="shared" si="185"/>
        <v>0</v>
      </c>
      <c r="BJ69" s="51">
        <f t="shared" si="186"/>
        <v>0</v>
      </c>
      <c r="BK69" s="51">
        <f t="shared" si="187"/>
        <v>0</v>
      </c>
      <c r="BL69" s="51">
        <f t="shared" si="188"/>
        <v>0</v>
      </c>
      <c r="BM69" s="51">
        <f t="shared" si="189"/>
        <v>0</v>
      </c>
      <c r="BN69" s="51">
        <f t="shared" si="190"/>
        <v>0</v>
      </c>
      <c r="BO69" s="51">
        <f t="shared" si="191"/>
        <v>0</v>
      </c>
      <c r="BP69" s="51">
        <f t="shared" si="192"/>
        <v>0</v>
      </c>
      <c r="BQ69" s="51">
        <f t="shared" si="193"/>
        <v>0</v>
      </c>
      <c r="BR69" s="51">
        <f t="shared" si="194"/>
        <v>0</v>
      </c>
      <c r="BS69" s="51">
        <f t="shared" si="195"/>
        <v>0</v>
      </c>
      <c r="BT69" s="51">
        <f t="shared" si="196"/>
        <v>0</v>
      </c>
      <c r="BU69" s="20">
        <f t="shared" si="197"/>
        <v>4761.4522236445673</v>
      </c>
      <c r="BV69" s="20">
        <f t="shared" si="198"/>
        <v>4761.4641432638437</v>
      </c>
      <c r="BW69" s="20">
        <f t="shared" si="199"/>
        <v>57137.582800987722</v>
      </c>
      <c r="BX69" s="20">
        <f t="shared" si="200"/>
        <v>57137.426683734811</v>
      </c>
      <c r="BY69" s="20">
        <f t="shared" si="201"/>
        <v>57137.569719166124</v>
      </c>
      <c r="BZ69" s="21">
        <f t="shared" si="202"/>
        <v>57137.526401296222</v>
      </c>
      <c r="CA69" s="19">
        <f t="shared" si="47"/>
        <v>1428438.1600324055</v>
      </c>
      <c r="CB69" s="20">
        <f t="shared" si="203"/>
        <v>1428434.1326666169</v>
      </c>
      <c r="CC69" s="20">
        <f t="shared" si="204"/>
        <v>1428438.3282295384</v>
      </c>
      <c r="CD69" s="20">
        <f t="shared" si="48"/>
        <v>0</v>
      </c>
      <c r="CE69" s="20">
        <f t="shared" si="113"/>
        <v>1400000</v>
      </c>
      <c r="CF69" s="20">
        <f t="shared" si="37"/>
        <v>177218.84674044818</v>
      </c>
      <c r="CG69" s="20">
        <f t="shared" si="205"/>
        <v>7088.7538696179272</v>
      </c>
      <c r="CH69" s="20">
        <f t="shared" si="39"/>
        <v>590.7294891348273</v>
      </c>
      <c r="CI69" s="20">
        <f t="shared" si="206"/>
        <v>170867.30089455642</v>
      </c>
      <c r="CJ69" s="24">
        <f t="shared" si="207"/>
        <v>0.12406511626098855</v>
      </c>
      <c r="CK69" s="24">
        <f t="shared" si="208"/>
        <v>3.724175528197942E-2</v>
      </c>
      <c r="CL69" s="24">
        <f t="shared" si="209"/>
        <v>0.11998957956940043</v>
      </c>
      <c r="CM69" s="25">
        <f t="shared" si="210"/>
        <v>0.65835496936007731</v>
      </c>
      <c r="CN69" s="17"/>
      <c r="CO69" s="17"/>
      <c r="CP69" s="17"/>
      <c r="CQ69" s="17"/>
      <c r="CR69" s="17"/>
      <c r="CS69" s="17"/>
      <c r="CT69" s="17"/>
      <c r="CU69" s="17"/>
      <c r="CV69" s="17"/>
      <c r="CW69" s="30">
        <v>0</v>
      </c>
      <c r="CX69" s="17"/>
      <c r="CY69" s="17"/>
      <c r="CZ69" s="17"/>
      <c r="DA69" s="17"/>
      <c r="DB69" s="17"/>
    </row>
    <row r="70" spans="1:106" ht="15.75" thickBot="1" x14ac:dyDescent="0.3">
      <c r="A70" s="5">
        <f t="shared" si="70"/>
        <v>29</v>
      </c>
      <c r="B70" s="5">
        <f t="shared" si="69"/>
        <v>27</v>
      </c>
      <c r="C70" s="1">
        <v>44348</v>
      </c>
      <c r="D70" s="4"/>
      <c r="E70" s="30"/>
      <c r="F70" s="30"/>
      <c r="G70" s="30">
        <f t="shared" si="211"/>
        <v>0</v>
      </c>
      <c r="H70" s="30"/>
      <c r="I70" s="10">
        <v>0</v>
      </c>
      <c r="J70" s="60">
        <v>9000</v>
      </c>
      <c r="K70" s="11">
        <v>550</v>
      </c>
      <c r="L70" s="60">
        <f t="shared" si="72"/>
        <v>9454.3758830303159</v>
      </c>
      <c r="M70" s="11">
        <v>305</v>
      </c>
      <c r="N70" s="60">
        <v>0</v>
      </c>
      <c r="O70" s="11">
        <v>0</v>
      </c>
      <c r="P70" s="11">
        <v>0</v>
      </c>
      <c r="Q70" s="60">
        <f>(Q69*($K$1/12))+Q69 + $Q$6</f>
        <v>22230.883856825039</v>
      </c>
      <c r="R70" s="60">
        <f>(R69*($K$1/12))+R69</f>
        <v>5413.3634489147771</v>
      </c>
      <c r="S70" s="60">
        <f>(S69*($K$1/12))+S69</f>
        <v>4699.8854362911525</v>
      </c>
      <c r="T70" s="60">
        <f>(T69*($K$1/12))+T69+$T$6 + ((3%/12)*T$11)</f>
        <v>117068.71562754922</v>
      </c>
      <c r="U70" s="60">
        <f>(U69*$K$1/12) + U69 + ((U$11/12*7%))</f>
        <v>15689.619262849743</v>
      </c>
      <c r="V70" s="60">
        <v>3100</v>
      </c>
      <c r="W70" s="60">
        <f>(W69*($K$1/12))+W69+$W$6</f>
        <v>10477.195620890405</v>
      </c>
      <c r="X70" s="11">
        <v>0</v>
      </c>
      <c r="Y70" s="60">
        <f>(Y69*($K$1/12))+Y69+$Y$6</f>
        <v>8036.6222403052589</v>
      </c>
      <c r="Z70" s="60">
        <f>'Mortgage and Loans'!U32</f>
        <v>33690.29</v>
      </c>
      <c r="AA70" s="12">
        <f t="shared" si="2"/>
        <v>239715.95137665592</v>
      </c>
      <c r="AB70" s="56">
        <f t="shared" si="181"/>
        <v>750</v>
      </c>
      <c r="AC70" s="56">
        <f t="shared" si="181"/>
        <v>750</v>
      </c>
      <c r="AD70" s="56">
        <f t="shared" si="181"/>
        <v>750</v>
      </c>
      <c r="AE70" s="56">
        <f t="shared" si="181"/>
        <v>750</v>
      </c>
      <c r="AF70" s="56">
        <f t="shared" si="74"/>
        <v>261.46414326384422</v>
      </c>
      <c r="AG70" s="56">
        <f t="shared" si="181"/>
        <v>750</v>
      </c>
      <c r="AH70" s="56">
        <f>'Mortgage and Loans'!AF27</f>
        <v>46692.927741334206</v>
      </c>
      <c r="AI70" s="56">
        <f>'Mortgage and Loans'!AQ27</f>
        <v>15495.549084742963</v>
      </c>
      <c r="AJ70" s="56">
        <f>'Mortgage and Loans'!BB27</f>
        <v>16696.207031748767</v>
      </c>
      <c r="AK70" s="56">
        <f>'Mortgage and Loans'!BM27</f>
        <v>5319.4856576101092</v>
      </c>
      <c r="AL70" s="56">
        <f>'Mortgage and Loans'!T32</f>
        <v>146309.71</v>
      </c>
      <c r="AM70" s="12">
        <f t="shared" si="12"/>
        <v>-234525.34365869989</v>
      </c>
      <c r="AN70" s="75">
        <f t="shared" si="85"/>
        <v>5190.607717956038</v>
      </c>
      <c r="AO70" s="86">
        <f>'Mortgage and Loans'!G33</f>
        <v>2884.34</v>
      </c>
      <c r="AP70" s="79">
        <f>('Salary Tax Breakdown'!B$16/12)-Data!AO70</f>
        <v>563.15999999999985</v>
      </c>
      <c r="AQ70" s="87"/>
      <c r="AR70" s="20">
        <f t="shared" si="182"/>
        <v>4011.4641432638441</v>
      </c>
      <c r="AS70" s="20">
        <v>750</v>
      </c>
      <c r="AT70" s="20">
        <v>0</v>
      </c>
      <c r="AU70" s="20">
        <f t="shared" si="183"/>
        <v>4761.4641432638437</v>
      </c>
      <c r="AV70" s="20">
        <f t="shared" si="184"/>
        <v>4761.5489754284472</v>
      </c>
      <c r="AW70" s="51">
        <f t="shared" si="5"/>
        <v>0</v>
      </c>
      <c r="AX70" s="51">
        <f t="shared" si="14"/>
        <v>0</v>
      </c>
      <c r="AY70" s="51">
        <f t="shared" si="15"/>
        <v>0</v>
      </c>
      <c r="AZ70" s="51">
        <f t="shared" si="16"/>
        <v>0</v>
      </c>
      <c r="BA70" s="51">
        <f t="shared" si="17"/>
        <v>0</v>
      </c>
      <c r="BB70" s="51">
        <f t="shared" si="18"/>
        <v>0</v>
      </c>
      <c r="BC70" s="51">
        <f t="shared" si="19"/>
        <v>0</v>
      </c>
      <c r="BD70" s="51">
        <f t="shared" si="20"/>
        <v>0</v>
      </c>
      <c r="BE70" s="51">
        <f t="shared" si="21"/>
        <v>0</v>
      </c>
      <c r="BF70" s="51">
        <f t="shared" si="22"/>
        <v>0</v>
      </c>
      <c r="BG70" s="51">
        <f t="shared" si="23"/>
        <v>0</v>
      </c>
      <c r="BH70" s="51">
        <f t="shared" si="24"/>
        <v>0</v>
      </c>
      <c r="BI70" s="51">
        <f t="shared" si="185"/>
        <v>0</v>
      </c>
      <c r="BJ70" s="51">
        <f t="shared" si="186"/>
        <v>0</v>
      </c>
      <c r="BK70" s="51">
        <f t="shared" si="187"/>
        <v>0</v>
      </c>
      <c r="BL70" s="51">
        <f t="shared" si="188"/>
        <v>0</v>
      </c>
      <c r="BM70" s="51">
        <f t="shared" si="189"/>
        <v>0</v>
      </c>
      <c r="BN70" s="51">
        <f t="shared" si="190"/>
        <v>0</v>
      </c>
      <c r="BO70" s="51">
        <f t="shared" si="191"/>
        <v>0</v>
      </c>
      <c r="BP70" s="51">
        <f t="shared" si="192"/>
        <v>0</v>
      </c>
      <c r="BQ70" s="51">
        <f t="shared" si="193"/>
        <v>0</v>
      </c>
      <c r="BR70" s="51">
        <f t="shared" si="194"/>
        <v>0</v>
      </c>
      <c r="BS70" s="51">
        <f t="shared" si="195"/>
        <v>0</v>
      </c>
      <c r="BT70" s="51">
        <f t="shared" si="196"/>
        <v>0</v>
      </c>
      <c r="BU70" s="20">
        <f t="shared" si="197"/>
        <v>4761.462065114747</v>
      </c>
      <c r="BV70" s="20">
        <f t="shared" si="198"/>
        <v>4761.457073916793</v>
      </c>
      <c r="BW70" s="20">
        <f t="shared" si="199"/>
        <v>57137.569719166124</v>
      </c>
      <c r="BX70" s="20">
        <f t="shared" si="200"/>
        <v>57137.544781376964</v>
      </c>
      <c r="BY70" s="20">
        <f t="shared" si="201"/>
        <v>57137.484887001512</v>
      </c>
      <c r="BZ70" s="21">
        <f t="shared" si="202"/>
        <v>57137.533129181538</v>
      </c>
      <c r="CA70" s="19">
        <f t="shared" si="47"/>
        <v>1428438.3282295384</v>
      </c>
      <c r="CB70" s="20">
        <f t="shared" si="203"/>
        <v>1428437.1344543481</v>
      </c>
      <c r="CC70" s="20">
        <f t="shared" si="204"/>
        <v>1428436.5963518042</v>
      </c>
      <c r="CD70" s="20">
        <f t="shared" si="48"/>
        <v>0</v>
      </c>
      <c r="CE70" s="20">
        <f t="shared" si="113"/>
        <v>1400000</v>
      </c>
      <c r="CF70" s="20">
        <f t="shared" si="37"/>
        <v>183616.28549362559</v>
      </c>
      <c r="CG70" s="20">
        <f t="shared" si="205"/>
        <v>7344.6514197450233</v>
      </c>
      <c r="CH70" s="20">
        <f t="shared" si="39"/>
        <v>612.05428497875198</v>
      </c>
      <c r="CI70" s="20">
        <f t="shared" si="206"/>
        <v>177230.3354410686</v>
      </c>
      <c r="CJ70" s="24">
        <f t="shared" si="207"/>
        <v>0.12854348368909185</v>
      </c>
      <c r="CK70" s="24">
        <f t="shared" si="208"/>
        <v>3.6099088053241857E-2</v>
      </c>
      <c r="CL70" s="24">
        <f t="shared" si="209"/>
        <v>0.11602401150021364</v>
      </c>
      <c r="CM70" s="25">
        <f t="shared" si="210"/>
        <v>0.68329565152545269</v>
      </c>
      <c r="CN70" s="17"/>
      <c r="CO70" s="17"/>
      <c r="CP70" s="17"/>
      <c r="CQ70" s="17"/>
      <c r="CR70" s="17"/>
      <c r="CS70" s="17"/>
      <c r="CT70" s="17"/>
      <c r="CU70" s="17"/>
      <c r="CV70" s="17"/>
      <c r="CW70" s="30">
        <v>0</v>
      </c>
      <c r="CX70" s="17"/>
      <c r="CY70" s="17"/>
      <c r="CZ70" s="17"/>
      <c r="DA70" s="17"/>
      <c r="DB70" s="17"/>
    </row>
    <row r="71" spans="1:106" ht="15.75" thickBot="1" x14ac:dyDescent="0.3">
      <c r="A71" s="5">
        <f t="shared" si="70"/>
        <v>29</v>
      </c>
      <c r="B71" s="5">
        <f t="shared" si="69"/>
        <v>27</v>
      </c>
      <c r="C71" s="1">
        <v>44378</v>
      </c>
      <c r="D71" s="4"/>
      <c r="E71" s="30"/>
      <c r="F71" s="30"/>
      <c r="G71" s="30">
        <f t="shared" si="211"/>
        <v>0</v>
      </c>
      <c r="H71" s="30"/>
      <c r="I71" s="10">
        <v>0</v>
      </c>
      <c r="J71" s="60">
        <v>9000</v>
      </c>
      <c r="K71" s="11">
        <v>550</v>
      </c>
      <c r="L71" s="60">
        <f t="shared" si="72"/>
        <v>9465.7999205556443</v>
      </c>
      <c r="M71" s="11">
        <v>305</v>
      </c>
      <c r="N71" s="60">
        <v>0</v>
      </c>
      <c r="O71" s="11">
        <v>0</v>
      </c>
      <c r="P71" s="11">
        <v>0</v>
      </c>
      <c r="Q71" s="60">
        <f>(Q70*($K$1/12))+Q70 + $Q$6</f>
        <v>23267.971144382838</v>
      </c>
      <c r="R71" s="60">
        <f>(R70*($K$1/12))+R70</f>
        <v>5442.6858342630658</v>
      </c>
      <c r="S71" s="60">
        <f>(S70*($K$1/12))+S70</f>
        <v>4725.3431490710627</v>
      </c>
      <c r="T71" s="60">
        <f>(T70*($K$1/12))+T70+$T$6 + ((3%/12)*T$11)</f>
        <v>120877.83783719844</v>
      </c>
      <c r="U71" s="60">
        <f>(U70*$K$1/12) + U70 + ((U$11/12*7%))</f>
        <v>16182.938033856846</v>
      </c>
      <c r="V71" s="60">
        <v>3100</v>
      </c>
      <c r="W71" s="60">
        <f>(W70*($K$1/12))+W70+$W$6</f>
        <v>10821.447097170229</v>
      </c>
      <c r="X71" s="11">
        <v>0</v>
      </c>
      <c r="Y71" s="60">
        <f>(Y70*($K$1/12))+Y70+$Y$6</f>
        <v>8730.1539441069126</v>
      </c>
      <c r="Z71" s="60">
        <f>'Mortgage and Loans'!U33</f>
        <v>33914.15</v>
      </c>
      <c r="AA71" s="12">
        <f t="shared" si="2"/>
        <v>246383.32696060505</v>
      </c>
      <c r="AB71" s="56">
        <f t="shared" si="181"/>
        <v>750</v>
      </c>
      <c r="AC71" s="56">
        <f t="shared" si="181"/>
        <v>750</v>
      </c>
      <c r="AD71" s="56">
        <f t="shared" si="181"/>
        <v>750</v>
      </c>
      <c r="AE71" s="56">
        <f t="shared" si="181"/>
        <v>750</v>
      </c>
      <c r="AF71" s="56">
        <f t="shared" si="74"/>
        <v>261.45707391679395</v>
      </c>
      <c r="AG71" s="56">
        <f t="shared" si="181"/>
        <v>750</v>
      </c>
      <c r="AH71" s="56">
        <f>'Mortgage and Loans'!AF28</f>
        <v>46354.767741334203</v>
      </c>
      <c r="AI71" s="56">
        <f>'Mortgage and Loans'!AQ28</f>
        <v>15386.989084742963</v>
      </c>
      <c r="AJ71" s="56">
        <f>'Mortgage and Loans'!BB28</f>
        <v>16582.047031748767</v>
      </c>
      <c r="AK71" s="56">
        <f>'Mortgage and Loans'!BM28</f>
        <v>4129.0056576101097</v>
      </c>
      <c r="AL71" s="56">
        <f>'Mortgage and Loans'!T33</f>
        <v>146085.85</v>
      </c>
      <c r="AM71" s="12">
        <f t="shared" si="12"/>
        <v>-232550.11658935284</v>
      </c>
      <c r="AN71" s="75">
        <f t="shared" si="85"/>
        <v>13833.210371252208</v>
      </c>
      <c r="AO71" s="86">
        <f>'Mortgage and Loans'!G34</f>
        <v>2884.34</v>
      </c>
      <c r="AP71" s="79">
        <f>('Salary Tax Breakdown'!B$16/12)-Data!AO71</f>
        <v>563.15999999999985</v>
      </c>
      <c r="AQ71" s="87"/>
      <c r="AR71" s="20">
        <f t="shared" si="182"/>
        <v>4011.4570739167939</v>
      </c>
      <c r="AS71" s="20">
        <v>750</v>
      </c>
      <c r="AT71" s="20">
        <v>0</v>
      </c>
      <c r="AU71" s="20">
        <f t="shared" si="183"/>
        <v>4761.4570739167939</v>
      </c>
      <c r="AV71" s="20">
        <f t="shared" si="184"/>
        <v>4761.5810880884783</v>
      </c>
      <c r="AW71" s="51">
        <f t="shared" si="5"/>
        <v>0</v>
      </c>
      <c r="AX71" s="51">
        <f t="shared" si="14"/>
        <v>0</v>
      </c>
      <c r="AY71" s="51">
        <f t="shared" si="15"/>
        <v>0</v>
      </c>
      <c r="AZ71" s="51">
        <f t="shared" si="16"/>
        <v>0</v>
      </c>
      <c r="BA71" s="51">
        <f t="shared" si="17"/>
        <v>0</v>
      </c>
      <c r="BB71" s="51">
        <f t="shared" si="18"/>
        <v>0</v>
      </c>
      <c r="BC71" s="51">
        <f t="shared" si="19"/>
        <v>0</v>
      </c>
      <c r="BD71" s="51">
        <f t="shared" si="20"/>
        <v>0</v>
      </c>
      <c r="BE71" s="51">
        <f t="shared" si="21"/>
        <v>0</v>
      </c>
      <c r="BF71" s="51">
        <f t="shared" si="22"/>
        <v>0</v>
      </c>
      <c r="BG71" s="51">
        <f t="shared" si="23"/>
        <v>0</v>
      </c>
      <c r="BH71" s="51">
        <f t="shared" si="24"/>
        <v>0</v>
      </c>
      <c r="BI71" s="51">
        <f t="shared" si="185"/>
        <v>0</v>
      </c>
      <c r="BJ71" s="51">
        <f t="shared" si="186"/>
        <v>0</v>
      </c>
      <c r="BK71" s="51">
        <f t="shared" si="187"/>
        <v>0</v>
      </c>
      <c r="BL71" s="51">
        <f t="shared" si="188"/>
        <v>0</v>
      </c>
      <c r="BM71" s="51">
        <f t="shared" si="189"/>
        <v>0</v>
      </c>
      <c r="BN71" s="51">
        <f t="shared" si="190"/>
        <v>0</v>
      </c>
      <c r="BO71" s="51">
        <f t="shared" si="191"/>
        <v>0</v>
      </c>
      <c r="BP71" s="51">
        <f t="shared" si="192"/>
        <v>0</v>
      </c>
      <c r="BQ71" s="51">
        <f t="shared" si="193"/>
        <v>0</v>
      </c>
      <c r="BR71" s="51">
        <f t="shared" si="194"/>
        <v>0</v>
      </c>
      <c r="BS71" s="51">
        <f t="shared" si="195"/>
        <v>0</v>
      </c>
      <c r="BT71" s="51">
        <f t="shared" si="196"/>
        <v>0</v>
      </c>
      <c r="BU71" s="20">
        <f t="shared" si="197"/>
        <v>4761.4621501987604</v>
      </c>
      <c r="BV71" s="20">
        <f t="shared" si="198"/>
        <v>4761.4467394024869</v>
      </c>
      <c r="BW71" s="20">
        <f t="shared" si="199"/>
        <v>57137.484887001527</v>
      </c>
      <c r="BX71" s="20">
        <f t="shared" si="200"/>
        <v>57137.545802385124</v>
      </c>
      <c r="BY71" s="20">
        <f t="shared" si="201"/>
        <v>57137.360872829842</v>
      </c>
      <c r="BZ71" s="21">
        <f t="shared" si="202"/>
        <v>57137.463854072172</v>
      </c>
      <c r="CA71" s="19">
        <f t="shared" si="47"/>
        <v>1428436.5963518042</v>
      </c>
      <c r="CB71" s="20">
        <f t="shared" si="203"/>
        <v>1428437.6948712494</v>
      </c>
      <c r="CC71" s="20">
        <f t="shared" si="204"/>
        <v>1428433.859111283</v>
      </c>
      <c r="CD71" s="20">
        <f t="shared" si="48"/>
        <v>0</v>
      </c>
      <c r="CE71" s="20">
        <f t="shared" si="113"/>
        <v>1400000</v>
      </c>
      <c r="CF71" s="20">
        <f t="shared" si="37"/>
        <v>190048.37704004941</v>
      </c>
      <c r="CG71" s="20">
        <f t="shared" si="205"/>
        <v>7601.9350816019769</v>
      </c>
      <c r="CH71" s="20">
        <f t="shared" si="39"/>
        <v>633.49459013349804</v>
      </c>
      <c r="CI71" s="20">
        <f t="shared" si="206"/>
        <v>183627.83642470776</v>
      </c>
      <c r="CJ71" s="24">
        <f t="shared" si="207"/>
        <v>0.13304631887159712</v>
      </c>
      <c r="CK71" s="24">
        <f t="shared" si="208"/>
        <v>3.5030071156989591E-2</v>
      </c>
      <c r="CL71" s="24">
        <f t="shared" si="209"/>
        <v>0.11233153705271519</v>
      </c>
      <c r="CM71" s="25">
        <f t="shared" si="210"/>
        <v>0.65101844412545151</v>
      </c>
      <c r="CN71" s="17"/>
      <c r="CO71" s="17"/>
      <c r="CP71" s="17"/>
      <c r="CQ71" s="17"/>
      <c r="CR71" s="17"/>
      <c r="CS71" s="17"/>
      <c r="CT71" s="17"/>
      <c r="CU71" s="17"/>
      <c r="CV71" s="17"/>
      <c r="CW71" s="30">
        <v>0</v>
      </c>
      <c r="CX71" s="17"/>
      <c r="CY71" s="17"/>
      <c r="CZ71" s="17"/>
      <c r="DA71" s="17"/>
      <c r="DB71" s="17"/>
    </row>
    <row r="72" spans="1:106" ht="15.75" thickBot="1" x14ac:dyDescent="0.3">
      <c r="A72" s="5">
        <f t="shared" si="70"/>
        <v>29</v>
      </c>
      <c r="B72" s="5">
        <f t="shared" si="69"/>
        <v>27</v>
      </c>
      <c r="C72" s="1">
        <v>44409</v>
      </c>
      <c r="D72" s="4"/>
      <c r="E72" s="30"/>
      <c r="F72" s="30"/>
      <c r="G72" s="30">
        <f t="shared" si="211"/>
        <v>0</v>
      </c>
      <c r="H72" s="30"/>
      <c r="I72" s="10">
        <v>0</v>
      </c>
      <c r="J72" s="60">
        <v>9000</v>
      </c>
      <c r="K72" s="11">
        <v>550</v>
      </c>
      <c r="L72" s="60">
        <f t="shared" si="72"/>
        <v>9477.2377621263149</v>
      </c>
      <c r="M72" s="11">
        <v>305</v>
      </c>
      <c r="N72" s="60">
        <v>0</v>
      </c>
      <c r="O72" s="11">
        <v>0</v>
      </c>
      <c r="P72" s="11">
        <v>0</v>
      </c>
      <c r="Q72" s="60">
        <f>(Q71*($K$1/12))+Q71 + $Q$6</f>
        <v>24310.675988081577</v>
      </c>
      <c r="R72" s="60">
        <f>(R71*($K$1/12))+R71</f>
        <v>5472.167049198657</v>
      </c>
      <c r="S72" s="60">
        <f>(S71*($K$1/12))+S71</f>
        <v>4750.9387577951975</v>
      </c>
      <c r="T72" s="60">
        <f>(T71*($K$1/12))+T71+$T$6 + ((3%/12)*T$11)</f>
        <v>124707.59279214994</v>
      </c>
      <c r="U72" s="60">
        <f>(U71*$K$1/12) + U71 + ((U$11/12*7%))</f>
        <v>16678.928948206903</v>
      </c>
      <c r="V72" s="60">
        <v>3100</v>
      </c>
      <c r="W72" s="60">
        <f>(W71*($K$1/12))+W71+$W$6</f>
        <v>11167.563268946567</v>
      </c>
      <c r="X72" s="11">
        <v>0</v>
      </c>
      <c r="Y72" s="60">
        <f>(Y71*($K$1/12))+Y71+$Y$6</f>
        <v>9427.4422779708257</v>
      </c>
      <c r="Z72" s="60">
        <f>'Mortgage and Loans'!U34</f>
        <v>34138.78</v>
      </c>
      <c r="AA72" s="12">
        <f t="shared" si="2"/>
        <v>253086.32684447602</v>
      </c>
      <c r="AB72" s="56">
        <f t="shared" si="181"/>
        <v>750</v>
      </c>
      <c r="AC72" s="56">
        <f t="shared" si="181"/>
        <v>750</v>
      </c>
      <c r="AD72" s="56">
        <f t="shared" si="181"/>
        <v>750</v>
      </c>
      <c r="AE72" s="56">
        <f t="shared" si="181"/>
        <v>750</v>
      </c>
      <c r="AF72" s="56">
        <f t="shared" si="74"/>
        <v>261.44673940248686</v>
      </c>
      <c r="AG72" s="56">
        <f t="shared" si="181"/>
        <v>750</v>
      </c>
      <c r="AH72" s="56">
        <f>'Mortgage and Loans'!AF29</f>
        <v>46015.107741334199</v>
      </c>
      <c r="AI72" s="56">
        <f>'Mortgage and Loans'!AQ29</f>
        <v>15277.879084742963</v>
      </c>
      <c r="AJ72" s="56">
        <f>'Mortgage and Loans'!BB29</f>
        <v>16467.267031748768</v>
      </c>
      <c r="AK72" s="56">
        <f>'Mortgage and Loans'!BM29</f>
        <v>2931.5856576101096</v>
      </c>
      <c r="AL72" s="56">
        <f>'Mortgage and Loans'!T34</f>
        <v>145861.22</v>
      </c>
      <c r="AM72" s="12">
        <f t="shared" si="12"/>
        <v>-230564.50625483852</v>
      </c>
      <c r="AN72" s="75">
        <f t="shared" si="85"/>
        <v>22521.8205896375</v>
      </c>
      <c r="AO72" s="86">
        <f>'Mortgage and Loans'!G35</f>
        <v>2884.34</v>
      </c>
      <c r="AP72" s="79">
        <f>('Salary Tax Breakdown'!B$16/12)-Data!AO72</f>
        <v>563.15999999999985</v>
      </c>
      <c r="AQ72" s="87"/>
      <c r="AR72" s="20">
        <f t="shared" si="182"/>
        <v>4011.4467394024869</v>
      </c>
      <c r="AS72" s="20">
        <v>750</v>
      </c>
      <c r="AT72" s="20">
        <v>0</v>
      </c>
      <c r="AU72" s="20">
        <f t="shared" si="183"/>
        <v>4761.4467394024869</v>
      </c>
      <c r="AV72" s="20">
        <f t="shared" si="184"/>
        <v>4761.5772180407512</v>
      </c>
      <c r="AW72" s="51">
        <f t="shared" si="5"/>
        <v>0</v>
      </c>
      <c r="AX72" s="51">
        <f t="shared" si="14"/>
        <v>0</v>
      </c>
      <c r="AY72" s="51">
        <f t="shared" si="15"/>
        <v>0</v>
      </c>
      <c r="AZ72" s="51">
        <f t="shared" si="16"/>
        <v>0</v>
      </c>
      <c r="BA72" s="51">
        <f t="shared" si="17"/>
        <v>0</v>
      </c>
      <c r="BB72" s="51">
        <f t="shared" si="18"/>
        <v>0</v>
      </c>
      <c r="BC72" s="51">
        <f t="shared" si="19"/>
        <v>0</v>
      </c>
      <c r="BD72" s="51">
        <f t="shared" si="20"/>
        <v>0</v>
      </c>
      <c r="BE72" s="51">
        <f t="shared" si="21"/>
        <v>0</v>
      </c>
      <c r="BF72" s="51">
        <f t="shared" si="22"/>
        <v>0</v>
      </c>
      <c r="BG72" s="51">
        <f t="shared" si="23"/>
        <v>0</v>
      </c>
      <c r="BH72" s="51">
        <f t="shared" si="24"/>
        <v>0</v>
      </c>
      <c r="BI72" s="51">
        <f t="shared" si="185"/>
        <v>0</v>
      </c>
      <c r="BJ72" s="51">
        <f t="shared" si="186"/>
        <v>0</v>
      </c>
      <c r="BK72" s="51">
        <f t="shared" si="187"/>
        <v>0</v>
      </c>
      <c r="BL72" s="51">
        <f t="shared" si="188"/>
        <v>0</v>
      </c>
      <c r="BM72" s="51">
        <f t="shared" si="189"/>
        <v>0</v>
      </c>
      <c r="BN72" s="51">
        <f t="shared" si="190"/>
        <v>0</v>
      </c>
      <c r="BO72" s="51">
        <f t="shared" si="191"/>
        <v>0</v>
      </c>
      <c r="BP72" s="51">
        <f t="shared" si="192"/>
        <v>0</v>
      </c>
      <c r="BQ72" s="51">
        <f t="shared" si="193"/>
        <v>0</v>
      </c>
      <c r="BR72" s="51">
        <f t="shared" si="194"/>
        <v>0</v>
      </c>
      <c r="BS72" s="51">
        <f t="shared" si="195"/>
        <v>0</v>
      </c>
      <c r="BT72" s="51">
        <f t="shared" si="196"/>
        <v>0</v>
      </c>
      <c r="BU72" s="20">
        <f t="shared" si="197"/>
        <v>4761.4559855277084</v>
      </c>
      <c r="BV72" s="20">
        <f t="shared" si="198"/>
        <v>4761.4358661826309</v>
      </c>
      <c r="BW72" s="20">
        <f t="shared" si="199"/>
        <v>57137.360872829842</v>
      </c>
      <c r="BX72" s="20">
        <f t="shared" si="200"/>
        <v>57137.471826332505</v>
      </c>
      <c r="BY72" s="20">
        <f t="shared" si="201"/>
        <v>57137.230394191574</v>
      </c>
      <c r="BZ72" s="21">
        <f t="shared" si="202"/>
        <v>57137.354364451312</v>
      </c>
      <c r="CA72" s="19">
        <f t="shared" si="47"/>
        <v>1428433.8591112827</v>
      </c>
      <c r="CB72" s="20">
        <f t="shared" si="203"/>
        <v>1428436.261230875</v>
      </c>
      <c r="CC72" s="20">
        <f t="shared" si="204"/>
        <v>1428431.1560002125</v>
      </c>
      <c r="CD72" s="20">
        <f t="shared" si="48"/>
        <v>0</v>
      </c>
      <c r="CE72" s="20">
        <f t="shared" si="113"/>
        <v>1400000</v>
      </c>
      <c r="CF72" s="20">
        <f t="shared" si="37"/>
        <v>196515.30908234968</v>
      </c>
      <c r="CG72" s="20">
        <f t="shared" si="205"/>
        <v>7860.6123632939871</v>
      </c>
      <c r="CH72" s="20">
        <f t="shared" si="39"/>
        <v>655.05103027449888</v>
      </c>
      <c r="CI72" s="20">
        <f t="shared" si="206"/>
        <v>190059.99053867487</v>
      </c>
      <c r="CJ72" s="24">
        <f t="shared" si="207"/>
        <v>0.13757373319059654</v>
      </c>
      <c r="CK72" s="24">
        <f t="shared" si="208"/>
        <v>3.4027820405630037E-2</v>
      </c>
      <c r="CL72" s="24">
        <f t="shared" si="209"/>
        <v>0.10888493349786199</v>
      </c>
      <c r="CM72" s="25">
        <f t="shared" si="210"/>
        <v>0.6218041863245749</v>
      </c>
      <c r="CN72" s="17"/>
      <c r="CO72" s="17"/>
      <c r="CP72" s="17"/>
      <c r="CQ72" s="17"/>
      <c r="CR72" s="17"/>
      <c r="CS72" s="17"/>
      <c r="CT72" s="17"/>
      <c r="CU72" s="17"/>
      <c r="CV72" s="17"/>
      <c r="CW72" s="30">
        <v>0</v>
      </c>
      <c r="CX72" s="17"/>
      <c r="CY72" s="17"/>
      <c r="CZ72" s="17"/>
      <c r="DA72" s="17"/>
      <c r="DB72" s="17"/>
    </row>
    <row r="73" spans="1:106" ht="15.75" thickBot="1" x14ac:dyDescent="0.3">
      <c r="A73" s="5">
        <f t="shared" si="70"/>
        <v>29</v>
      </c>
      <c r="B73" s="5">
        <f t="shared" si="69"/>
        <v>27</v>
      </c>
      <c r="C73" s="1">
        <v>44440</v>
      </c>
      <c r="D73" s="4"/>
      <c r="E73" s="30"/>
      <c r="F73" s="30"/>
      <c r="G73" s="30">
        <f t="shared" si="211"/>
        <v>0</v>
      </c>
      <c r="H73" s="30"/>
      <c r="I73" s="10">
        <v>0</v>
      </c>
      <c r="J73" s="60">
        <v>9000</v>
      </c>
      <c r="K73" s="11">
        <v>550</v>
      </c>
      <c r="L73" s="60">
        <f t="shared" si="72"/>
        <v>9488.6894244222167</v>
      </c>
      <c r="M73" s="11">
        <v>305</v>
      </c>
      <c r="N73" s="60">
        <v>0</v>
      </c>
      <c r="O73" s="11">
        <v>0</v>
      </c>
      <c r="P73" s="11">
        <v>0</v>
      </c>
      <c r="Q73" s="60">
        <f>(Q72*($K$1/12))+Q72 + $Q$6</f>
        <v>25359.02881635035</v>
      </c>
      <c r="R73" s="60">
        <f>(R72*($K$1/12))+R72</f>
        <v>5501.8079540484832</v>
      </c>
      <c r="S73" s="60">
        <f>(S72*($K$1/12))+S72</f>
        <v>4776.6730093999213</v>
      </c>
      <c r="T73" s="60">
        <f>(T72*($K$1/12))+T72+$T$6 + ((3%/12)*T$11)</f>
        <v>128558.09225310742</v>
      </c>
      <c r="U73" s="60">
        <f>(U72*$K$1/12) + U72 + ((U$11/12*7%))</f>
        <v>17177.60648000969</v>
      </c>
      <c r="V73" s="60">
        <v>3100</v>
      </c>
      <c r="W73" s="60">
        <f>(W72*($K$1/12))+W72+$W$6</f>
        <v>11515.554236653361</v>
      </c>
      <c r="X73" s="11">
        <v>0</v>
      </c>
      <c r="Y73" s="60">
        <f>(Y72*($K$1/12))+Y72+$Y$6</f>
        <v>10128.507590309835</v>
      </c>
      <c r="Z73" s="60">
        <f>'Mortgage and Loans'!U35</f>
        <v>34364.18</v>
      </c>
      <c r="AA73" s="12">
        <f t="shared" si="2"/>
        <v>259825.13976430125</v>
      </c>
      <c r="AB73" s="56">
        <f t="shared" si="181"/>
        <v>750</v>
      </c>
      <c r="AC73" s="56">
        <f t="shared" si="181"/>
        <v>750</v>
      </c>
      <c r="AD73" s="56">
        <f t="shared" si="181"/>
        <v>750</v>
      </c>
      <c r="AE73" s="56">
        <f t="shared" si="181"/>
        <v>750</v>
      </c>
      <c r="AF73" s="56">
        <f t="shared" si="74"/>
        <v>261.43586618263151</v>
      </c>
      <c r="AG73" s="56">
        <f t="shared" si="181"/>
        <v>750</v>
      </c>
      <c r="AH73" s="56">
        <f>'Mortgage and Loans'!AF30</f>
        <v>45673.947741334196</v>
      </c>
      <c r="AI73" s="56">
        <f>'Mortgage and Loans'!AQ30</f>
        <v>15168.229084742963</v>
      </c>
      <c r="AJ73" s="56">
        <f>'Mortgage and Loans'!BB30</f>
        <v>16351.867031748769</v>
      </c>
      <c r="AK73" s="56">
        <f>'Mortgage and Loans'!BM30</f>
        <v>1727.1756576101097</v>
      </c>
      <c r="AL73" s="56">
        <f>'Mortgage and Loans'!T35</f>
        <v>145635.82</v>
      </c>
      <c r="AM73" s="12">
        <f t="shared" si="12"/>
        <v>-228568.47538161866</v>
      </c>
      <c r="AN73" s="75">
        <f t="shared" si="85"/>
        <v>31256.664382682589</v>
      </c>
      <c r="AO73" s="86">
        <f>'Mortgage and Loans'!G36</f>
        <v>2884.34</v>
      </c>
      <c r="AP73" s="79">
        <f>('Salary Tax Breakdown'!B$16/12)-Data!AO73</f>
        <v>563.15999999999985</v>
      </c>
      <c r="AQ73" s="87"/>
      <c r="AR73" s="20">
        <f t="shared" si="182"/>
        <v>4011.4358661826313</v>
      </c>
      <c r="AS73" s="20">
        <v>750</v>
      </c>
      <c r="AT73" s="20">
        <v>0</v>
      </c>
      <c r="AU73" s="20">
        <f t="shared" si="183"/>
        <v>4761.4358661826318</v>
      </c>
      <c r="AV73" s="20">
        <f t="shared" si="184"/>
        <v>4761.516652547949</v>
      </c>
      <c r="AW73" s="51">
        <f t="shared" si="5"/>
        <v>0</v>
      </c>
      <c r="AX73" s="51">
        <f t="shared" si="14"/>
        <v>0</v>
      </c>
      <c r="AY73" s="51">
        <f t="shared" si="15"/>
        <v>0</v>
      </c>
      <c r="AZ73" s="51">
        <f t="shared" si="16"/>
        <v>0</v>
      </c>
      <c r="BA73" s="51">
        <f t="shared" si="17"/>
        <v>0</v>
      </c>
      <c r="BB73" s="51">
        <f t="shared" si="18"/>
        <v>0</v>
      </c>
      <c r="BC73" s="51">
        <f t="shared" si="19"/>
        <v>0</v>
      </c>
      <c r="BD73" s="51">
        <f t="shared" si="20"/>
        <v>0</v>
      </c>
      <c r="BE73" s="51">
        <f t="shared" si="21"/>
        <v>0</v>
      </c>
      <c r="BF73" s="51">
        <f t="shared" si="22"/>
        <v>0</v>
      </c>
      <c r="BG73" s="51">
        <f t="shared" si="23"/>
        <v>0</v>
      </c>
      <c r="BH73" s="51">
        <f t="shared" si="24"/>
        <v>0</v>
      </c>
      <c r="BI73" s="51">
        <f t="shared" si="185"/>
        <v>0</v>
      </c>
      <c r="BJ73" s="51">
        <f t="shared" si="186"/>
        <v>0</v>
      </c>
      <c r="BK73" s="51">
        <f t="shared" si="187"/>
        <v>0</v>
      </c>
      <c r="BL73" s="51">
        <f t="shared" si="188"/>
        <v>0</v>
      </c>
      <c r="BM73" s="51">
        <f t="shared" si="189"/>
        <v>0</v>
      </c>
      <c r="BN73" s="51">
        <f t="shared" si="190"/>
        <v>0</v>
      </c>
      <c r="BO73" s="51">
        <f t="shared" si="191"/>
        <v>0</v>
      </c>
      <c r="BP73" s="51">
        <f t="shared" si="192"/>
        <v>0</v>
      </c>
      <c r="BQ73" s="51">
        <f t="shared" si="193"/>
        <v>0</v>
      </c>
      <c r="BR73" s="51">
        <f t="shared" si="194"/>
        <v>0</v>
      </c>
      <c r="BS73" s="51">
        <f t="shared" si="195"/>
        <v>0</v>
      </c>
      <c r="BT73" s="51">
        <f t="shared" si="196"/>
        <v>0</v>
      </c>
      <c r="BU73" s="20">
        <f t="shared" si="197"/>
        <v>4761.4465598339712</v>
      </c>
      <c r="BV73" s="20">
        <f t="shared" si="198"/>
        <v>4761.4291339855208</v>
      </c>
      <c r="BW73" s="20">
        <f t="shared" si="199"/>
        <v>57137.230394191582</v>
      </c>
      <c r="BX73" s="20">
        <f t="shared" si="200"/>
        <v>57137.358718007657</v>
      </c>
      <c r="BY73" s="20">
        <f t="shared" si="201"/>
        <v>57137.14960782625</v>
      </c>
      <c r="BZ73" s="21">
        <f t="shared" si="202"/>
        <v>57137.246240008499</v>
      </c>
      <c r="CA73" s="19">
        <f t="shared" si="47"/>
        <v>1428431.1560002125</v>
      </c>
      <c r="CB73" s="20">
        <f t="shared" si="203"/>
        <v>1428433.8704877666</v>
      </c>
      <c r="CC73" s="20">
        <f t="shared" si="204"/>
        <v>1428429.543621755</v>
      </c>
      <c r="CD73" s="20">
        <f t="shared" si="48"/>
        <v>0</v>
      </c>
      <c r="CE73" s="20">
        <f t="shared" si="113"/>
        <v>1400000</v>
      </c>
      <c r="CF73" s="20">
        <f t="shared" si="37"/>
        <v>203017.27033987903</v>
      </c>
      <c r="CG73" s="20">
        <f t="shared" si="205"/>
        <v>8120.6908135951617</v>
      </c>
      <c r="CH73" s="20">
        <f t="shared" si="39"/>
        <v>676.72423446626351</v>
      </c>
      <c r="CI73" s="20">
        <f t="shared" si="206"/>
        <v>196526.98548742602</v>
      </c>
      <c r="CJ73" s="24">
        <f t="shared" si="207"/>
        <v>0.14212577462235254</v>
      </c>
      <c r="CK73" s="24">
        <f t="shared" si="208"/>
        <v>3.3086283648286724E-2</v>
      </c>
      <c r="CL73" s="24">
        <f t="shared" si="209"/>
        <v>0.1056604799192878</v>
      </c>
      <c r="CM73" s="25">
        <f t="shared" si="210"/>
        <v>0.59523700925791778</v>
      </c>
      <c r="CN73" s="17"/>
      <c r="CO73" s="17"/>
      <c r="CP73" s="17"/>
      <c r="CQ73" s="17"/>
      <c r="CR73" s="17"/>
      <c r="CS73" s="17"/>
      <c r="CT73" s="17"/>
      <c r="CU73" s="17"/>
      <c r="CV73" s="17"/>
      <c r="CW73" s="30">
        <v>0</v>
      </c>
      <c r="CX73" s="17"/>
      <c r="CY73" s="17"/>
      <c r="CZ73" s="17"/>
      <c r="DA73" s="17"/>
      <c r="DB73" s="17"/>
    </row>
    <row r="74" spans="1:106" ht="15.75" thickBot="1" x14ac:dyDescent="0.3">
      <c r="A74" s="5">
        <f t="shared" si="70"/>
        <v>29</v>
      </c>
      <c r="B74" s="5">
        <f t="shared" si="69"/>
        <v>28</v>
      </c>
      <c r="C74" s="1">
        <v>44470</v>
      </c>
      <c r="D74" s="4"/>
      <c r="E74" s="30"/>
      <c r="F74" s="30"/>
      <c r="G74" s="30">
        <f t="shared" si="211"/>
        <v>0</v>
      </c>
      <c r="H74" s="30"/>
      <c r="I74" s="10">
        <v>0</v>
      </c>
      <c r="J74" s="60">
        <v>9000</v>
      </c>
      <c r="K74" s="11">
        <v>550</v>
      </c>
      <c r="L74" s="60">
        <f t="shared" si="72"/>
        <v>9500.1549241433931</v>
      </c>
      <c r="M74" s="11">
        <v>305</v>
      </c>
      <c r="N74" s="60">
        <v>0</v>
      </c>
      <c r="O74" s="11">
        <v>0</v>
      </c>
      <c r="P74" s="11">
        <v>0</v>
      </c>
      <c r="Q74" s="60">
        <f>(Q73*($K$1/12))+Q73 + $Q$6</f>
        <v>26413.060222438911</v>
      </c>
      <c r="R74" s="60">
        <f>(R73*($K$1/12))+R73</f>
        <v>5531.6094137995788</v>
      </c>
      <c r="S74" s="60">
        <f>(S73*($K$1/12))+S73</f>
        <v>4802.546654867504</v>
      </c>
      <c r="T74" s="60">
        <f>(T73*($K$1/12))+T73+$T$6 + ((3%/12)*T$11)</f>
        <v>132429.44858614507</v>
      </c>
      <c r="U74" s="60">
        <f>(U73*$K$1/12) + U73 + ((U$11/12*7%))</f>
        <v>17678.985181776407</v>
      </c>
      <c r="V74" s="60">
        <v>3100</v>
      </c>
      <c r="W74" s="60">
        <f>(W73*($K$1/12))+W73+$W$6</f>
        <v>11865.430155435233</v>
      </c>
      <c r="X74" s="11">
        <v>0</v>
      </c>
      <c r="Y74" s="60">
        <f>(Y73*($K$1/12))+Y73+$Y$6</f>
        <v>10833.370339757346</v>
      </c>
      <c r="Z74" s="60">
        <f>'Mortgage and Loans'!U36</f>
        <v>34590.36</v>
      </c>
      <c r="AA74" s="12">
        <f t="shared" si="2"/>
        <v>266599.96547836345</v>
      </c>
      <c r="AB74" s="56">
        <f t="shared" si="181"/>
        <v>750</v>
      </c>
      <c r="AC74" s="56">
        <f t="shared" si="181"/>
        <v>750</v>
      </c>
      <c r="AD74" s="56">
        <f t="shared" si="181"/>
        <v>750</v>
      </c>
      <c r="AE74" s="56">
        <f t="shared" si="181"/>
        <v>750</v>
      </c>
      <c r="AF74" s="56">
        <f t="shared" si="74"/>
        <v>261.42913398552167</v>
      </c>
      <c r="AG74" s="56">
        <f t="shared" si="181"/>
        <v>750</v>
      </c>
      <c r="AH74" s="56">
        <f>'Mortgage and Loans'!AF31</f>
        <v>45331.277741334197</v>
      </c>
      <c r="AI74" s="56">
        <f>'Mortgage and Loans'!AQ31</f>
        <v>15058.029084742962</v>
      </c>
      <c r="AJ74" s="56">
        <f>'Mortgage and Loans'!BB31</f>
        <v>16235.837031748768</v>
      </c>
      <c r="AK74" s="56">
        <f>'Mortgage and Loans'!BM31</f>
        <v>515.74565761010967</v>
      </c>
      <c r="AL74" s="56">
        <f>'Mortgage and Loans'!T36</f>
        <v>145409.64000000001</v>
      </c>
      <c r="AM74" s="12">
        <f t="shared" si="12"/>
        <v>-226561.95864942158</v>
      </c>
      <c r="AN74" s="75">
        <f t="shared" si="85"/>
        <v>40038.00682894187</v>
      </c>
      <c r="AO74" s="86">
        <f>'Mortgage and Loans'!G37</f>
        <v>2884.34</v>
      </c>
      <c r="AP74" s="79">
        <f>('Salary Tax Breakdown'!B$16/12)-Data!AO74</f>
        <v>563.15999999999985</v>
      </c>
      <c r="AQ74" s="87"/>
      <c r="AR74" s="20">
        <f t="shared" si="182"/>
        <v>4011.4291339855217</v>
      </c>
      <c r="AS74" s="20">
        <v>750</v>
      </c>
      <c r="AT74" s="20">
        <v>0</v>
      </c>
      <c r="AU74" s="20">
        <f t="shared" si="183"/>
        <v>4761.4291339855217</v>
      </c>
      <c r="AV74" s="20">
        <f t="shared" si="184"/>
        <v>4761.4300733100326</v>
      </c>
      <c r="AW74" s="51">
        <f t="shared" si="5"/>
        <v>0</v>
      </c>
      <c r="AX74" s="51">
        <f t="shared" si="14"/>
        <v>0</v>
      </c>
      <c r="AY74" s="51">
        <f t="shared" si="15"/>
        <v>0</v>
      </c>
      <c r="AZ74" s="51">
        <f t="shared" si="16"/>
        <v>0</v>
      </c>
      <c r="BA74" s="51">
        <f t="shared" si="17"/>
        <v>0</v>
      </c>
      <c r="BB74" s="51">
        <f t="shared" si="18"/>
        <v>0</v>
      </c>
      <c r="BC74" s="51">
        <f t="shared" si="19"/>
        <v>0</v>
      </c>
      <c r="BD74" s="51">
        <f t="shared" si="20"/>
        <v>0</v>
      </c>
      <c r="BE74" s="51">
        <f t="shared" si="21"/>
        <v>0</v>
      </c>
      <c r="BF74" s="51">
        <f t="shared" si="22"/>
        <v>0</v>
      </c>
      <c r="BG74" s="51">
        <f t="shared" si="23"/>
        <v>0</v>
      </c>
      <c r="BH74" s="51">
        <f t="shared" si="24"/>
        <v>0</v>
      </c>
      <c r="BI74" s="51">
        <f t="shared" si="185"/>
        <v>0</v>
      </c>
      <c r="BJ74" s="51">
        <f t="shared" si="186"/>
        <v>0</v>
      </c>
      <c r="BK74" s="51">
        <f t="shared" si="187"/>
        <v>0</v>
      </c>
      <c r="BL74" s="51">
        <f t="shared" si="188"/>
        <v>0</v>
      </c>
      <c r="BM74" s="51">
        <f t="shared" si="189"/>
        <v>0</v>
      </c>
      <c r="BN74" s="51">
        <f t="shared" si="190"/>
        <v>0</v>
      </c>
      <c r="BO74" s="51">
        <f t="shared" si="191"/>
        <v>0</v>
      </c>
      <c r="BP74" s="51">
        <f t="shared" si="192"/>
        <v>0</v>
      </c>
      <c r="BQ74" s="51">
        <f t="shared" si="193"/>
        <v>0</v>
      </c>
      <c r="BR74" s="51">
        <f t="shared" si="194"/>
        <v>0</v>
      </c>
      <c r="BS74" s="51">
        <f t="shared" si="195"/>
        <v>0</v>
      </c>
      <c r="BT74" s="51">
        <f t="shared" si="196"/>
        <v>0</v>
      </c>
      <c r="BU74" s="20">
        <f t="shared" si="197"/>
        <v>4761.4372465235465</v>
      </c>
      <c r="BV74" s="20">
        <f t="shared" si="198"/>
        <v>4761.4290557084787</v>
      </c>
      <c r="BW74" s="20">
        <f t="shared" si="199"/>
        <v>57137.149607826257</v>
      </c>
      <c r="BX74" s="20">
        <f t="shared" si="200"/>
        <v>57137.246958282558</v>
      </c>
      <c r="BY74" s="20">
        <f t="shared" si="201"/>
        <v>57137.148668501744</v>
      </c>
      <c r="BZ74" s="21">
        <f t="shared" si="202"/>
        <v>57137.181744870184</v>
      </c>
      <c r="CA74" s="19">
        <f t="shared" si="47"/>
        <v>1428429.5436217545</v>
      </c>
      <c r="CB74" s="20">
        <f t="shared" si="203"/>
        <v>1428431.51957775</v>
      </c>
      <c r="CC74" s="20">
        <f t="shared" si="204"/>
        <v>1428429.2078278484</v>
      </c>
      <c r="CD74" s="20">
        <f t="shared" si="48"/>
        <v>0</v>
      </c>
      <c r="CE74" s="20">
        <f t="shared" si="113"/>
        <v>1400000</v>
      </c>
      <c r="CF74" s="20">
        <f t="shared" si="37"/>
        <v>209554.45055422003</v>
      </c>
      <c r="CG74" s="20">
        <f t="shared" si="205"/>
        <v>8382.1780221688023</v>
      </c>
      <c r="CH74" s="20">
        <f t="shared" si="39"/>
        <v>698.51483518073348</v>
      </c>
      <c r="CI74" s="20">
        <f t="shared" si="206"/>
        <v>203029.00999214957</v>
      </c>
      <c r="CJ74" s="24">
        <f t="shared" si="207"/>
        <v>0.1467024828856795</v>
      </c>
      <c r="CK74" s="24">
        <f t="shared" si="208"/>
        <v>3.2200118755398778E-2</v>
      </c>
      <c r="CL74" s="24">
        <f t="shared" si="209"/>
        <v>0.10263741168418426</v>
      </c>
      <c r="CM74" s="25">
        <f t="shared" si="210"/>
        <v>0.57097306980964591</v>
      </c>
      <c r="CN74" s="17"/>
      <c r="CO74" s="17"/>
      <c r="CP74" s="17"/>
      <c r="CQ74" s="17"/>
      <c r="CR74" s="17"/>
      <c r="CS74" s="17"/>
      <c r="CT74" s="17"/>
      <c r="CU74" s="17"/>
      <c r="CV74" s="17"/>
      <c r="CW74" s="30">
        <v>0</v>
      </c>
      <c r="CX74" s="17"/>
      <c r="CY74" s="17"/>
      <c r="CZ74" s="17"/>
      <c r="DA74" s="17"/>
      <c r="DB74" s="17"/>
    </row>
    <row r="75" spans="1:106" ht="15.75" thickBot="1" x14ac:dyDescent="0.3">
      <c r="A75" s="5">
        <f t="shared" si="70"/>
        <v>29</v>
      </c>
      <c r="B75" s="5">
        <f t="shared" si="69"/>
        <v>28</v>
      </c>
      <c r="C75" s="1">
        <v>44501</v>
      </c>
      <c r="D75" s="4"/>
      <c r="E75" s="30"/>
      <c r="F75" s="30"/>
      <c r="G75" s="30">
        <f t="shared" si="211"/>
        <v>0</v>
      </c>
      <c r="H75" s="30"/>
      <c r="I75" s="10">
        <v>0</v>
      </c>
      <c r="J75" s="60">
        <v>9000</v>
      </c>
      <c r="K75" s="11">
        <v>550</v>
      </c>
      <c r="L75" s="60">
        <f t="shared" si="72"/>
        <v>9511.6342780100658</v>
      </c>
      <c r="M75" s="11">
        <v>305</v>
      </c>
      <c r="N75" s="60">
        <v>0</v>
      </c>
      <c r="O75" s="11">
        <v>0</v>
      </c>
      <c r="P75" s="11">
        <v>0</v>
      </c>
      <c r="Q75" s="60">
        <f>(Q74*($K$1/12))+Q74 + $Q$6</f>
        <v>27472.800965310453</v>
      </c>
      <c r="R75" s="60">
        <f>(R74*($K$1/12))+R74</f>
        <v>5561.5722981243262</v>
      </c>
      <c r="S75" s="60">
        <f>(S74*($K$1/12))+S74</f>
        <v>4828.5604492480361</v>
      </c>
      <c r="T75" s="60">
        <f>(T74*($K$1/12))+T74+$T$6 + ((3%/12)*T$11)</f>
        <v>136321.77476598669</v>
      </c>
      <c r="U75" s="60">
        <f>(U74*$K$1/12) + U74 + ((U$11/12*7%))</f>
        <v>18183.079684844361</v>
      </c>
      <c r="V75" s="60">
        <v>3100</v>
      </c>
      <c r="W75" s="60">
        <f>(W74*($K$1/12))+W74+$W$6</f>
        <v>12217.201235443841</v>
      </c>
      <c r="X75" s="11">
        <v>0</v>
      </c>
      <c r="Y75" s="60">
        <f>(Y74*($K$1/12))+Y74+$Y$6</f>
        <v>11542.051095764366</v>
      </c>
      <c r="Z75" s="60">
        <f>'Mortgage and Loans'!U37</f>
        <v>34817.32</v>
      </c>
      <c r="AA75" s="12">
        <f t="shared" si="2"/>
        <v>273410.99477273214</v>
      </c>
      <c r="AB75" s="56">
        <f t="shared" si="181"/>
        <v>750</v>
      </c>
      <c r="AC75" s="56">
        <f t="shared" si="181"/>
        <v>750</v>
      </c>
      <c r="AD75" s="56">
        <f t="shared" si="181"/>
        <v>750</v>
      </c>
      <c r="AE75" s="56">
        <f t="shared" si="181"/>
        <v>750</v>
      </c>
      <c r="AF75" s="56">
        <f t="shared" si="74"/>
        <v>261.42905570847915</v>
      </c>
      <c r="AG75" s="56">
        <f t="shared" si="181"/>
        <v>750</v>
      </c>
      <c r="AH75" s="56">
        <f>'Mortgage and Loans'!AF32</f>
        <v>44987.087741334195</v>
      </c>
      <c r="AI75" s="56">
        <f>'Mortgage and Loans'!AQ32</f>
        <v>14947.279084742962</v>
      </c>
      <c r="AJ75" s="56">
        <f>'Mortgage and Loans'!BB32</f>
        <v>15419.177031748768</v>
      </c>
      <c r="AK75" s="56">
        <f>'Mortgage and Loans'!BM32</f>
        <v>-4.3423898903256486E-3</v>
      </c>
      <c r="AL75" s="56">
        <f>'Mortgage and Loans'!T37</f>
        <v>145182.68000000002</v>
      </c>
      <c r="AM75" s="12">
        <f t="shared" si="12"/>
        <v>-224547.64857114456</v>
      </c>
      <c r="AN75" s="75">
        <f t="shared" si="85"/>
        <v>48863.346201587585</v>
      </c>
      <c r="AO75" s="86">
        <f>'Mortgage and Loans'!G38</f>
        <v>2881.59</v>
      </c>
      <c r="AP75" s="79">
        <f>('Salary Tax Breakdown'!B$16/12)-Data!AO75</f>
        <v>565.90999999999985</v>
      </c>
      <c r="AQ75" s="87"/>
      <c r="AR75" s="20">
        <f t="shared" si="182"/>
        <v>4011.4290557084792</v>
      </c>
      <c r="AS75" s="20">
        <v>750</v>
      </c>
      <c r="AT75" s="20">
        <v>0</v>
      </c>
      <c r="AU75" s="20">
        <f t="shared" si="183"/>
        <v>4761.4290557084787</v>
      </c>
      <c r="AV75" s="20">
        <f t="shared" si="184"/>
        <v>4761.3976768767097</v>
      </c>
      <c r="AW75" s="51">
        <f t="shared" si="5"/>
        <v>0</v>
      </c>
      <c r="AX75" s="51">
        <f t="shared" si="14"/>
        <v>0</v>
      </c>
      <c r="AY75" s="51">
        <f t="shared" si="15"/>
        <v>0</v>
      </c>
      <c r="AZ75" s="51">
        <f t="shared" si="16"/>
        <v>0</v>
      </c>
      <c r="BA75" s="51">
        <f t="shared" si="17"/>
        <v>0</v>
      </c>
      <c r="BB75" s="51">
        <f t="shared" si="18"/>
        <v>0</v>
      </c>
      <c r="BC75" s="51">
        <f t="shared" si="19"/>
        <v>0</v>
      </c>
      <c r="BD75" s="51">
        <f t="shared" si="20"/>
        <v>0</v>
      </c>
      <c r="BE75" s="51">
        <f t="shared" si="21"/>
        <v>0</v>
      </c>
      <c r="BF75" s="51">
        <f t="shared" si="22"/>
        <v>0</v>
      </c>
      <c r="BG75" s="51">
        <f t="shared" si="23"/>
        <v>0</v>
      </c>
      <c r="BH75" s="51">
        <f t="shared" si="24"/>
        <v>0</v>
      </c>
      <c r="BI75" s="51">
        <f t="shared" si="185"/>
        <v>0</v>
      </c>
      <c r="BJ75" s="51">
        <f t="shared" si="186"/>
        <v>0</v>
      </c>
      <c r="BK75" s="51">
        <f t="shared" si="187"/>
        <v>0</v>
      </c>
      <c r="BL75" s="51">
        <f t="shared" si="188"/>
        <v>0</v>
      </c>
      <c r="BM75" s="51">
        <f t="shared" si="189"/>
        <v>0</v>
      </c>
      <c r="BN75" s="51">
        <f t="shared" si="190"/>
        <v>0</v>
      </c>
      <c r="BO75" s="51">
        <f t="shared" si="191"/>
        <v>0</v>
      </c>
      <c r="BP75" s="51">
        <f t="shared" si="192"/>
        <v>0</v>
      </c>
      <c r="BQ75" s="51">
        <f t="shared" si="193"/>
        <v>0</v>
      </c>
      <c r="BR75" s="51">
        <f t="shared" si="194"/>
        <v>0</v>
      </c>
      <c r="BS75" s="51">
        <f t="shared" si="195"/>
        <v>0</v>
      </c>
      <c r="BT75" s="51">
        <f t="shared" si="196"/>
        <v>0</v>
      </c>
      <c r="BU75" s="20">
        <f t="shared" si="197"/>
        <v>4761.4313519588768</v>
      </c>
      <c r="BV75" s="20">
        <f t="shared" si="198"/>
        <v>4761.4316706111267</v>
      </c>
      <c r="BW75" s="20">
        <f t="shared" si="199"/>
        <v>57137.148668501744</v>
      </c>
      <c r="BX75" s="20">
        <f t="shared" si="200"/>
        <v>57137.176223506525</v>
      </c>
      <c r="BY75" s="20">
        <f t="shared" si="201"/>
        <v>57137.180047333517</v>
      </c>
      <c r="BZ75" s="21">
        <f t="shared" si="202"/>
        <v>57137.168313113936</v>
      </c>
      <c r="CA75" s="19">
        <f t="shared" si="47"/>
        <v>1428429.2078278484</v>
      </c>
      <c r="CB75" s="20">
        <f t="shared" si="203"/>
        <v>1428429.9691499386</v>
      </c>
      <c r="CC75" s="20">
        <f t="shared" si="204"/>
        <v>1428429.6716428457</v>
      </c>
      <c r="CD75" s="20">
        <f t="shared" si="48"/>
        <v>0</v>
      </c>
      <c r="CE75" s="20">
        <f t="shared" si="113"/>
        <v>1400000</v>
      </c>
      <c r="CF75" s="20">
        <f t="shared" si="37"/>
        <v>216127.04049472205</v>
      </c>
      <c r="CG75" s="20">
        <f t="shared" si="205"/>
        <v>8645.0816197888817</v>
      </c>
      <c r="CH75" s="20">
        <f t="shared" si="39"/>
        <v>720.42346831574014</v>
      </c>
      <c r="CI75" s="20">
        <f t="shared" si="206"/>
        <v>209566.25379627373</v>
      </c>
      <c r="CJ75" s="24">
        <f t="shared" si="207"/>
        <v>0.15130391070087928</v>
      </c>
      <c r="CK75" s="24">
        <f t="shared" si="208"/>
        <v>3.1364592463291194E-2</v>
      </c>
      <c r="CL75" s="24">
        <f t="shared" si="209"/>
        <v>9.9797473814897994E-2</v>
      </c>
      <c r="CM75" s="25">
        <f t="shared" si="210"/>
        <v>0.54872560475888699</v>
      </c>
      <c r="CN75" s="17"/>
      <c r="CO75" s="17"/>
      <c r="CP75" s="17"/>
      <c r="CQ75" s="17"/>
      <c r="CR75" s="17"/>
      <c r="CS75" s="17"/>
      <c r="CT75" s="17"/>
      <c r="CU75" s="17"/>
      <c r="CV75" s="17"/>
      <c r="CW75" s="30">
        <v>0</v>
      </c>
      <c r="CX75" s="17"/>
      <c r="CY75" s="17"/>
      <c r="CZ75" s="17"/>
      <c r="DA75" s="17"/>
      <c r="DB75" s="17"/>
    </row>
    <row r="76" spans="1:106" ht="15.75" thickBot="1" x14ac:dyDescent="0.3">
      <c r="A76" s="5">
        <f t="shared" si="70"/>
        <v>30</v>
      </c>
      <c r="B76" s="5">
        <f t="shared" si="69"/>
        <v>28</v>
      </c>
      <c r="C76" s="1">
        <v>44531</v>
      </c>
      <c r="D76" s="4"/>
      <c r="E76" s="30"/>
      <c r="F76" s="30"/>
      <c r="G76" s="30">
        <f t="shared" si="211"/>
        <v>0</v>
      </c>
      <c r="H76" s="30"/>
      <c r="I76" s="10">
        <v>0</v>
      </c>
      <c r="J76" s="60">
        <v>9000</v>
      </c>
      <c r="K76" s="11">
        <v>550</v>
      </c>
      <c r="L76" s="60">
        <f t="shared" si="72"/>
        <v>9523.1275027626598</v>
      </c>
      <c r="M76" s="11">
        <v>305</v>
      </c>
      <c r="N76" s="60">
        <v>0</v>
      </c>
      <c r="O76" s="11">
        <v>0</v>
      </c>
      <c r="P76" s="11">
        <v>0</v>
      </c>
      <c r="Q76" s="60">
        <f>(Q75*($K$1/12))+Q75 + $Q$6</f>
        <v>28538.281970539218</v>
      </c>
      <c r="R76" s="60">
        <f>(R75*($K$1/12))+R75</f>
        <v>5591.6974814058331</v>
      </c>
      <c r="S76" s="60">
        <f>(S75*($K$1/12))+S75</f>
        <v>4854.7151516814629</v>
      </c>
      <c r="T76" s="60">
        <f>(T75*($K$1/12))+T75+$T$6 + ((3%/12)*T$11)</f>
        <v>140235.18437930246</v>
      </c>
      <c r="U76" s="60">
        <f>(U75*$K$1/12) + U75 + ((U$11/12*7%))</f>
        <v>18689.904699803934</v>
      </c>
      <c r="V76" s="60">
        <v>3100</v>
      </c>
      <c r="W76" s="60">
        <f>(W75*($K$1/12))+W75+$W$6</f>
        <v>12570.877742135828</v>
      </c>
      <c r="X76" s="11">
        <v>0</v>
      </c>
      <c r="Y76" s="60">
        <f>(Y75*($K$1/12))+Y75+$Y$6</f>
        <v>12254.570539199756</v>
      </c>
      <c r="Z76" s="60">
        <f>'Mortgage and Loans'!U38</f>
        <v>35045.06</v>
      </c>
      <c r="AA76" s="12">
        <f t="shared" si="2"/>
        <v>280258.41946683114</v>
      </c>
      <c r="AB76" s="56">
        <f t="shared" si="181"/>
        <v>750</v>
      </c>
      <c r="AC76" s="56">
        <f t="shared" si="181"/>
        <v>750</v>
      </c>
      <c r="AD76" s="56">
        <f t="shared" si="181"/>
        <v>750</v>
      </c>
      <c r="AE76" s="56">
        <f t="shared" si="181"/>
        <v>750</v>
      </c>
      <c r="AF76" s="56">
        <f t="shared" si="74"/>
        <v>261.43167061112661</v>
      </c>
      <c r="AG76" s="56">
        <f t="shared" si="181"/>
        <v>750</v>
      </c>
      <c r="AH76" s="56">
        <f>'Mortgage and Loans'!AF33</f>
        <v>44641.377741334196</v>
      </c>
      <c r="AI76" s="56">
        <f>'Mortgage and Loans'!AQ33</f>
        <v>14835.979084742963</v>
      </c>
      <c r="AJ76" s="56">
        <f>'Mortgage and Loans'!BB33</f>
        <v>14098.097031748768</v>
      </c>
      <c r="AK76" s="56">
        <f>'Mortgage and Loans'!BM33</f>
        <v>0</v>
      </c>
      <c r="AL76" s="56">
        <f>'Mortgage and Loans'!T38</f>
        <v>144954.94000000003</v>
      </c>
      <c r="AM76" s="12">
        <f t="shared" si="12"/>
        <v>-222541.8255284371</v>
      </c>
      <c r="AN76" s="75">
        <f t="shared" si="85"/>
        <v>57716.593938394042</v>
      </c>
      <c r="AO76" s="86">
        <f>'Mortgage and Loans'!G39</f>
        <v>2862.83</v>
      </c>
      <c r="AP76" s="79">
        <f>('Salary Tax Breakdown'!B$16/12)-Data!AO76</f>
        <v>584.67000000000007</v>
      </c>
      <c r="AQ76" s="87"/>
      <c r="AR76" s="20">
        <f t="shared" si="182"/>
        <v>4011.4316706111267</v>
      </c>
      <c r="AS76" s="20">
        <v>750</v>
      </c>
      <c r="AT76" s="20">
        <v>0</v>
      </c>
      <c r="AU76" s="20">
        <f t="shared" si="183"/>
        <v>4761.4316706111267</v>
      </c>
      <c r="AV76" s="20">
        <f t="shared" si="184"/>
        <v>4761.3906093571786</v>
      </c>
      <c r="AW76" s="51">
        <f t="shared" si="5"/>
        <v>0</v>
      </c>
      <c r="AX76" s="51">
        <f t="shared" si="14"/>
        <v>0</v>
      </c>
      <c r="AY76" s="51">
        <f t="shared" si="15"/>
        <v>0</v>
      </c>
      <c r="AZ76" s="51">
        <f t="shared" si="16"/>
        <v>0</v>
      </c>
      <c r="BA76" s="51">
        <f t="shared" si="17"/>
        <v>0</v>
      </c>
      <c r="BB76" s="51">
        <f t="shared" si="18"/>
        <v>0</v>
      </c>
      <c r="BC76" s="51">
        <f t="shared" si="19"/>
        <v>0</v>
      </c>
      <c r="BD76" s="51">
        <f t="shared" si="20"/>
        <v>0</v>
      </c>
      <c r="BE76" s="51">
        <f t="shared" si="21"/>
        <v>0</v>
      </c>
      <c r="BF76" s="51">
        <f t="shared" si="22"/>
        <v>0</v>
      </c>
      <c r="BG76" s="51">
        <f t="shared" si="23"/>
        <v>0</v>
      </c>
      <c r="BH76" s="51">
        <f t="shared" si="24"/>
        <v>0</v>
      </c>
      <c r="BI76" s="51">
        <f t="shared" si="185"/>
        <v>0</v>
      </c>
      <c r="BJ76" s="51">
        <f t="shared" si="186"/>
        <v>0</v>
      </c>
      <c r="BK76" s="51">
        <f t="shared" si="187"/>
        <v>0</v>
      </c>
      <c r="BL76" s="51">
        <f t="shared" si="188"/>
        <v>0</v>
      </c>
      <c r="BM76" s="51">
        <f t="shared" si="189"/>
        <v>0</v>
      </c>
      <c r="BN76" s="51">
        <f t="shared" si="190"/>
        <v>0</v>
      </c>
      <c r="BO76" s="51">
        <f t="shared" si="191"/>
        <v>0</v>
      </c>
      <c r="BP76" s="51">
        <f t="shared" si="192"/>
        <v>0</v>
      </c>
      <c r="BQ76" s="51">
        <f t="shared" si="193"/>
        <v>0</v>
      </c>
      <c r="BR76" s="51">
        <f t="shared" si="194"/>
        <v>0</v>
      </c>
      <c r="BS76" s="51">
        <f t="shared" si="195"/>
        <v>0</v>
      </c>
      <c r="BT76" s="51">
        <f t="shared" si="196"/>
        <v>0</v>
      </c>
      <c r="BU76" s="20">
        <f t="shared" si="197"/>
        <v>4761.429953435043</v>
      </c>
      <c r="BV76" s="20">
        <f t="shared" si="198"/>
        <v>4761.4350923822885</v>
      </c>
      <c r="BW76" s="20">
        <f t="shared" si="199"/>
        <v>57137.180047333517</v>
      </c>
      <c r="BX76" s="20">
        <f t="shared" si="200"/>
        <v>57137.159441220516</v>
      </c>
      <c r="BY76" s="20">
        <f t="shared" si="201"/>
        <v>57137.221108587459</v>
      </c>
      <c r="BZ76" s="21">
        <f t="shared" si="202"/>
        <v>57137.186865713833</v>
      </c>
      <c r="CA76" s="19">
        <f t="shared" si="47"/>
        <v>1428429.6716428457</v>
      </c>
      <c r="CB76" s="20">
        <f t="shared" si="203"/>
        <v>1428429.4743641494</v>
      </c>
      <c r="CC76" s="20">
        <f t="shared" si="204"/>
        <v>1428430.664075464</v>
      </c>
      <c r="CD76" s="20">
        <f t="shared" si="48"/>
        <v>0</v>
      </c>
      <c r="CE76" s="20">
        <f t="shared" si="113"/>
        <v>1400000</v>
      </c>
      <c r="CF76" s="20">
        <f t="shared" si="37"/>
        <v>222735.23196406852</v>
      </c>
      <c r="CG76" s="20">
        <f t="shared" si="205"/>
        <v>8909.4092785627417</v>
      </c>
      <c r="CH76" s="20">
        <f t="shared" si="39"/>
        <v>742.45077321356177</v>
      </c>
      <c r="CI76" s="20">
        <f t="shared" si="206"/>
        <v>216138.90767100352</v>
      </c>
      <c r="CJ76" s="24">
        <f t="shared" si="207"/>
        <v>0.15593015683411099</v>
      </c>
      <c r="CK76" s="24">
        <f t="shared" si="208"/>
        <v>3.0575496033351923E-2</v>
      </c>
      <c r="CL76" s="24">
        <f t="shared" si="209"/>
        <v>9.7124552956400628E-2</v>
      </c>
      <c r="CM76" s="25">
        <f t="shared" si="210"/>
        <v>0.52825355827165288</v>
      </c>
      <c r="CN76" s="17"/>
      <c r="CO76" s="17"/>
      <c r="CP76" s="17"/>
      <c r="CQ76" s="17"/>
      <c r="CR76" s="17"/>
      <c r="CS76" s="17"/>
      <c r="CT76" s="17"/>
      <c r="CU76" s="17"/>
      <c r="CV76" s="17"/>
      <c r="CW76" s="30">
        <v>0</v>
      </c>
      <c r="CX76" s="17"/>
      <c r="CY76" s="17"/>
      <c r="CZ76" s="17"/>
      <c r="DA76" s="17"/>
      <c r="DB76" s="17"/>
    </row>
    <row r="77" spans="1:106" ht="15.75" thickBot="1" x14ac:dyDescent="0.3">
      <c r="A77" s="5">
        <f t="shared" si="70"/>
        <v>30</v>
      </c>
      <c r="B77" s="5">
        <f t="shared" si="69"/>
        <v>28</v>
      </c>
      <c r="C77" s="1">
        <v>44562</v>
      </c>
      <c r="D77" s="4"/>
      <c r="E77" s="30"/>
      <c r="F77" s="30"/>
      <c r="G77" s="30">
        <f t="shared" si="211"/>
        <v>0</v>
      </c>
      <c r="H77" s="30"/>
      <c r="I77" s="10">
        <v>0</v>
      </c>
      <c r="J77" s="60">
        <v>9000</v>
      </c>
      <c r="K77" s="11">
        <v>550</v>
      </c>
      <c r="L77" s="60">
        <f t="shared" si="72"/>
        <v>9534.6346151618309</v>
      </c>
      <c r="M77" s="11">
        <v>305</v>
      </c>
      <c r="N77" s="60">
        <v>0</v>
      </c>
      <c r="O77" s="11">
        <v>0</v>
      </c>
      <c r="P77" s="11">
        <v>0</v>
      </c>
      <c r="Q77" s="60">
        <f>(Q76*($K$1/12))+Q76 + $Q$6</f>
        <v>29609.53433121297</v>
      </c>
      <c r="R77" s="60">
        <f>(R76*($K$1/12))+R76</f>
        <v>5621.9858427634481</v>
      </c>
      <c r="S77" s="60">
        <f>(S76*($K$1/12))+S76</f>
        <v>4881.0115254197372</v>
      </c>
      <c r="T77" s="60">
        <f>(T76*($K$1/12))+T76+$T$6 + ((3%/12)*T$11)</f>
        <v>144169.79162802367</v>
      </c>
      <c r="U77" s="60">
        <f>(U76*$K$1/12) + U76 + ((U$11/12*7%))</f>
        <v>19199.47501692787</v>
      </c>
      <c r="V77" s="60">
        <v>3100</v>
      </c>
      <c r="W77" s="60">
        <f>(W76*($K$1/12))+W76+$W$6</f>
        <v>12926.469996572398</v>
      </c>
      <c r="X77" s="11">
        <v>0</v>
      </c>
      <c r="Y77" s="60">
        <f>(Y76*($K$1/12))+Y76+$Y$6</f>
        <v>12970.949462953755</v>
      </c>
      <c r="Z77" s="60">
        <f>'Mortgage and Loans'!U39</f>
        <v>35273.58</v>
      </c>
      <c r="AA77" s="12">
        <f t="shared" si="2"/>
        <v>287142.43241903564</v>
      </c>
      <c r="AB77" s="56">
        <f t="shared" si="181"/>
        <v>750</v>
      </c>
      <c r="AC77" s="56">
        <f t="shared" si="181"/>
        <v>750</v>
      </c>
      <c r="AD77" s="56">
        <f t="shared" si="181"/>
        <v>750</v>
      </c>
      <c r="AE77" s="56">
        <f t="shared" si="181"/>
        <v>750</v>
      </c>
      <c r="AF77" s="56">
        <f t="shared" si="74"/>
        <v>261.43509238228893</v>
      </c>
      <c r="AG77" s="56">
        <f t="shared" si="181"/>
        <v>750</v>
      </c>
      <c r="AH77" s="56">
        <f>'Mortgage and Loans'!AF34</f>
        <v>44294.137741334198</v>
      </c>
      <c r="AI77" s="56">
        <f>'Mortgage and Loans'!AQ34</f>
        <v>14724.119084742963</v>
      </c>
      <c r="AJ77" s="56">
        <f>'Mortgage and Loans'!BB34</f>
        <v>12769.857031748768</v>
      </c>
      <c r="AK77" s="56">
        <f>'Mortgage and Loans'!BM34</f>
        <v>0</v>
      </c>
      <c r="AL77" s="56">
        <f>'Mortgage and Loans'!T39</f>
        <v>144726.42000000004</v>
      </c>
      <c r="AM77" s="12">
        <f t="shared" si="12"/>
        <v>-220525.96895020825</v>
      </c>
      <c r="AN77" s="75">
        <f t="shared" si="85"/>
        <v>66616.463468827395</v>
      </c>
      <c r="AO77" s="86">
        <f>'Mortgage and Loans'!G40</f>
        <v>2862.83</v>
      </c>
      <c r="AP77" s="79">
        <f>('Salary Tax Breakdown'!B$16/12)-Data!AO77</f>
        <v>584.67000000000007</v>
      </c>
      <c r="AQ77" s="87"/>
      <c r="AR77" s="20">
        <f t="shared" si="182"/>
        <v>4011.435092382289</v>
      </c>
      <c r="AS77" s="20">
        <v>750</v>
      </c>
      <c r="AT77" s="20">
        <v>0</v>
      </c>
      <c r="AU77" s="20">
        <f t="shared" si="183"/>
        <v>4761.4350923822894</v>
      </c>
      <c r="AV77" s="20">
        <f t="shared" si="184"/>
        <v>4761.3808953091184</v>
      </c>
      <c r="AW77" s="51">
        <f t="shared" si="5"/>
        <v>0</v>
      </c>
      <c r="AX77" s="51">
        <f t="shared" si="14"/>
        <v>0</v>
      </c>
      <c r="AY77" s="51">
        <f t="shared" si="15"/>
        <v>0</v>
      </c>
      <c r="AZ77" s="51">
        <f t="shared" si="16"/>
        <v>0</v>
      </c>
      <c r="BA77" s="51">
        <f t="shared" si="17"/>
        <v>0</v>
      </c>
      <c r="BB77" s="51">
        <f t="shared" si="18"/>
        <v>0</v>
      </c>
      <c r="BC77" s="51">
        <f t="shared" si="19"/>
        <v>0</v>
      </c>
      <c r="BD77" s="51">
        <f t="shared" si="20"/>
        <v>0</v>
      </c>
      <c r="BE77" s="51">
        <f t="shared" si="21"/>
        <v>0</v>
      </c>
      <c r="BF77" s="51">
        <f t="shared" si="22"/>
        <v>0</v>
      </c>
      <c r="BG77" s="51">
        <f t="shared" si="23"/>
        <v>0</v>
      </c>
      <c r="BH77" s="51">
        <f t="shared" si="24"/>
        <v>0</v>
      </c>
      <c r="BI77" s="51">
        <f t="shared" si="185"/>
        <v>0</v>
      </c>
      <c r="BJ77" s="51">
        <f t="shared" si="186"/>
        <v>0</v>
      </c>
      <c r="BK77" s="51">
        <f t="shared" si="187"/>
        <v>0</v>
      </c>
      <c r="BL77" s="51">
        <f t="shared" si="188"/>
        <v>0</v>
      </c>
      <c r="BM77" s="51">
        <f t="shared" si="189"/>
        <v>0</v>
      </c>
      <c r="BN77" s="51">
        <f t="shared" si="190"/>
        <v>0</v>
      </c>
      <c r="BO77" s="51">
        <f t="shared" si="191"/>
        <v>0</v>
      </c>
      <c r="BP77" s="51">
        <f t="shared" si="192"/>
        <v>0</v>
      </c>
      <c r="BQ77" s="51">
        <f t="shared" si="193"/>
        <v>0</v>
      </c>
      <c r="BR77" s="51">
        <f t="shared" si="194"/>
        <v>0</v>
      </c>
      <c r="BS77" s="51">
        <f t="shared" si="195"/>
        <v>0</v>
      </c>
      <c r="BT77" s="51">
        <f t="shared" si="196"/>
        <v>0</v>
      </c>
      <c r="BU77" s="20">
        <f t="shared" si="197"/>
        <v>4761.4319395672983</v>
      </c>
      <c r="BV77" s="20">
        <f t="shared" si="198"/>
        <v>4761.4396088050535</v>
      </c>
      <c r="BW77" s="20">
        <f t="shared" si="199"/>
        <v>57137.221108587473</v>
      </c>
      <c r="BX77" s="20">
        <f t="shared" si="200"/>
        <v>57137.183274807583</v>
      </c>
      <c r="BY77" s="20">
        <f t="shared" si="201"/>
        <v>57137.275305660645</v>
      </c>
      <c r="BZ77" s="21">
        <f t="shared" si="202"/>
        <v>57137.226563018572</v>
      </c>
      <c r="CA77" s="19">
        <f t="shared" si="47"/>
        <v>1428430.6640754642</v>
      </c>
      <c r="CB77" s="20">
        <f t="shared" si="203"/>
        <v>1428429.8478487192</v>
      </c>
      <c r="CC77" s="20">
        <f t="shared" si="204"/>
        <v>1428431.8820670538</v>
      </c>
      <c r="CD77" s="20">
        <f t="shared" si="48"/>
        <v>0</v>
      </c>
      <c r="CE77" s="20">
        <f t="shared" si="113"/>
        <v>1400000</v>
      </c>
      <c r="CF77" s="20">
        <f t="shared" si="37"/>
        <v>229379.21780387382</v>
      </c>
      <c r="CG77" s="20">
        <f t="shared" si="205"/>
        <v>9175.168712154953</v>
      </c>
      <c r="CH77" s="20">
        <f t="shared" si="39"/>
        <v>764.59739267957946</v>
      </c>
      <c r="CI77" s="20">
        <f t="shared" si="206"/>
        <v>222747.16342088813</v>
      </c>
      <c r="CJ77" s="24">
        <f t="shared" si="207"/>
        <v>0.16058136712091911</v>
      </c>
      <c r="CK77" s="24">
        <f t="shared" si="208"/>
        <v>2.9829074552862416E-2</v>
      </c>
      <c r="CL77" s="24">
        <f t="shared" si="209"/>
        <v>9.4604372263257339E-2</v>
      </c>
      <c r="CM77" s="25">
        <f t="shared" si="210"/>
        <v>0.50935282420711192</v>
      </c>
      <c r="CN77" s="17"/>
      <c r="CO77" s="17"/>
      <c r="CP77" s="17"/>
      <c r="CQ77" s="17"/>
      <c r="CR77" s="17"/>
      <c r="CS77" s="17"/>
      <c r="CT77" s="17"/>
      <c r="CU77" s="17"/>
      <c r="CV77" s="17"/>
      <c r="CW77" s="30">
        <v>0</v>
      </c>
      <c r="CX77" s="17"/>
      <c r="CY77" s="17"/>
      <c r="CZ77" s="17"/>
      <c r="DA77" s="17"/>
      <c r="DB77" s="17"/>
    </row>
    <row r="78" spans="1:106" ht="15.75" thickBot="1" x14ac:dyDescent="0.3">
      <c r="A78" s="5">
        <f t="shared" si="70"/>
        <v>30</v>
      </c>
      <c r="B78" s="5">
        <f t="shared" si="69"/>
        <v>28</v>
      </c>
      <c r="C78" s="1">
        <v>44593</v>
      </c>
      <c r="D78" s="4"/>
      <c r="E78" s="30"/>
      <c r="F78" s="30"/>
      <c r="G78" s="30">
        <f t="shared" si="211"/>
        <v>0</v>
      </c>
      <c r="H78" s="30"/>
      <c r="I78" s="10">
        <v>0</v>
      </c>
      <c r="J78" s="60">
        <v>9000</v>
      </c>
      <c r="K78" s="11">
        <v>550</v>
      </c>
      <c r="L78" s="60">
        <f t="shared" si="72"/>
        <v>9546.1556319884839</v>
      </c>
      <c r="M78" s="11">
        <v>305</v>
      </c>
      <c r="N78" s="60">
        <v>0</v>
      </c>
      <c r="O78" s="11">
        <v>0</v>
      </c>
      <c r="P78" s="11">
        <v>0</v>
      </c>
      <c r="Q78" s="60">
        <f>(Q77*($K$1/12))+Q77 + $Q$6</f>
        <v>30686.589308840372</v>
      </c>
      <c r="R78" s="60">
        <f>(R77*($K$1/12))+R77</f>
        <v>5652.4382660784167</v>
      </c>
      <c r="S78" s="60">
        <f>(S77*($K$1/12))+S77</f>
        <v>4907.4503378490945</v>
      </c>
      <c r="T78" s="60">
        <f>(T77*($K$1/12))+T77+$T$6 + ((3%/12)*T$11)</f>
        <v>148125.71133267548</v>
      </c>
      <c r="U78" s="60">
        <f>(U77*$K$1/12) + U77 + ((U$11/12*7%))</f>
        <v>19711.805506602894</v>
      </c>
      <c r="V78" s="60">
        <v>3100</v>
      </c>
      <c r="W78" s="60">
        <f>(W77*($K$1/12))+W77+$W$6</f>
        <v>13283.988375720499</v>
      </c>
      <c r="X78" s="11">
        <v>0</v>
      </c>
      <c r="Y78" s="60">
        <f>(Y77*($K$1/12))+Y77+$Y$6</f>
        <v>13691.208772544755</v>
      </c>
      <c r="Z78" s="60">
        <f>'Mortgage and Loans'!U40</f>
        <v>35502.89</v>
      </c>
      <c r="AA78" s="12">
        <f t="shared" ref="AA78:AA141" si="212">SUM(I78:Z78)</f>
        <v>294063.2375323</v>
      </c>
      <c r="AB78" s="56">
        <f t="shared" si="181"/>
        <v>750</v>
      </c>
      <c r="AC78" s="56">
        <f t="shared" si="181"/>
        <v>750</v>
      </c>
      <c r="AD78" s="56">
        <f t="shared" si="181"/>
        <v>750</v>
      </c>
      <c r="AE78" s="56">
        <f t="shared" si="181"/>
        <v>750</v>
      </c>
      <c r="AF78" s="56">
        <f t="shared" si="74"/>
        <v>261.43960880505318</v>
      </c>
      <c r="AG78" s="56">
        <f t="shared" si="181"/>
        <v>750</v>
      </c>
      <c r="AH78" s="56">
        <f>'Mortgage and Loans'!AF35</f>
        <v>43945.357741334199</v>
      </c>
      <c r="AI78" s="56">
        <f>'Mortgage and Loans'!AQ35</f>
        <v>14611.699084742962</v>
      </c>
      <c r="AJ78" s="56">
        <f>'Mortgage and Loans'!BB35</f>
        <v>11434.427031748768</v>
      </c>
      <c r="AK78" s="56">
        <f>'Mortgage and Loans'!BM35</f>
        <v>0</v>
      </c>
      <c r="AL78" s="56">
        <f>'Mortgage and Loans'!T40</f>
        <v>144497.11000000004</v>
      </c>
      <c r="AM78" s="12">
        <f t="shared" si="12"/>
        <v>-218500.03346663102</v>
      </c>
      <c r="AN78" s="75">
        <f t="shared" si="85"/>
        <v>75563.204065668979</v>
      </c>
      <c r="AO78" s="86">
        <f>'Mortgage and Loans'!G41</f>
        <v>2862.83</v>
      </c>
      <c r="AP78" s="79">
        <f>('Salary Tax Breakdown'!B$16/12)-Data!AO78</f>
        <v>584.67000000000007</v>
      </c>
      <c r="AQ78" s="87"/>
      <c r="AR78" s="20">
        <f t="shared" si="182"/>
        <v>4011.439608805053</v>
      </c>
      <c r="AS78" s="20">
        <v>750</v>
      </c>
      <c r="AT78" s="20">
        <v>0</v>
      </c>
      <c r="AU78" s="20">
        <f t="shared" si="183"/>
        <v>4761.4396088050526</v>
      </c>
      <c r="AV78" s="20">
        <f t="shared" si="184"/>
        <v>4761.3898592737642</v>
      </c>
      <c r="AW78" s="51">
        <f t="shared" ref="AW78:AW141" si="213">IF(D78=0,0,IF(MONTH($D78)=1,1,0))</f>
        <v>0</v>
      </c>
      <c r="AX78" s="51">
        <f t="shared" si="14"/>
        <v>0</v>
      </c>
      <c r="AY78" s="51">
        <f t="shared" si="15"/>
        <v>0</v>
      </c>
      <c r="AZ78" s="51">
        <f t="shared" si="16"/>
        <v>0</v>
      </c>
      <c r="BA78" s="51">
        <f t="shared" si="17"/>
        <v>0</v>
      </c>
      <c r="BB78" s="51">
        <f t="shared" si="18"/>
        <v>0</v>
      </c>
      <c r="BC78" s="51">
        <f t="shared" si="19"/>
        <v>0</v>
      </c>
      <c r="BD78" s="51">
        <f t="shared" si="20"/>
        <v>0</v>
      </c>
      <c r="BE78" s="51">
        <f t="shared" si="21"/>
        <v>0</v>
      </c>
      <c r="BF78" s="51">
        <f t="shared" si="22"/>
        <v>0</v>
      </c>
      <c r="BG78" s="51">
        <f t="shared" si="23"/>
        <v>0</v>
      </c>
      <c r="BH78" s="51">
        <f t="shared" si="24"/>
        <v>0</v>
      </c>
      <c r="BI78" s="51">
        <f t="shared" si="185"/>
        <v>0</v>
      </c>
      <c r="BJ78" s="51">
        <f t="shared" si="186"/>
        <v>0</v>
      </c>
      <c r="BK78" s="51">
        <f t="shared" si="187"/>
        <v>0</v>
      </c>
      <c r="BL78" s="51">
        <f t="shared" si="188"/>
        <v>0</v>
      </c>
      <c r="BM78" s="51">
        <f t="shared" si="189"/>
        <v>0</v>
      </c>
      <c r="BN78" s="51">
        <f t="shared" si="190"/>
        <v>0</v>
      </c>
      <c r="BO78" s="51">
        <f t="shared" si="191"/>
        <v>0</v>
      </c>
      <c r="BP78" s="51">
        <f t="shared" si="192"/>
        <v>0</v>
      </c>
      <c r="BQ78" s="51">
        <f t="shared" si="193"/>
        <v>0</v>
      </c>
      <c r="BR78" s="51">
        <f t="shared" si="194"/>
        <v>0</v>
      </c>
      <c r="BS78" s="51">
        <f t="shared" si="195"/>
        <v>0</v>
      </c>
      <c r="BT78" s="51">
        <f t="shared" si="196"/>
        <v>0</v>
      </c>
      <c r="BU78" s="20">
        <f t="shared" si="197"/>
        <v>4761.4354572661568</v>
      </c>
      <c r="BV78" s="20">
        <f t="shared" si="198"/>
        <v>4761.4437545993278</v>
      </c>
      <c r="BW78" s="20">
        <f t="shared" si="199"/>
        <v>57137.275305660631</v>
      </c>
      <c r="BX78" s="20">
        <f t="shared" si="200"/>
        <v>57137.225487193879</v>
      </c>
      <c r="BY78" s="20">
        <f t="shared" si="201"/>
        <v>57137.325055191934</v>
      </c>
      <c r="BZ78" s="21">
        <f t="shared" si="202"/>
        <v>57137.275282682152</v>
      </c>
      <c r="CA78" s="19">
        <f t="shared" si="47"/>
        <v>1428431.8820670538</v>
      </c>
      <c r="CB78" s="20">
        <f t="shared" si="203"/>
        <v>1428430.7392617881</v>
      </c>
      <c r="CC78" s="20">
        <f t="shared" si="204"/>
        <v>1428432.7755773042</v>
      </c>
      <c r="CD78" s="20">
        <f t="shared" si="48"/>
        <v>0</v>
      </c>
      <c r="CE78" s="20">
        <f t="shared" si="113"/>
        <v>1400000</v>
      </c>
      <c r="CF78" s="20">
        <f t="shared" si="37"/>
        <v>236059.1919003115</v>
      </c>
      <c r="CG78" s="20">
        <f t="shared" si="205"/>
        <v>9442.3676760124599</v>
      </c>
      <c r="CH78" s="20">
        <f t="shared" si="39"/>
        <v>786.86397300103829</v>
      </c>
      <c r="CI78" s="20">
        <f t="shared" si="206"/>
        <v>229391.21388941794</v>
      </c>
      <c r="CJ78" s="24">
        <f t="shared" si="207"/>
        <v>0.16525770932534448</v>
      </c>
      <c r="CK78" s="24">
        <f t="shared" si="208"/>
        <v>2.9121967370859481E-2</v>
      </c>
      <c r="CL78" s="24">
        <f t="shared" si="209"/>
        <v>9.2224237004143894E-2</v>
      </c>
      <c r="CM78" s="25">
        <f t="shared" si="210"/>
        <v>0.49184942771427992</v>
      </c>
      <c r="CN78" s="17"/>
      <c r="CO78" s="17"/>
      <c r="CP78" s="17"/>
      <c r="CQ78" s="17"/>
      <c r="CR78" s="17"/>
      <c r="CS78" s="17"/>
      <c r="CT78" s="17"/>
      <c r="CU78" s="17"/>
      <c r="CV78" s="17"/>
      <c r="CW78" s="30">
        <v>0</v>
      </c>
      <c r="CX78" s="17"/>
      <c r="CY78" s="17"/>
      <c r="CZ78" s="17"/>
      <c r="DA78" s="17"/>
      <c r="DB78" s="17"/>
    </row>
    <row r="79" spans="1:106" ht="15.75" thickBot="1" x14ac:dyDescent="0.3">
      <c r="A79" s="5">
        <f t="shared" si="70"/>
        <v>30</v>
      </c>
      <c r="B79" s="5">
        <f t="shared" si="69"/>
        <v>28</v>
      </c>
      <c r="C79" s="1">
        <v>44621</v>
      </c>
      <c r="D79" s="4"/>
      <c r="E79" s="30"/>
      <c r="F79" s="30"/>
      <c r="G79" s="30">
        <f t="shared" si="211"/>
        <v>0</v>
      </c>
      <c r="H79" s="30"/>
      <c r="I79" s="10">
        <v>0</v>
      </c>
      <c r="J79" s="60">
        <v>9000</v>
      </c>
      <c r="K79" s="11">
        <v>550</v>
      </c>
      <c r="L79" s="60">
        <f t="shared" si="72"/>
        <v>9557.6905700438019</v>
      </c>
      <c r="M79" s="11">
        <v>305</v>
      </c>
      <c r="N79" s="60">
        <v>0</v>
      </c>
      <c r="O79" s="11">
        <v>0</v>
      </c>
      <c r="P79" s="11">
        <v>0</v>
      </c>
      <c r="Q79" s="60">
        <f>(Q78*($K$1/12))+Q78 + $Q$6</f>
        <v>31769.478334263255</v>
      </c>
      <c r="R79" s="60">
        <f>(R78*($K$1/12))+R78</f>
        <v>5683.0556400196747</v>
      </c>
      <c r="S79" s="60">
        <f>(S78*($K$1/12))+S78</f>
        <v>4934.032360512444</v>
      </c>
      <c r="T79" s="60">
        <f>(T78*($K$1/12))+T78+$T$6 + ((3%/12)*T$11)</f>
        <v>152103.05893572746</v>
      </c>
      <c r="U79" s="60">
        <f>(U78*$K$1/12) + U78 + ((U$11/12*7%))</f>
        <v>20226.911119763659</v>
      </c>
      <c r="V79" s="60">
        <v>3100</v>
      </c>
      <c r="W79" s="60">
        <f>(W78*($K$1/12))+W78+$W$6</f>
        <v>13643.443312755651</v>
      </c>
      <c r="X79" s="11">
        <v>0</v>
      </c>
      <c r="Y79" s="60">
        <f>(Y78*($K$1/12))+Y78+$Y$6</f>
        <v>14415.369486729373</v>
      </c>
      <c r="Z79" s="60">
        <f>'Mortgage and Loans'!U41</f>
        <v>35732.99</v>
      </c>
      <c r="AA79" s="12">
        <f t="shared" si="212"/>
        <v>301021.02975981525</v>
      </c>
      <c r="AB79" s="56">
        <f t="shared" si="181"/>
        <v>750</v>
      </c>
      <c r="AC79" s="56">
        <f t="shared" si="181"/>
        <v>750</v>
      </c>
      <c r="AD79" s="56">
        <f t="shared" si="181"/>
        <v>750</v>
      </c>
      <c r="AE79" s="56">
        <f t="shared" si="181"/>
        <v>750</v>
      </c>
      <c r="AF79" s="56">
        <f t="shared" si="74"/>
        <v>261.44375459932718</v>
      </c>
      <c r="AG79" s="56">
        <f t="shared" si="181"/>
        <v>750</v>
      </c>
      <c r="AH79" s="56">
        <f>'Mortgage and Loans'!AF36</f>
        <v>43595.037741334199</v>
      </c>
      <c r="AI79" s="56">
        <f>'Mortgage and Loans'!AQ36</f>
        <v>14498.719084742963</v>
      </c>
      <c r="AJ79" s="56">
        <f>'Mortgage and Loans'!BB36</f>
        <v>10091.767031748768</v>
      </c>
      <c r="AK79" s="56">
        <f>'Mortgage and Loans'!BM36</f>
        <v>0</v>
      </c>
      <c r="AL79" s="56">
        <f>'Mortgage and Loans'!T41</f>
        <v>144267.01000000004</v>
      </c>
      <c r="AM79" s="12">
        <f t="shared" si="12"/>
        <v>-216463.97761242528</v>
      </c>
      <c r="AN79" s="75">
        <f t="shared" si="85"/>
        <v>84557.052147389972</v>
      </c>
      <c r="AO79" s="86">
        <f>'Mortgage and Loans'!G42</f>
        <v>2862.83</v>
      </c>
      <c r="AP79" s="79">
        <f>('Salary Tax Breakdown'!B$16/12)-Data!AO79</f>
        <v>584.67000000000007</v>
      </c>
      <c r="AQ79" s="87"/>
      <c r="AR79" s="20">
        <f t="shared" si="182"/>
        <v>4011.4437545993273</v>
      </c>
      <c r="AS79" s="20">
        <v>750</v>
      </c>
      <c r="AT79" s="20">
        <v>0</v>
      </c>
      <c r="AU79" s="20">
        <f t="shared" si="183"/>
        <v>4761.4437545993278</v>
      </c>
      <c r="AV79" s="20">
        <f t="shared" si="184"/>
        <v>4761.4346188533027</v>
      </c>
      <c r="AW79" s="51">
        <f t="shared" si="213"/>
        <v>0</v>
      </c>
      <c r="AX79" s="51">
        <f t="shared" si="14"/>
        <v>0</v>
      </c>
      <c r="AY79" s="51">
        <f t="shared" si="15"/>
        <v>0</v>
      </c>
      <c r="AZ79" s="51">
        <f t="shared" si="16"/>
        <v>0</v>
      </c>
      <c r="BA79" s="51">
        <f t="shared" si="17"/>
        <v>0</v>
      </c>
      <c r="BB79" s="51">
        <f t="shared" si="18"/>
        <v>0</v>
      </c>
      <c r="BC79" s="51">
        <f t="shared" si="19"/>
        <v>0</v>
      </c>
      <c r="BD79" s="51">
        <f t="shared" si="20"/>
        <v>0</v>
      </c>
      <c r="BE79" s="51">
        <f t="shared" si="21"/>
        <v>0</v>
      </c>
      <c r="BF79" s="51">
        <f t="shared" si="22"/>
        <v>0</v>
      </c>
      <c r="BG79" s="51">
        <f t="shared" si="23"/>
        <v>0</v>
      </c>
      <c r="BH79" s="51">
        <f t="shared" si="24"/>
        <v>0</v>
      </c>
      <c r="BI79" s="51">
        <f t="shared" si="185"/>
        <v>0</v>
      </c>
      <c r="BJ79" s="51">
        <f t="shared" si="186"/>
        <v>0</v>
      </c>
      <c r="BK79" s="51">
        <f t="shared" si="187"/>
        <v>0</v>
      </c>
      <c r="BL79" s="51">
        <f t="shared" si="188"/>
        <v>0</v>
      </c>
      <c r="BM79" s="51">
        <f t="shared" si="189"/>
        <v>0</v>
      </c>
      <c r="BN79" s="51">
        <f t="shared" si="190"/>
        <v>0</v>
      </c>
      <c r="BO79" s="51">
        <f t="shared" si="191"/>
        <v>0</v>
      </c>
      <c r="BP79" s="51">
        <f t="shared" si="192"/>
        <v>0</v>
      </c>
      <c r="BQ79" s="51">
        <f t="shared" si="193"/>
        <v>0</v>
      </c>
      <c r="BR79" s="51">
        <f t="shared" si="194"/>
        <v>0</v>
      </c>
      <c r="BS79" s="51">
        <f t="shared" si="195"/>
        <v>0</v>
      </c>
      <c r="BT79" s="51">
        <f t="shared" si="196"/>
        <v>0</v>
      </c>
      <c r="BU79" s="20">
        <f t="shared" si="197"/>
        <v>4761.4394852622236</v>
      </c>
      <c r="BV79" s="20">
        <f t="shared" si="198"/>
        <v>4761.4445159114957</v>
      </c>
      <c r="BW79" s="20">
        <f t="shared" si="199"/>
        <v>57137.325055191934</v>
      </c>
      <c r="BX79" s="20">
        <f t="shared" si="200"/>
        <v>57137.273823146679</v>
      </c>
      <c r="BY79" s="20">
        <f t="shared" si="201"/>
        <v>57137.334190937952</v>
      </c>
      <c r="BZ79" s="21">
        <f t="shared" si="202"/>
        <v>57137.311023092188</v>
      </c>
      <c r="CA79" s="19">
        <f t="shared" si="47"/>
        <v>1428432.7755773047</v>
      </c>
      <c r="CB79" s="20">
        <f t="shared" si="203"/>
        <v>1428431.7739066074</v>
      </c>
      <c r="CC79" s="20">
        <f t="shared" si="204"/>
        <v>1428433.063303218</v>
      </c>
      <c r="CD79" s="20">
        <f t="shared" si="48"/>
        <v>0</v>
      </c>
      <c r="CE79" s="20">
        <f t="shared" si="113"/>
        <v>1400000</v>
      </c>
      <c r="CF79" s="20">
        <f t="shared" ref="CF79:CF142" si="214">SUM(O79, P79, Q79, R79, S79, T79, W79, X79, Y79,U79)</f>
        <v>242775.34918977151</v>
      </c>
      <c r="CG79" s="20">
        <f t="shared" si="205"/>
        <v>9711.0139675908613</v>
      </c>
      <c r="CH79" s="20">
        <f t="shared" ref="CH79:CH142" si="215">CG79/12</f>
        <v>809.25116396590511</v>
      </c>
      <c r="CI79" s="20">
        <f t="shared" si="206"/>
        <v>236071.25296465229</v>
      </c>
      <c r="CJ79" s="24">
        <f t="shared" si="207"/>
        <v>0.16995935936499579</v>
      </c>
      <c r="CK79" s="24">
        <f t="shared" si="208"/>
        <v>2.8451157675301472E-2</v>
      </c>
      <c r="CL79" s="24">
        <f t="shared" si="209"/>
        <v>8.9972821313405213E-2</v>
      </c>
      <c r="CM79" s="25">
        <f t="shared" si="210"/>
        <v>0.4755941629455302</v>
      </c>
      <c r="CN79" s="17"/>
      <c r="CO79" s="17"/>
      <c r="CP79" s="17"/>
      <c r="CQ79" s="17"/>
      <c r="CR79" s="17"/>
      <c r="CS79" s="17"/>
      <c r="CT79" s="17"/>
      <c r="CU79" s="17"/>
      <c r="CV79" s="17"/>
      <c r="CW79" s="30">
        <v>0</v>
      </c>
      <c r="CX79" s="17"/>
      <c r="CY79" s="17"/>
      <c r="CZ79" s="17"/>
      <c r="DA79" s="17"/>
      <c r="DB79" s="17"/>
    </row>
    <row r="80" spans="1:106" ht="15.75" thickBot="1" x14ac:dyDescent="0.3">
      <c r="A80" s="5">
        <f t="shared" si="70"/>
        <v>30</v>
      </c>
      <c r="B80" s="5">
        <f t="shared" si="69"/>
        <v>28</v>
      </c>
      <c r="C80" s="1">
        <v>44652</v>
      </c>
      <c r="D80" s="4"/>
      <c r="E80" s="30"/>
      <c r="F80" s="30"/>
      <c r="G80" s="30">
        <f t="shared" si="211"/>
        <v>0</v>
      </c>
      <c r="H80" s="30"/>
      <c r="I80" s="10">
        <v>0</v>
      </c>
      <c r="J80" s="60">
        <v>9000</v>
      </c>
      <c r="K80" s="11">
        <v>550</v>
      </c>
      <c r="L80" s="60">
        <f t="shared" si="72"/>
        <v>9569.2394461492713</v>
      </c>
      <c r="M80" s="11">
        <v>305</v>
      </c>
      <c r="N80" s="60">
        <v>0</v>
      </c>
      <c r="O80" s="11">
        <v>0</v>
      </c>
      <c r="P80" s="11">
        <v>0</v>
      </c>
      <c r="Q80" s="60">
        <f>(Q79*($K$1/12))+Q79 + $Q$6</f>
        <v>32858.23300857385</v>
      </c>
      <c r="R80" s="60">
        <f>(R79*($K$1/12))+R79</f>
        <v>5713.8388580697811</v>
      </c>
      <c r="S80" s="60">
        <f>(S79*($K$1/12))+S79</f>
        <v>4960.7583691318869</v>
      </c>
      <c r="T80" s="60">
        <f>(T79*($K$1/12))+T79+$T$6 + ((3%/12)*T$11)</f>
        <v>156101.95050496265</v>
      </c>
      <c r="U80" s="60">
        <f>(U79*$K$1/12) + U79 + ((U$11/12*7%))</f>
        <v>20744.806888329043</v>
      </c>
      <c r="V80" s="60">
        <v>3100</v>
      </c>
      <c r="W80" s="60">
        <f>(W79*($K$1/12))+W79+$W$6</f>
        <v>14004.845297366412</v>
      </c>
      <c r="X80" s="11">
        <v>0</v>
      </c>
      <c r="Y80" s="60">
        <f>(Y79*($K$1/12))+Y79+$Y$6</f>
        <v>15143.452738115824</v>
      </c>
      <c r="Z80" s="60">
        <f>'Mortgage and Loans'!U42</f>
        <v>35963.879999999997</v>
      </c>
      <c r="AA80" s="12">
        <f t="shared" si="212"/>
        <v>308016.00511069869</v>
      </c>
      <c r="AB80" s="56">
        <f t="shared" si="181"/>
        <v>750</v>
      </c>
      <c r="AC80" s="56">
        <f t="shared" si="181"/>
        <v>750</v>
      </c>
      <c r="AD80" s="56">
        <f t="shared" si="181"/>
        <v>750</v>
      </c>
      <c r="AE80" s="56">
        <f t="shared" si="181"/>
        <v>750</v>
      </c>
      <c r="AF80" s="56">
        <f t="shared" si="74"/>
        <v>261.44451591149601</v>
      </c>
      <c r="AG80" s="56">
        <f t="shared" si="181"/>
        <v>750</v>
      </c>
      <c r="AH80" s="56">
        <f>'Mortgage and Loans'!AF37</f>
        <v>43243.167741334197</v>
      </c>
      <c r="AI80" s="56">
        <f>'Mortgage and Loans'!AQ37</f>
        <v>14385.169084742964</v>
      </c>
      <c r="AJ80" s="56">
        <f>'Mortgage and Loans'!BB37</f>
        <v>8741.8270317487677</v>
      </c>
      <c r="AK80" s="56">
        <f>'Mortgage and Loans'!BM37</f>
        <v>0</v>
      </c>
      <c r="AL80" s="56">
        <f>'Mortgage and Loans'!T42</f>
        <v>144036.12000000002</v>
      </c>
      <c r="AM80" s="12">
        <f t="shared" si="12"/>
        <v>-214417.72837373745</v>
      </c>
      <c r="AN80" s="75">
        <f t="shared" si="85"/>
        <v>93598.276736961241</v>
      </c>
      <c r="AO80" s="86">
        <f>'Mortgage and Loans'!G43</f>
        <v>2862.83</v>
      </c>
      <c r="AP80" s="79">
        <f>('Salary Tax Breakdown'!B$16/12)-Data!AO80</f>
        <v>584.67000000000007</v>
      </c>
      <c r="AQ80" s="87"/>
      <c r="AR80" s="20">
        <f t="shared" si="182"/>
        <v>4011.4445159114962</v>
      </c>
      <c r="AS80" s="20">
        <v>750</v>
      </c>
      <c r="AT80" s="20">
        <v>0</v>
      </c>
      <c r="AU80" s="20">
        <f t="shared" si="183"/>
        <v>4761.4445159114966</v>
      </c>
      <c r="AV80" s="20">
        <f t="shared" si="184"/>
        <v>4761.4568186647548</v>
      </c>
      <c r="AW80" s="51">
        <f t="shared" si="213"/>
        <v>0</v>
      </c>
      <c r="AX80" s="51">
        <f t="shared" si="14"/>
        <v>0</v>
      </c>
      <c r="AY80" s="51">
        <f t="shared" si="15"/>
        <v>0</v>
      </c>
      <c r="AZ80" s="51">
        <f t="shared" si="16"/>
        <v>0</v>
      </c>
      <c r="BA80" s="51">
        <f t="shared" si="17"/>
        <v>0</v>
      </c>
      <c r="BB80" s="51">
        <f t="shared" si="18"/>
        <v>0</v>
      </c>
      <c r="BC80" s="51">
        <f t="shared" si="19"/>
        <v>0</v>
      </c>
      <c r="BD80" s="51">
        <f t="shared" si="20"/>
        <v>0</v>
      </c>
      <c r="BE80" s="51">
        <f t="shared" si="21"/>
        <v>0</v>
      </c>
      <c r="BF80" s="51">
        <f t="shared" si="22"/>
        <v>0</v>
      </c>
      <c r="BG80" s="51">
        <f t="shared" si="23"/>
        <v>0</v>
      </c>
      <c r="BH80" s="51">
        <f t="shared" si="24"/>
        <v>0</v>
      </c>
      <c r="BI80" s="51">
        <f t="shared" si="185"/>
        <v>0</v>
      </c>
      <c r="BJ80" s="51">
        <f t="shared" si="186"/>
        <v>0</v>
      </c>
      <c r="BK80" s="51">
        <f t="shared" si="187"/>
        <v>0</v>
      </c>
      <c r="BL80" s="51">
        <f t="shared" si="188"/>
        <v>0</v>
      </c>
      <c r="BM80" s="51">
        <f t="shared" si="189"/>
        <v>0</v>
      </c>
      <c r="BN80" s="51">
        <f t="shared" si="190"/>
        <v>0</v>
      </c>
      <c r="BO80" s="51">
        <f t="shared" si="191"/>
        <v>0</v>
      </c>
      <c r="BP80" s="51">
        <f t="shared" si="192"/>
        <v>0</v>
      </c>
      <c r="BQ80" s="51">
        <f t="shared" si="193"/>
        <v>0</v>
      </c>
      <c r="BR80" s="51">
        <f t="shared" si="194"/>
        <v>0</v>
      </c>
      <c r="BS80" s="51">
        <f t="shared" si="195"/>
        <v>0</v>
      </c>
      <c r="BT80" s="51">
        <f t="shared" si="196"/>
        <v>0</v>
      </c>
      <c r="BU80" s="20">
        <f t="shared" si="197"/>
        <v>4761.4426264386257</v>
      </c>
      <c r="BV80" s="20">
        <f t="shared" si="198"/>
        <v>4761.4434906820579</v>
      </c>
      <c r="BW80" s="20">
        <f t="shared" si="199"/>
        <v>57137.33419093796</v>
      </c>
      <c r="BX80" s="20">
        <f t="shared" si="200"/>
        <v>57137.311517263508</v>
      </c>
      <c r="BY80" s="20">
        <f t="shared" si="201"/>
        <v>57137.321888184699</v>
      </c>
      <c r="BZ80" s="21">
        <f t="shared" si="202"/>
        <v>57137.322532128717</v>
      </c>
      <c r="CA80" s="19">
        <f t="shared" si="47"/>
        <v>1428433.063303218</v>
      </c>
      <c r="CB80" s="20">
        <f t="shared" si="203"/>
        <v>1428432.5736491922</v>
      </c>
      <c r="CC80" s="20">
        <f t="shared" si="204"/>
        <v>1428432.9089867277</v>
      </c>
      <c r="CD80" s="20">
        <f t="shared" si="48"/>
        <v>0</v>
      </c>
      <c r="CE80" s="20">
        <f t="shared" si="113"/>
        <v>1400000</v>
      </c>
      <c r="CF80" s="20">
        <f t="shared" si="214"/>
        <v>249527.88566454942</v>
      </c>
      <c r="CG80" s="20">
        <f t="shared" si="205"/>
        <v>9981.1154265819769</v>
      </c>
      <c r="CH80" s="20">
        <f t="shared" si="215"/>
        <v>831.75961888183144</v>
      </c>
      <c r="CI80" s="20">
        <f t="shared" si="206"/>
        <v>242787.47558487751</v>
      </c>
      <c r="CJ80" s="24">
        <f t="shared" si="207"/>
        <v>0.1746864992213702</v>
      </c>
      <c r="CK80" s="24">
        <f t="shared" si="208"/>
        <v>2.7813929615644866E-2</v>
      </c>
      <c r="CL80" s="24">
        <f t="shared" si="209"/>
        <v>8.7839988528966587E-2</v>
      </c>
      <c r="CM80" s="25">
        <f t="shared" si="210"/>
        <v>0.46045833656486285</v>
      </c>
      <c r="CN80" s="17"/>
      <c r="CO80" s="17"/>
      <c r="CP80" s="17"/>
      <c r="CQ80" s="17"/>
      <c r="CR80" s="17"/>
      <c r="CS80" s="17"/>
      <c r="CT80" s="17"/>
      <c r="CU80" s="17"/>
      <c r="CV80" s="17"/>
      <c r="CW80" s="30">
        <v>0</v>
      </c>
      <c r="CX80" s="17"/>
      <c r="CY80" s="17"/>
      <c r="CZ80" s="17"/>
      <c r="DA80" s="17"/>
      <c r="DB80" s="17"/>
    </row>
    <row r="81" spans="1:106" ht="15.75" thickBot="1" x14ac:dyDescent="0.3">
      <c r="A81" s="5">
        <f t="shared" si="70"/>
        <v>30</v>
      </c>
      <c r="B81" s="5">
        <f t="shared" si="69"/>
        <v>28</v>
      </c>
      <c r="C81" s="1">
        <v>44682</v>
      </c>
      <c r="D81" s="4"/>
      <c r="E81" s="30"/>
      <c r="F81" s="30"/>
      <c r="G81" s="30">
        <f t="shared" si="211"/>
        <v>0</v>
      </c>
      <c r="H81" s="30"/>
      <c r="I81" s="10">
        <v>0</v>
      </c>
      <c r="J81" s="60">
        <v>9000</v>
      </c>
      <c r="K81" s="11">
        <v>550</v>
      </c>
      <c r="L81" s="60">
        <f t="shared" si="72"/>
        <v>9580.8022771467004</v>
      </c>
      <c r="M81" s="11">
        <v>305</v>
      </c>
      <c r="N81" s="60">
        <v>0</v>
      </c>
      <c r="O81" s="11">
        <v>0</v>
      </c>
      <c r="P81" s="11">
        <v>0</v>
      </c>
      <c r="Q81" s="60">
        <f>(Q80*($K$1/12))+Q80 + $Q$6</f>
        <v>33952.885104036955</v>
      </c>
      <c r="R81" s="60">
        <f>(R80*($K$1/12))+R80</f>
        <v>5744.7888185509928</v>
      </c>
      <c r="S81" s="60">
        <f>(S80*($K$1/12))+S80</f>
        <v>4987.6291436313513</v>
      </c>
      <c r="T81" s="60">
        <f>(T80*($K$1/12))+T80+$T$6 + ((3%/12)*T$11)</f>
        <v>160122.50273686452</v>
      </c>
      <c r="U81" s="60">
        <f>(U80*$K$1/12) + U80 + ((U$11/12*7%))</f>
        <v>21265.507925640824</v>
      </c>
      <c r="V81" s="60">
        <v>3100</v>
      </c>
      <c r="W81" s="60">
        <f>(W80*($K$1/12))+W80+$W$6</f>
        <v>14368.204876060479</v>
      </c>
      <c r="X81" s="11">
        <v>0</v>
      </c>
      <c r="Y81" s="60">
        <f>(Y80*($K$1/12))+Y80+$Y$6</f>
        <v>15875.479773780618</v>
      </c>
      <c r="Z81" s="60">
        <f>'Mortgage and Loans'!U43</f>
        <v>36195.57</v>
      </c>
      <c r="AA81" s="12">
        <f t="shared" si="212"/>
        <v>315048.37065571244</v>
      </c>
      <c r="AB81" s="56">
        <f t="shared" si="181"/>
        <v>750</v>
      </c>
      <c r="AC81" s="56">
        <f t="shared" si="181"/>
        <v>750</v>
      </c>
      <c r="AD81" s="56">
        <f t="shared" si="181"/>
        <v>750</v>
      </c>
      <c r="AE81" s="56">
        <f t="shared" si="181"/>
        <v>750</v>
      </c>
      <c r="AF81" s="56">
        <f t="shared" si="74"/>
        <v>261.44349068205776</v>
      </c>
      <c r="AG81" s="56">
        <f t="shared" si="181"/>
        <v>750</v>
      </c>
      <c r="AH81" s="56">
        <f>'Mortgage and Loans'!AF38</f>
        <v>42889.737741334196</v>
      </c>
      <c r="AI81" s="56">
        <f>'Mortgage and Loans'!AQ38</f>
        <v>14271.059084742963</v>
      </c>
      <c r="AJ81" s="56">
        <f>'Mortgage and Loans'!BB38</f>
        <v>7384.5770317487677</v>
      </c>
      <c r="AK81" s="56">
        <f>'Mortgage and Loans'!BM38</f>
        <v>0</v>
      </c>
      <c r="AL81" s="56">
        <f>'Mortgage and Loans'!T43</f>
        <v>143804.43000000002</v>
      </c>
      <c r="AM81" s="12">
        <f t="shared" si="12"/>
        <v>-212361.24734850801</v>
      </c>
      <c r="AN81" s="75">
        <f t="shared" si="85"/>
        <v>102687.12330720443</v>
      </c>
      <c r="AO81" s="86">
        <f>'Mortgage and Loans'!G44</f>
        <v>2862.83</v>
      </c>
      <c r="AP81" s="79">
        <f>('Salary Tax Breakdown'!B$16/12)-Data!AO81</f>
        <v>584.67000000000007</v>
      </c>
      <c r="AQ81" s="87"/>
      <c r="AR81" s="20">
        <f t="shared" si="182"/>
        <v>4011.4434906820579</v>
      </c>
      <c r="AS81" s="20">
        <v>750</v>
      </c>
      <c r="AT81" s="20">
        <v>0</v>
      </c>
      <c r="AU81" s="20">
        <f t="shared" si="183"/>
        <v>4761.4434906820579</v>
      </c>
      <c r="AV81" s="20">
        <f t="shared" si="184"/>
        <v>4761.4652334156435</v>
      </c>
      <c r="AW81" s="51">
        <f t="shared" si="213"/>
        <v>0</v>
      </c>
      <c r="AX81" s="51">
        <f t="shared" si="14"/>
        <v>0</v>
      </c>
      <c r="AY81" s="51">
        <f t="shared" si="15"/>
        <v>0</v>
      </c>
      <c r="AZ81" s="51">
        <f t="shared" si="16"/>
        <v>0</v>
      </c>
      <c r="BA81" s="51">
        <f t="shared" si="17"/>
        <v>0</v>
      </c>
      <c r="BB81" s="51">
        <f t="shared" si="18"/>
        <v>0</v>
      </c>
      <c r="BC81" s="51">
        <f t="shared" si="19"/>
        <v>0</v>
      </c>
      <c r="BD81" s="51">
        <f t="shared" si="20"/>
        <v>0</v>
      </c>
      <c r="BE81" s="51">
        <f t="shared" si="21"/>
        <v>0</v>
      </c>
      <c r="BF81" s="51">
        <f t="shared" si="22"/>
        <v>0</v>
      </c>
      <c r="BG81" s="51">
        <f t="shared" si="23"/>
        <v>0</v>
      </c>
      <c r="BH81" s="51">
        <f t="shared" si="24"/>
        <v>0</v>
      </c>
      <c r="BI81" s="51">
        <f t="shared" si="185"/>
        <v>0</v>
      </c>
      <c r="BJ81" s="51">
        <f t="shared" si="186"/>
        <v>0</v>
      </c>
      <c r="BK81" s="51">
        <f t="shared" si="187"/>
        <v>0</v>
      </c>
      <c r="BL81" s="51">
        <f t="shared" si="188"/>
        <v>0</v>
      </c>
      <c r="BM81" s="51">
        <f t="shared" si="189"/>
        <v>0</v>
      </c>
      <c r="BN81" s="51">
        <f t="shared" si="190"/>
        <v>0</v>
      </c>
      <c r="BO81" s="51">
        <f t="shared" si="191"/>
        <v>0</v>
      </c>
      <c r="BP81" s="51">
        <f t="shared" si="192"/>
        <v>0</v>
      </c>
      <c r="BQ81" s="51">
        <f t="shared" si="193"/>
        <v>0</v>
      </c>
      <c r="BR81" s="51">
        <f t="shared" si="194"/>
        <v>0</v>
      </c>
      <c r="BS81" s="51">
        <f t="shared" si="195"/>
        <v>0</v>
      </c>
      <c r="BT81" s="51">
        <f t="shared" si="196"/>
        <v>0</v>
      </c>
      <c r="BU81" s="20">
        <f t="shared" si="197"/>
        <v>4761.4439203976281</v>
      </c>
      <c r="BV81" s="20">
        <f t="shared" si="198"/>
        <v>4761.4416787875934</v>
      </c>
      <c r="BW81" s="20">
        <f t="shared" si="199"/>
        <v>57137.321888184699</v>
      </c>
      <c r="BX81" s="20">
        <f t="shared" si="200"/>
        <v>57137.327044771533</v>
      </c>
      <c r="BY81" s="20">
        <f t="shared" si="201"/>
        <v>57137.300145451125</v>
      </c>
      <c r="BZ81" s="21">
        <f t="shared" si="202"/>
        <v>57137.316359469121</v>
      </c>
      <c r="CA81" s="19">
        <f t="shared" si="47"/>
        <v>1428432.9089867279</v>
      </c>
      <c r="CB81" s="20">
        <f t="shared" si="203"/>
        <v>1428432.9159557503</v>
      </c>
      <c r="CC81" s="20">
        <f t="shared" si="204"/>
        <v>1428432.4713995878</v>
      </c>
      <c r="CD81" s="20">
        <f t="shared" si="48"/>
        <v>0</v>
      </c>
      <c r="CE81" s="20">
        <f t="shared" si="113"/>
        <v>1400000</v>
      </c>
      <c r="CF81" s="20">
        <f t="shared" si="214"/>
        <v>256316.99837856574</v>
      </c>
      <c r="CG81" s="20">
        <f t="shared" si="205"/>
        <v>10252.679935142629</v>
      </c>
      <c r="CH81" s="20">
        <f t="shared" si="215"/>
        <v>854.38999459521904</v>
      </c>
      <c r="CI81" s="20">
        <f t="shared" si="206"/>
        <v>249540.07774429556</v>
      </c>
      <c r="CJ81" s="24">
        <f t="shared" si="207"/>
        <v>0.17943929708947276</v>
      </c>
      <c r="CK81" s="24">
        <f t="shared" si="208"/>
        <v>2.720783168556639E-2</v>
      </c>
      <c r="CL81" s="24">
        <f t="shared" si="209"/>
        <v>8.5816639102997389E-2</v>
      </c>
      <c r="CM81" s="25">
        <f t="shared" si="210"/>
        <v>0.44633035985141817</v>
      </c>
      <c r="CN81" s="17"/>
      <c r="CO81" s="17"/>
      <c r="CP81" s="17"/>
      <c r="CQ81" s="17"/>
      <c r="CR81" s="17"/>
      <c r="CS81" s="17"/>
      <c r="CT81" s="17"/>
      <c r="CU81" s="17"/>
      <c r="CV81" s="17"/>
      <c r="CW81" s="30">
        <v>0</v>
      </c>
      <c r="CX81" s="17"/>
      <c r="CY81" s="17"/>
      <c r="CZ81" s="17"/>
      <c r="DA81" s="17"/>
      <c r="DB81" s="17"/>
    </row>
    <row r="82" spans="1:106" ht="15.75" thickBot="1" x14ac:dyDescent="0.3">
      <c r="A82" s="5">
        <f t="shared" si="70"/>
        <v>30</v>
      </c>
      <c r="B82" s="5">
        <f t="shared" si="69"/>
        <v>28</v>
      </c>
      <c r="C82" s="1">
        <v>44713</v>
      </c>
      <c r="D82" s="4"/>
      <c r="E82" s="30"/>
      <c r="F82" s="30"/>
      <c r="G82" s="30">
        <f t="shared" si="211"/>
        <v>0</v>
      </c>
      <c r="H82" s="30"/>
      <c r="I82" s="10">
        <v>0</v>
      </c>
      <c r="J82" s="60">
        <v>9000</v>
      </c>
      <c r="K82" s="11">
        <v>550</v>
      </c>
      <c r="L82" s="60">
        <f t="shared" si="72"/>
        <v>9592.3790798982518</v>
      </c>
      <c r="M82" s="11">
        <v>305</v>
      </c>
      <c r="N82" s="60">
        <v>0</v>
      </c>
      <c r="O82" s="11">
        <v>0</v>
      </c>
      <c r="P82" s="11">
        <v>0</v>
      </c>
      <c r="Q82" s="60">
        <f>(Q81*($K$1/12))+Q81 + $Q$6</f>
        <v>35053.466565017152</v>
      </c>
      <c r="R82" s="60">
        <f>(R81*($K$1/12))+R81</f>
        <v>5775.9064246514772</v>
      </c>
      <c r="S82" s="60">
        <f>(S81*($K$1/12))+S81</f>
        <v>5014.6454681593541</v>
      </c>
      <c r="T82" s="60">
        <f>(T81*($K$1/12))+T81+$T$6 + ((3%/12)*T$11)</f>
        <v>164164.83296002253</v>
      </c>
      <c r="U82" s="60">
        <f>(U81*$K$1/12) + U81 + ((U$11/12*7%))</f>
        <v>21789.029426904712</v>
      </c>
      <c r="V82" s="60">
        <v>3100</v>
      </c>
      <c r="W82" s="60">
        <f>(W81*($K$1/12))+W81+$W$6</f>
        <v>14733.532652472473</v>
      </c>
      <c r="X82" s="11">
        <v>0</v>
      </c>
      <c r="Y82" s="60">
        <f>(Y81*($K$1/12))+Y81+$Y$6</f>
        <v>16611.471955888599</v>
      </c>
      <c r="Z82" s="60">
        <f>'Mortgage and Loans'!U44</f>
        <v>36428.050000000003</v>
      </c>
      <c r="AA82" s="12">
        <f t="shared" si="212"/>
        <v>322118.31453301455</v>
      </c>
      <c r="AB82" s="56">
        <f t="shared" si="181"/>
        <v>750</v>
      </c>
      <c r="AC82" s="56">
        <f t="shared" si="181"/>
        <v>750</v>
      </c>
      <c r="AD82" s="56">
        <f t="shared" si="181"/>
        <v>750</v>
      </c>
      <c r="AE82" s="56">
        <f t="shared" si="181"/>
        <v>750</v>
      </c>
      <c r="AF82" s="56">
        <f t="shared" si="74"/>
        <v>261.44167878759231</v>
      </c>
      <c r="AG82" s="56">
        <f t="shared" si="181"/>
        <v>750</v>
      </c>
      <c r="AH82" s="56">
        <f>'Mortgage and Loans'!AF39</f>
        <v>42534.747741334199</v>
      </c>
      <c r="AI82" s="56">
        <f>'Mortgage and Loans'!AQ39</f>
        <v>14156.379084742963</v>
      </c>
      <c r="AJ82" s="56">
        <f>'Mortgage and Loans'!BB39</f>
        <v>6019.9770317487673</v>
      </c>
      <c r="AK82" s="56">
        <f>'Mortgage and Loans'!BM39</f>
        <v>0</v>
      </c>
      <c r="AL82" s="56">
        <f>'Mortgage and Loans'!T44</f>
        <v>143571.95000000001</v>
      </c>
      <c r="AM82" s="12">
        <f t="shared" si="12"/>
        <v>-210294.49553661354</v>
      </c>
      <c r="AN82" s="75">
        <f t="shared" si="85"/>
        <v>111823.81899640101</v>
      </c>
      <c r="AO82" s="86">
        <f>'Mortgage and Loans'!G45</f>
        <v>2862.83</v>
      </c>
      <c r="AP82" s="79">
        <f>('Salary Tax Breakdown'!B$16/12)-Data!AO82</f>
        <v>584.67000000000007</v>
      </c>
      <c r="AQ82" s="87"/>
      <c r="AR82" s="20">
        <f t="shared" si="182"/>
        <v>4011.4416787875925</v>
      </c>
      <c r="AS82" s="20">
        <v>750</v>
      </c>
      <c r="AT82" s="20">
        <v>0</v>
      </c>
      <c r="AU82" s="20">
        <f t="shared" si="183"/>
        <v>4761.4416787875925</v>
      </c>
      <c r="AV82" s="20">
        <f t="shared" si="184"/>
        <v>4761.4641432638437</v>
      </c>
      <c r="AW82" s="51">
        <f t="shared" si="213"/>
        <v>0</v>
      </c>
      <c r="AX82" s="51">
        <f t="shared" si="14"/>
        <v>0</v>
      </c>
      <c r="AY82" s="51">
        <f t="shared" si="15"/>
        <v>0</v>
      </c>
      <c r="AZ82" s="51">
        <f t="shared" si="16"/>
        <v>0</v>
      </c>
      <c r="BA82" s="51">
        <f t="shared" si="17"/>
        <v>0</v>
      </c>
      <c r="BB82" s="51">
        <f t="shared" si="18"/>
        <v>0</v>
      </c>
      <c r="BC82" s="51">
        <f t="shared" si="19"/>
        <v>0</v>
      </c>
      <c r="BD82" s="51">
        <f t="shared" si="20"/>
        <v>0</v>
      </c>
      <c r="BE82" s="51">
        <f t="shared" si="21"/>
        <v>0</v>
      </c>
      <c r="BF82" s="51">
        <f t="shared" si="22"/>
        <v>0</v>
      </c>
      <c r="BG82" s="51">
        <f t="shared" si="23"/>
        <v>0</v>
      </c>
      <c r="BH82" s="51">
        <f t="shared" si="24"/>
        <v>0</v>
      </c>
      <c r="BI82" s="51">
        <f t="shared" si="185"/>
        <v>0</v>
      </c>
      <c r="BJ82" s="51">
        <f t="shared" si="186"/>
        <v>0</v>
      </c>
      <c r="BK82" s="51">
        <f t="shared" si="187"/>
        <v>0</v>
      </c>
      <c r="BL82" s="51">
        <f t="shared" si="188"/>
        <v>0</v>
      </c>
      <c r="BM82" s="51">
        <f t="shared" si="189"/>
        <v>0</v>
      </c>
      <c r="BN82" s="51">
        <f t="shared" si="190"/>
        <v>0</v>
      </c>
      <c r="BO82" s="51">
        <f t="shared" si="191"/>
        <v>0</v>
      </c>
      <c r="BP82" s="51">
        <f t="shared" si="192"/>
        <v>0</v>
      </c>
      <c r="BQ82" s="51">
        <f t="shared" si="193"/>
        <v>0</v>
      </c>
      <c r="BR82" s="51">
        <f t="shared" si="194"/>
        <v>0</v>
      </c>
      <c r="BS82" s="51">
        <f t="shared" si="195"/>
        <v>0</v>
      </c>
      <c r="BT82" s="51">
        <f t="shared" si="196"/>
        <v>0</v>
      </c>
      <c r="BU82" s="20">
        <f t="shared" si="197"/>
        <v>4761.4432284603827</v>
      </c>
      <c r="BV82" s="20">
        <f t="shared" si="198"/>
        <v>4761.4398067479051</v>
      </c>
      <c r="BW82" s="20">
        <f t="shared" si="199"/>
        <v>57137.30014545111</v>
      </c>
      <c r="BX82" s="20">
        <f t="shared" si="200"/>
        <v>57137.318741524592</v>
      </c>
      <c r="BY82" s="20">
        <f t="shared" si="201"/>
        <v>57137.277680974861</v>
      </c>
      <c r="BZ82" s="21">
        <f t="shared" si="202"/>
        <v>57137.298855983514</v>
      </c>
      <c r="CA82" s="19">
        <f t="shared" si="47"/>
        <v>1428432.4713995878</v>
      </c>
      <c r="CB82" s="20">
        <f t="shared" si="203"/>
        <v>1428432.8145631778</v>
      </c>
      <c r="CC82" s="20">
        <f t="shared" si="204"/>
        <v>1428431.9833304256</v>
      </c>
      <c r="CD82" s="20">
        <f t="shared" si="48"/>
        <v>0</v>
      </c>
      <c r="CE82" s="20">
        <f t="shared" si="113"/>
        <v>1400000</v>
      </c>
      <c r="CF82" s="20">
        <f t="shared" si="214"/>
        <v>263142.88545311627</v>
      </c>
      <c r="CG82" s="20">
        <f t="shared" si="205"/>
        <v>10525.715418124651</v>
      </c>
      <c r="CH82" s="20">
        <f t="shared" si="215"/>
        <v>877.14295151038766</v>
      </c>
      <c r="CI82" s="20">
        <f t="shared" si="206"/>
        <v>256329.25649874381</v>
      </c>
      <c r="CJ82" s="24">
        <f t="shared" si="207"/>
        <v>0.18421789444369965</v>
      </c>
      <c r="CK82" s="24">
        <f t="shared" si="208"/>
        <v>2.663064532485308E-2</v>
      </c>
      <c r="CL82" s="24">
        <f t="shared" si="209"/>
        <v>8.3894581271609869E-2</v>
      </c>
      <c r="CM82" s="25">
        <f t="shared" si="210"/>
        <v>0.43311299836882666</v>
      </c>
      <c r="CN82" s="17"/>
      <c r="CO82" s="17"/>
      <c r="CP82" s="17"/>
      <c r="CQ82" s="17"/>
      <c r="CR82" s="17"/>
      <c r="CS82" s="17"/>
      <c r="CT82" s="17"/>
      <c r="CU82" s="17"/>
      <c r="CV82" s="17"/>
      <c r="CW82" s="30">
        <v>0</v>
      </c>
      <c r="CX82" s="17"/>
      <c r="CY82" s="17"/>
      <c r="CZ82" s="17"/>
      <c r="DA82" s="17"/>
      <c r="DB82" s="17"/>
    </row>
    <row r="83" spans="1:106" ht="15.75" thickBot="1" x14ac:dyDescent="0.3">
      <c r="A83" s="5">
        <f t="shared" si="70"/>
        <v>30</v>
      </c>
      <c r="B83" s="5">
        <f t="shared" si="69"/>
        <v>28</v>
      </c>
      <c r="C83" s="1">
        <v>44743</v>
      </c>
      <c r="D83" s="4"/>
      <c r="E83" s="30"/>
      <c r="F83" s="30"/>
      <c r="G83" s="30">
        <f t="shared" si="211"/>
        <v>0</v>
      </c>
      <c r="H83" s="30"/>
      <c r="I83" s="10">
        <v>0</v>
      </c>
      <c r="J83" s="60">
        <v>9000</v>
      </c>
      <c r="K83" s="11">
        <v>550</v>
      </c>
      <c r="L83" s="60">
        <f t="shared" si="72"/>
        <v>9603.9698712864611</v>
      </c>
      <c r="M83" s="11">
        <v>305</v>
      </c>
      <c r="N83" s="60">
        <v>0</v>
      </c>
      <c r="O83" s="11">
        <v>0</v>
      </c>
      <c r="P83" s="11">
        <v>0</v>
      </c>
      <c r="Q83" s="60">
        <f>(Q82*($K$1/12))+Q82 + $Q$6</f>
        <v>36160.009508910996</v>
      </c>
      <c r="R83" s="60">
        <f>(R82*($K$1/12))+R82</f>
        <v>5807.1925844516727</v>
      </c>
      <c r="S83" s="60">
        <f>(S82*($K$1/12))+S82</f>
        <v>5041.808131111884</v>
      </c>
      <c r="T83" s="60">
        <f>(T82*($K$1/12))+T82+$T$6 + ((3%/12)*T$11)</f>
        <v>168229.05913855598</v>
      </c>
      <c r="U83" s="60">
        <f>(U82*$K$1/12) + U82 + ((U$11/12*7%))</f>
        <v>22315.386669633779</v>
      </c>
      <c r="V83" s="60">
        <v>3100</v>
      </c>
      <c r="W83" s="60">
        <f>(W82*($K$1/12))+W82+$W$6</f>
        <v>15100.839287673365</v>
      </c>
      <c r="X83" s="11">
        <v>0</v>
      </c>
      <c r="Y83" s="60">
        <f>(Y82*($K$1/12))+Y82+$Y$6</f>
        <v>17351.45076231633</v>
      </c>
      <c r="Z83" s="60">
        <f>'Mortgage and Loans'!U45</f>
        <v>36661.33</v>
      </c>
      <c r="AA83" s="12">
        <f t="shared" si="212"/>
        <v>329226.04595394048</v>
      </c>
      <c r="AB83" s="56">
        <f t="shared" si="181"/>
        <v>750</v>
      </c>
      <c r="AC83" s="56">
        <f t="shared" si="181"/>
        <v>750</v>
      </c>
      <c r="AD83" s="56">
        <f t="shared" si="181"/>
        <v>750</v>
      </c>
      <c r="AE83" s="56">
        <f t="shared" si="181"/>
        <v>750</v>
      </c>
      <c r="AF83" s="56">
        <f t="shared" si="74"/>
        <v>261.43980674790464</v>
      </c>
      <c r="AG83" s="56">
        <f t="shared" si="181"/>
        <v>750</v>
      </c>
      <c r="AH83" s="56">
        <f>'Mortgage and Loans'!AF40</f>
        <v>42178.187741334201</v>
      </c>
      <c r="AI83" s="56">
        <f>'Mortgage and Loans'!AQ40</f>
        <v>14041.119084742963</v>
      </c>
      <c r="AJ83" s="56">
        <f>'Mortgage and Loans'!BB40</f>
        <v>4647.9870317487675</v>
      </c>
      <c r="AK83" s="56">
        <f>'Mortgage and Loans'!BM40</f>
        <v>0</v>
      </c>
      <c r="AL83" s="56">
        <f>'Mortgage and Loans'!T45</f>
        <v>143338.67000000001</v>
      </c>
      <c r="AM83" s="12">
        <f t="shared" si="12"/>
        <v>-208217.40366457385</v>
      </c>
      <c r="AN83" s="75">
        <f t="shared" si="85"/>
        <v>121008.64228936663</v>
      </c>
      <c r="AO83" s="86">
        <f>'Mortgage and Loans'!G46</f>
        <v>2862.83</v>
      </c>
      <c r="AP83" s="79">
        <f>('Salary Tax Breakdown'!B$16/12)-Data!AO83</f>
        <v>584.67000000000007</v>
      </c>
      <c r="AQ83" s="87"/>
      <c r="AR83" s="20">
        <f t="shared" si="182"/>
        <v>4011.4398067479046</v>
      </c>
      <c r="AS83" s="20">
        <v>750</v>
      </c>
      <c r="AT83" s="20">
        <v>0</v>
      </c>
      <c r="AU83" s="20">
        <f t="shared" si="183"/>
        <v>4761.4398067479051</v>
      </c>
      <c r="AV83" s="20">
        <f t="shared" si="184"/>
        <v>4761.4570739167939</v>
      </c>
      <c r="AW83" s="51">
        <f t="shared" si="213"/>
        <v>0</v>
      </c>
      <c r="AX83" s="51">
        <f t="shared" si="14"/>
        <v>0</v>
      </c>
      <c r="AY83" s="51">
        <f t="shared" si="15"/>
        <v>0</v>
      </c>
      <c r="AZ83" s="51">
        <f t="shared" si="16"/>
        <v>0</v>
      </c>
      <c r="BA83" s="51">
        <f t="shared" si="17"/>
        <v>0</v>
      </c>
      <c r="BB83" s="51">
        <f t="shared" si="18"/>
        <v>0</v>
      </c>
      <c r="BC83" s="51">
        <f t="shared" si="19"/>
        <v>0</v>
      </c>
      <c r="BD83" s="51">
        <f t="shared" si="20"/>
        <v>0</v>
      </c>
      <c r="BE83" s="51">
        <f t="shared" si="21"/>
        <v>0</v>
      </c>
      <c r="BF83" s="51">
        <f t="shared" si="22"/>
        <v>0</v>
      </c>
      <c r="BG83" s="51">
        <f t="shared" si="23"/>
        <v>0</v>
      </c>
      <c r="BH83" s="51">
        <f t="shared" si="24"/>
        <v>0</v>
      </c>
      <c r="BI83" s="51">
        <f t="shared" si="185"/>
        <v>0</v>
      </c>
      <c r="BJ83" s="51">
        <f t="shared" si="186"/>
        <v>0</v>
      </c>
      <c r="BK83" s="51">
        <f t="shared" si="187"/>
        <v>0</v>
      </c>
      <c r="BL83" s="51">
        <f t="shared" si="188"/>
        <v>0</v>
      </c>
      <c r="BM83" s="51">
        <f t="shared" si="189"/>
        <v>0</v>
      </c>
      <c r="BN83" s="51">
        <f t="shared" si="190"/>
        <v>0</v>
      </c>
      <c r="BO83" s="51">
        <f t="shared" si="191"/>
        <v>0</v>
      </c>
      <c r="BP83" s="51">
        <f t="shared" si="192"/>
        <v>0</v>
      </c>
      <c r="BQ83" s="51">
        <f t="shared" si="193"/>
        <v>0</v>
      </c>
      <c r="BR83" s="51">
        <f t="shared" si="194"/>
        <v>0</v>
      </c>
      <c r="BS83" s="51">
        <f t="shared" si="195"/>
        <v>0</v>
      </c>
      <c r="BT83" s="51">
        <f t="shared" si="196"/>
        <v>0</v>
      </c>
      <c r="BU83" s="20">
        <f t="shared" si="197"/>
        <v>4761.4416587391852</v>
      </c>
      <c r="BV83" s="20">
        <f t="shared" si="198"/>
        <v>4761.4383678171644</v>
      </c>
      <c r="BW83" s="20">
        <f t="shared" si="199"/>
        <v>57137.277680974861</v>
      </c>
      <c r="BX83" s="20">
        <f t="shared" si="200"/>
        <v>57137.299904870219</v>
      </c>
      <c r="BY83" s="20">
        <f t="shared" si="201"/>
        <v>57137.260413805969</v>
      </c>
      <c r="BZ83" s="21">
        <f t="shared" si="202"/>
        <v>57137.279333217011</v>
      </c>
      <c r="CA83" s="19">
        <f t="shared" si="47"/>
        <v>1428431.9833304253</v>
      </c>
      <c r="CB83" s="20">
        <f t="shared" si="203"/>
        <v>1428432.4545722471</v>
      </c>
      <c r="CC83" s="20">
        <f t="shared" si="204"/>
        <v>1428431.5989119774</v>
      </c>
      <c r="CD83" s="20">
        <f t="shared" si="48"/>
        <v>0</v>
      </c>
      <c r="CE83" s="20">
        <f t="shared" si="113"/>
        <v>1400000</v>
      </c>
      <c r="CF83" s="20">
        <f t="shared" si="214"/>
        <v>270005.74608265399</v>
      </c>
      <c r="CG83" s="20">
        <f t="shared" si="205"/>
        <v>10800.229843306161</v>
      </c>
      <c r="CH83" s="20">
        <f t="shared" si="215"/>
        <v>900.01915360884675</v>
      </c>
      <c r="CI83" s="20">
        <f t="shared" si="206"/>
        <v>263155.20997144532</v>
      </c>
      <c r="CJ83" s="24">
        <f t="shared" si="207"/>
        <v>0.18902241069810255</v>
      </c>
      <c r="CK83" s="24">
        <f t="shared" si="208"/>
        <v>2.6080357892710231E-2</v>
      </c>
      <c r="CL83" s="24">
        <f t="shared" si="209"/>
        <v>8.2066420606928855E-2</v>
      </c>
      <c r="CM83" s="25">
        <f t="shared" si="210"/>
        <v>0.42072113578615272</v>
      </c>
      <c r="CN83" s="17"/>
      <c r="CO83" s="17"/>
      <c r="CP83" s="17"/>
      <c r="CQ83" s="17"/>
      <c r="CR83" s="17"/>
      <c r="CS83" s="17"/>
      <c r="CT83" s="17"/>
      <c r="CU83" s="17"/>
      <c r="CV83" s="17"/>
      <c r="CW83" s="30">
        <v>0</v>
      </c>
      <c r="CX83" s="17"/>
      <c r="CY83" s="17"/>
      <c r="CZ83" s="17"/>
      <c r="DA83" s="17"/>
      <c r="DB83" s="17"/>
    </row>
    <row r="84" spans="1:106" ht="15.75" thickBot="1" x14ac:dyDescent="0.3">
      <c r="A84" s="5">
        <f t="shared" si="70"/>
        <v>30</v>
      </c>
      <c r="B84" s="5">
        <f t="shared" si="69"/>
        <v>28</v>
      </c>
      <c r="C84" s="1">
        <v>44774</v>
      </c>
      <c r="D84" s="4"/>
      <c r="E84" s="30"/>
      <c r="F84" s="30"/>
      <c r="G84" s="30">
        <f t="shared" si="211"/>
        <v>0</v>
      </c>
      <c r="H84" s="30"/>
      <c r="I84" s="10">
        <v>0</v>
      </c>
      <c r="J84" s="60">
        <v>9000</v>
      </c>
      <c r="K84" s="11">
        <v>550</v>
      </c>
      <c r="L84" s="60">
        <f t="shared" si="72"/>
        <v>9615.5746682142653</v>
      </c>
      <c r="M84" s="11">
        <v>305</v>
      </c>
      <c r="N84" s="60">
        <v>0</v>
      </c>
      <c r="O84" s="11">
        <v>0</v>
      </c>
      <c r="P84" s="11">
        <v>0</v>
      </c>
      <c r="Q84" s="60">
        <f>(Q83*($K$1/12))+Q83 + $Q$6</f>
        <v>37272.546227084262</v>
      </c>
      <c r="R84" s="60">
        <f>(R83*($K$1/12))+R83</f>
        <v>5838.6482109507861</v>
      </c>
      <c r="S84" s="60">
        <f>(S83*($K$1/12))+S83</f>
        <v>5069.1179251554067</v>
      </c>
      <c r="T84" s="60">
        <f>(T83*($K$1/12))+T83+$T$6 + ((3%/12)*T$11)</f>
        <v>172315.29987555649</v>
      </c>
      <c r="U84" s="60">
        <f>(U83*$K$1/12) + U83 + ((U$11/12*7%))</f>
        <v>22844.595014094295</v>
      </c>
      <c r="V84" s="60">
        <v>3100</v>
      </c>
      <c r="W84" s="60">
        <f>(W83*($K$1/12))+W83+$W$6</f>
        <v>15470.135500481596</v>
      </c>
      <c r="X84" s="11">
        <v>0</v>
      </c>
      <c r="Y84" s="60">
        <f>(Y83*($K$1/12))+Y83+$Y$6</f>
        <v>18095.437787278875</v>
      </c>
      <c r="Z84" s="60">
        <f>'Mortgage and Loans'!U46</f>
        <v>36895.42</v>
      </c>
      <c r="AA84" s="12">
        <f t="shared" si="212"/>
        <v>336371.77520881599</v>
      </c>
      <c r="AB84" s="56">
        <f t="shared" si="181"/>
        <v>750</v>
      </c>
      <c r="AC84" s="56">
        <f t="shared" si="181"/>
        <v>750</v>
      </c>
      <c r="AD84" s="56">
        <f t="shared" si="181"/>
        <v>750</v>
      </c>
      <c r="AE84" s="56">
        <f t="shared" si="181"/>
        <v>750</v>
      </c>
      <c r="AF84" s="56">
        <f t="shared" si="74"/>
        <v>261.43836781716385</v>
      </c>
      <c r="AG84" s="56">
        <f t="shared" si="181"/>
        <v>750</v>
      </c>
      <c r="AH84" s="56">
        <f>'Mortgage and Loans'!AF41</f>
        <v>41820.047741334201</v>
      </c>
      <c r="AI84" s="56">
        <f>'Mortgage and Loans'!AQ41</f>
        <v>13925.289084742963</v>
      </c>
      <c r="AJ84" s="56">
        <f>'Mortgage and Loans'!BB41</f>
        <v>3268.5670317487675</v>
      </c>
      <c r="AK84" s="56">
        <f>'Mortgage and Loans'!BM41</f>
        <v>0</v>
      </c>
      <c r="AL84" s="56">
        <f>'Mortgage and Loans'!T46</f>
        <v>143104.58000000002</v>
      </c>
      <c r="AM84" s="12">
        <f t="shared" si="12"/>
        <v>-206129.92222564312</v>
      </c>
      <c r="AN84" s="75">
        <f t="shared" si="85"/>
        <v>130241.85298317287</v>
      </c>
      <c r="AO84" s="86">
        <f>'Mortgage and Loans'!G47</f>
        <v>2862.83</v>
      </c>
      <c r="AP84" s="79">
        <f>('Salary Tax Breakdown'!B$16/12)-Data!AO84</f>
        <v>584.67000000000007</v>
      </c>
      <c r="AQ84" s="87"/>
      <c r="AR84" s="20">
        <f t="shared" si="182"/>
        <v>4011.4383678171639</v>
      </c>
      <c r="AS84" s="20">
        <v>750</v>
      </c>
      <c r="AT84" s="20">
        <v>0</v>
      </c>
      <c r="AU84" s="20">
        <f t="shared" si="183"/>
        <v>4761.4383678171635</v>
      </c>
      <c r="AV84" s="20">
        <f t="shared" si="184"/>
        <v>4761.4467394024869</v>
      </c>
      <c r="AW84" s="51">
        <f t="shared" si="213"/>
        <v>0</v>
      </c>
      <c r="AX84" s="51">
        <f t="shared" si="14"/>
        <v>0</v>
      </c>
      <c r="AY84" s="51">
        <f t="shared" si="15"/>
        <v>0</v>
      </c>
      <c r="AZ84" s="51">
        <f t="shared" si="16"/>
        <v>0</v>
      </c>
      <c r="BA84" s="51">
        <f t="shared" si="17"/>
        <v>0</v>
      </c>
      <c r="BB84" s="51">
        <f t="shared" si="18"/>
        <v>0</v>
      </c>
      <c r="BC84" s="51">
        <f t="shared" si="19"/>
        <v>0</v>
      </c>
      <c r="BD84" s="51">
        <f t="shared" si="20"/>
        <v>0</v>
      </c>
      <c r="BE84" s="51">
        <f t="shared" si="21"/>
        <v>0</v>
      </c>
      <c r="BF84" s="51">
        <f t="shared" si="22"/>
        <v>0</v>
      </c>
      <c r="BG84" s="51">
        <f t="shared" si="23"/>
        <v>0</v>
      </c>
      <c r="BH84" s="51">
        <f t="shared" si="24"/>
        <v>0</v>
      </c>
      <c r="BI84" s="51">
        <f t="shared" si="185"/>
        <v>0</v>
      </c>
      <c r="BJ84" s="51">
        <f t="shared" si="186"/>
        <v>0</v>
      </c>
      <c r="BK84" s="51">
        <f t="shared" si="187"/>
        <v>0</v>
      </c>
      <c r="BL84" s="51">
        <f t="shared" si="188"/>
        <v>0</v>
      </c>
      <c r="BM84" s="51">
        <f t="shared" si="189"/>
        <v>0</v>
      </c>
      <c r="BN84" s="51">
        <f t="shared" si="190"/>
        <v>0</v>
      </c>
      <c r="BO84" s="51">
        <f t="shared" si="191"/>
        <v>0</v>
      </c>
      <c r="BP84" s="51">
        <f t="shared" si="192"/>
        <v>0</v>
      </c>
      <c r="BQ84" s="51">
        <f t="shared" si="193"/>
        <v>0</v>
      </c>
      <c r="BR84" s="51">
        <f t="shared" si="194"/>
        <v>0</v>
      </c>
      <c r="BS84" s="51">
        <f t="shared" si="195"/>
        <v>0</v>
      </c>
      <c r="BT84" s="51">
        <f t="shared" si="196"/>
        <v>0</v>
      </c>
      <c r="BU84" s="20">
        <f t="shared" si="197"/>
        <v>4761.4399511175534</v>
      </c>
      <c r="BV84" s="20">
        <f t="shared" si="198"/>
        <v>4761.4376701850542</v>
      </c>
      <c r="BW84" s="20">
        <f t="shared" si="199"/>
        <v>57137.260413805961</v>
      </c>
      <c r="BX84" s="20">
        <f t="shared" si="200"/>
        <v>57137.279413410637</v>
      </c>
      <c r="BY84" s="20">
        <f t="shared" si="201"/>
        <v>57137.252042220651</v>
      </c>
      <c r="BZ84" s="21">
        <f t="shared" si="202"/>
        <v>57137.263956479081</v>
      </c>
      <c r="CA84" s="19">
        <f t="shared" ref="CA84:CA147" si="216">$BZ84/CA$11</f>
        <v>1428431.5989119769</v>
      </c>
      <c r="CB84" s="20">
        <f t="shared" si="203"/>
        <v>1428432.0178806633</v>
      </c>
      <c r="CC84" s="20">
        <f t="shared" si="204"/>
        <v>1428431.4105620349</v>
      </c>
      <c r="CD84" s="20">
        <f t="shared" ref="CD84:CD147" si="217">CB84*G84</f>
        <v>0</v>
      </c>
      <c r="CE84" s="20">
        <f t="shared" si="113"/>
        <v>1400000</v>
      </c>
      <c r="CF84" s="20">
        <f t="shared" si="214"/>
        <v>276905.7805406017</v>
      </c>
      <c r="CG84" s="20">
        <f t="shared" si="205"/>
        <v>11076.231221624068</v>
      </c>
      <c r="CH84" s="20">
        <f t="shared" si="215"/>
        <v>923.01926846867229</v>
      </c>
      <c r="CI84" s="20">
        <f t="shared" si="206"/>
        <v>270018.13735879067</v>
      </c>
      <c r="CJ84" s="24">
        <f t="shared" si="207"/>
        <v>0.19385296400135402</v>
      </c>
      <c r="CK84" s="24">
        <f t="shared" si="208"/>
        <v>2.5555139318536854E-2</v>
      </c>
      <c r="CL84" s="24">
        <f t="shared" si="209"/>
        <v>8.0325465311619687E-2</v>
      </c>
      <c r="CM84" s="25">
        <f t="shared" si="210"/>
        <v>0.40907994310287765</v>
      </c>
      <c r="CN84" s="17"/>
      <c r="CO84" s="17"/>
      <c r="CP84" s="17"/>
      <c r="CQ84" s="17"/>
      <c r="CR84" s="17"/>
      <c r="CS84" s="17"/>
      <c r="CT84" s="17"/>
      <c r="CU84" s="17"/>
      <c r="CV84" s="17"/>
      <c r="CW84" s="30">
        <v>0</v>
      </c>
      <c r="CX84" s="17"/>
      <c r="CY84" s="17"/>
      <c r="CZ84" s="17"/>
      <c r="DA84" s="17"/>
      <c r="DB84" s="17"/>
    </row>
    <row r="85" spans="1:106" ht="15.75" thickBot="1" x14ac:dyDescent="0.3">
      <c r="A85" s="5">
        <f t="shared" si="70"/>
        <v>30</v>
      </c>
      <c r="B85" s="5">
        <f t="shared" si="69"/>
        <v>28</v>
      </c>
      <c r="C85" s="1">
        <v>44805</v>
      </c>
      <c r="D85" s="4"/>
      <c r="E85" s="30"/>
      <c r="F85" s="30"/>
      <c r="G85" s="30">
        <f t="shared" si="211"/>
        <v>0</v>
      </c>
      <c r="H85" s="30"/>
      <c r="I85" s="10">
        <v>0</v>
      </c>
      <c r="J85" s="60">
        <v>9000</v>
      </c>
      <c r="K85" s="11">
        <v>550</v>
      </c>
      <c r="L85" s="60">
        <f t="shared" si="72"/>
        <v>9627.1934876050236</v>
      </c>
      <c r="M85" s="11">
        <v>305</v>
      </c>
      <c r="N85" s="60">
        <v>0</v>
      </c>
      <c r="O85" s="11">
        <v>0</v>
      </c>
      <c r="P85" s="11">
        <v>0</v>
      </c>
      <c r="Q85" s="60">
        <f>(Q84*($K$1/12))+Q84 + $Q$6</f>
        <v>38391.109185814297</v>
      </c>
      <c r="R85" s="60">
        <f>(R84*($K$1/12))+R84</f>
        <v>5870.274222093436</v>
      </c>
      <c r="S85" s="60">
        <f>(S84*($K$1/12))+S84</f>
        <v>5096.5756472499988</v>
      </c>
      <c r="T85" s="60">
        <f>(T84*($K$1/12))+T84+$T$6 + ((3%/12)*T$11)</f>
        <v>176423.6744165491</v>
      </c>
      <c r="U85" s="60">
        <f>(U84*$K$1/12) + U84 + ((U$11/12*7%))</f>
        <v>23376.669903753973</v>
      </c>
      <c r="V85" s="60">
        <v>3100</v>
      </c>
      <c r="W85" s="60">
        <f>(W84*($K$1/12))+W84+$W$6</f>
        <v>15841.432067775871</v>
      </c>
      <c r="X85" s="11">
        <v>0</v>
      </c>
      <c r="Y85" s="60">
        <f>(Y84*($K$1/12))+Y84+$Y$6</f>
        <v>18843.454741959969</v>
      </c>
      <c r="Z85" s="60">
        <f>'Mortgage and Loans'!U47</f>
        <v>37130.31</v>
      </c>
      <c r="AA85" s="12">
        <f t="shared" si="212"/>
        <v>343555.69367280166</v>
      </c>
      <c r="AB85" s="56">
        <f t="shared" si="181"/>
        <v>750</v>
      </c>
      <c r="AC85" s="56">
        <f t="shared" si="181"/>
        <v>750</v>
      </c>
      <c r="AD85" s="56">
        <f t="shared" si="181"/>
        <v>750</v>
      </c>
      <c r="AE85" s="56">
        <f t="shared" si="181"/>
        <v>750</v>
      </c>
      <c r="AF85" s="56">
        <f t="shared" si="74"/>
        <v>261.43767018505361</v>
      </c>
      <c r="AG85" s="56">
        <f t="shared" si="181"/>
        <v>750</v>
      </c>
      <c r="AH85" s="56">
        <f>'Mortgage and Loans'!AF42</f>
        <v>41460.317741334198</v>
      </c>
      <c r="AI85" s="56">
        <f>'Mortgage and Loans'!AQ42</f>
        <v>13808.879084742963</v>
      </c>
      <c r="AJ85" s="56">
        <f>'Mortgage and Loans'!BB42</f>
        <v>1881.6670317487674</v>
      </c>
      <c r="AK85" s="56">
        <f>'Mortgage and Loans'!BM42</f>
        <v>0</v>
      </c>
      <c r="AL85" s="56">
        <f>'Mortgage and Loans'!T47</f>
        <v>142869.69</v>
      </c>
      <c r="AM85" s="12">
        <f t="shared" si="12"/>
        <v>-204031.99152801099</v>
      </c>
      <c r="AN85" s="75">
        <f t="shared" si="85"/>
        <v>139523.70214479067</v>
      </c>
      <c r="AO85" s="86">
        <f>'Mortgage and Loans'!G48</f>
        <v>2862.83</v>
      </c>
      <c r="AP85" s="79">
        <f>('Salary Tax Breakdown'!B$16/12)-Data!AO85</f>
        <v>584.67000000000007</v>
      </c>
      <c r="AQ85" s="87"/>
      <c r="AR85" s="20">
        <f t="shared" si="182"/>
        <v>4011.4376701850538</v>
      </c>
      <c r="AS85" s="20">
        <v>750</v>
      </c>
      <c r="AT85" s="20">
        <v>0</v>
      </c>
      <c r="AU85" s="20">
        <f t="shared" si="183"/>
        <v>4761.4376701850542</v>
      </c>
      <c r="AV85" s="20">
        <f t="shared" si="184"/>
        <v>4761.4358661826318</v>
      </c>
      <c r="AW85" s="51">
        <f t="shared" si="213"/>
        <v>0</v>
      </c>
      <c r="AX85" s="51">
        <f t="shared" si="14"/>
        <v>0</v>
      </c>
      <c r="AY85" s="51">
        <f t="shared" si="15"/>
        <v>0</v>
      </c>
      <c r="AZ85" s="51">
        <f t="shared" si="16"/>
        <v>0</v>
      </c>
      <c r="BA85" s="51">
        <f t="shared" si="17"/>
        <v>0</v>
      </c>
      <c r="BB85" s="51">
        <f t="shared" si="18"/>
        <v>0</v>
      </c>
      <c r="BC85" s="51">
        <f t="shared" si="19"/>
        <v>0</v>
      </c>
      <c r="BD85" s="51">
        <f t="shared" si="20"/>
        <v>0</v>
      </c>
      <c r="BE85" s="51">
        <f t="shared" si="21"/>
        <v>0</v>
      </c>
      <c r="BF85" s="51">
        <f t="shared" si="22"/>
        <v>0</v>
      </c>
      <c r="BG85" s="51">
        <f t="shared" si="23"/>
        <v>0</v>
      </c>
      <c r="BH85" s="51">
        <f t="shared" si="24"/>
        <v>0</v>
      </c>
      <c r="BI85" s="51">
        <f t="shared" si="185"/>
        <v>0</v>
      </c>
      <c r="BJ85" s="51">
        <f t="shared" si="186"/>
        <v>0</v>
      </c>
      <c r="BK85" s="51">
        <f t="shared" si="187"/>
        <v>0</v>
      </c>
      <c r="BL85" s="51">
        <f t="shared" si="188"/>
        <v>0</v>
      </c>
      <c r="BM85" s="51">
        <f t="shared" si="189"/>
        <v>0</v>
      </c>
      <c r="BN85" s="51">
        <f t="shared" si="190"/>
        <v>0</v>
      </c>
      <c r="BO85" s="51">
        <f t="shared" si="191"/>
        <v>0</v>
      </c>
      <c r="BP85" s="51">
        <f t="shared" si="192"/>
        <v>0</v>
      </c>
      <c r="BQ85" s="51">
        <f t="shared" si="193"/>
        <v>0</v>
      </c>
      <c r="BR85" s="51">
        <f t="shared" si="194"/>
        <v>0</v>
      </c>
      <c r="BS85" s="51">
        <f t="shared" si="195"/>
        <v>0</v>
      </c>
      <c r="BT85" s="51">
        <f t="shared" si="196"/>
        <v>0</v>
      </c>
      <c r="BU85" s="20">
        <f t="shared" si="197"/>
        <v>4761.4386149167076</v>
      </c>
      <c r="BV85" s="20">
        <f t="shared" si="198"/>
        <v>4761.4378205185903</v>
      </c>
      <c r="BW85" s="20">
        <f t="shared" si="199"/>
        <v>57137.252042220651</v>
      </c>
      <c r="BX85" s="20">
        <f t="shared" si="200"/>
        <v>57137.263379000491</v>
      </c>
      <c r="BY85" s="20">
        <f t="shared" si="201"/>
        <v>57137.253846223088</v>
      </c>
      <c r="BZ85" s="21">
        <f t="shared" si="202"/>
        <v>57137.256422481412</v>
      </c>
      <c r="CA85" s="19">
        <f t="shared" si="216"/>
        <v>1428431.4105620352</v>
      </c>
      <c r="CB85" s="20">
        <f t="shared" si="203"/>
        <v>1428431.664268146</v>
      </c>
      <c r="CC85" s="20">
        <f t="shared" si="204"/>
        <v>1428431.4317755203</v>
      </c>
      <c r="CD85" s="20">
        <f t="shared" si="217"/>
        <v>0</v>
      </c>
      <c r="CE85" s="20">
        <f t="shared" si="113"/>
        <v>1400000</v>
      </c>
      <c r="CF85" s="20">
        <f t="shared" si="214"/>
        <v>283843.19018519664</v>
      </c>
      <c r="CG85" s="20">
        <f t="shared" si="205"/>
        <v>11353.727607407865</v>
      </c>
      <c r="CH85" s="20">
        <f t="shared" si="215"/>
        <v>946.14396728398879</v>
      </c>
      <c r="CI85" s="20">
        <f t="shared" si="206"/>
        <v>276918.23893615074</v>
      </c>
      <c r="CJ85" s="24">
        <f t="shared" si="207"/>
        <v>0.19870967389302666</v>
      </c>
      <c r="CK85" s="24">
        <f t="shared" si="208"/>
        <v>2.5053321859338118E-2</v>
      </c>
      <c r="CL85" s="24">
        <f t="shared" si="209"/>
        <v>7.8665644698832318E-2</v>
      </c>
      <c r="CM85" s="25">
        <f t="shared" si="210"/>
        <v>0.39812337004632081</v>
      </c>
      <c r="CN85" s="17"/>
      <c r="CO85" s="17"/>
      <c r="CP85" s="17"/>
      <c r="CQ85" s="17"/>
      <c r="CR85" s="17"/>
      <c r="CS85" s="17"/>
      <c r="CT85" s="17"/>
      <c r="CU85" s="17"/>
      <c r="CV85" s="17"/>
      <c r="CW85" s="30">
        <v>0</v>
      </c>
      <c r="CX85" s="17"/>
      <c r="CY85" s="17"/>
      <c r="CZ85" s="17"/>
      <c r="DA85" s="17"/>
      <c r="DB85" s="17"/>
    </row>
    <row r="86" spans="1:106" ht="15.75" thickBot="1" x14ac:dyDescent="0.3">
      <c r="A86" s="5">
        <f t="shared" si="70"/>
        <v>30</v>
      </c>
      <c r="B86" s="5">
        <f t="shared" si="69"/>
        <v>29</v>
      </c>
      <c r="C86" s="1">
        <v>44835</v>
      </c>
      <c r="D86" s="4"/>
      <c r="E86" s="30"/>
      <c r="F86" s="30"/>
      <c r="G86" s="30">
        <f t="shared" si="211"/>
        <v>0</v>
      </c>
      <c r="H86" s="30"/>
      <c r="I86" s="10">
        <v>0</v>
      </c>
      <c r="J86" s="60">
        <v>9000</v>
      </c>
      <c r="K86" s="11">
        <v>550</v>
      </c>
      <c r="L86" s="60">
        <f t="shared" si="72"/>
        <v>9638.8263464025458</v>
      </c>
      <c r="M86" s="11">
        <v>305</v>
      </c>
      <c r="N86" s="60">
        <v>0</v>
      </c>
      <c r="O86" s="11">
        <v>0</v>
      </c>
      <c r="P86" s="11">
        <v>0</v>
      </c>
      <c r="Q86" s="60">
        <f>(Q85*($K$1/12))+Q85 + $Q$6</f>
        <v>39515.73102723746</v>
      </c>
      <c r="R86" s="60">
        <f>(R85*($K$1/12))+R85</f>
        <v>5902.0715407964417</v>
      </c>
      <c r="S86" s="60">
        <f>(S85*($K$1/12))+S85</f>
        <v>5124.1820986726034</v>
      </c>
      <c r="T86" s="60">
        <f>(T85*($K$1/12))+T85+$T$6 + ((3%/12)*T$11)</f>
        <v>180554.30265297208</v>
      </c>
      <c r="U86" s="60">
        <f>(U85*$K$1/12) + U85 + ((U$11/12*7%))</f>
        <v>23911.62686573264</v>
      </c>
      <c r="V86" s="60">
        <v>3100</v>
      </c>
      <c r="W86" s="60">
        <f>(W85*($K$1/12))+W85+$W$6</f>
        <v>16214.739824809658</v>
      </c>
      <c r="X86" s="11">
        <v>0</v>
      </c>
      <c r="Y86" s="60">
        <f>(Y85*($K$1/12))+Y85+$Y$6</f>
        <v>19595.523455145587</v>
      </c>
      <c r="Z86" s="60">
        <f>'Mortgage and Loans'!U48</f>
        <v>37366.01</v>
      </c>
      <c r="AA86" s="12">
        <f t="shared" si="212"/>
        <v>350778.01381176902</v>
      </c>
      <c r="AB86" s="56">
        <f t="shared" si="181"/>
        <v>750</v>
      </c>
      <c r="AC86" s="56">
        <f t="shared" si="181"/>
        <v>750</v>
      </c>
      <c r="AD86" s="56">
        <f t="shared" si="181"/>
        <v>750</v>
      </c>
      <c r="AE86" s="56">
        <f t="shared" si="181"/>
        <v>750</v>
      </c>
      <c r="AF86" s="56">
        <f t="shared" si="74"/>
        <v>261.43782051858881</v>
      </c>
      <c r="AG86" s="56">
        <f t="shared" si="181"/>
        <v>750</v>
      </c>
      <c r="AH86" s="56">
        <f>'Mortgage and Loans'!AF43</f>
        <v>41098.997741334199</v>
      </c>
      <c r="AI86" s="56">
        <f>'Mortgage and Loans'!AQ43</f>
        <v>13691.879084742963</v>
      </c>
      <c r="AJ86" s="56">
        <f>'Mortgage and Loans'!BB43</f>
        <v>487.2570317487673</v>
      </c>
      <c r="AK86" s="56">
        <f>'Mortgage and Loans'!BM43</f>
        <v>0</v>
      </c>
      <c r="AL86" s="56">
        <f>'Mortgage and Loans'!T48</f>
        <v>142633.99</v>
      </c>
      <c r="AM86" s="12">
        <f t="shared" si="12"/>
        <v>-201923.5616783445</v>
      </c>
      <c r="AN86" s="75">
        <f t="shared" si="85"/>
        <v>148854.45213342452</v>
      </c>
      <c r="AO86" s="86">
        <f>'Mortgage and Loans'!G49</f>
        <v>2862.83</v>
      </c>
      <c r="AP86" s="79">
        <f>('Salary Tax Breakdown'!B$16/12)-Data!AO86</f>
        <v>584.67000000000007</v>
      </c>
      <c r="AQ86" s="87"/>
      <c r="AR86" s="20">
        <f t="shared" si="182"/>
        <v>4011.437820518589</v>
      </c>
      <c r="AS86" s="20">
        <v>750</v>
      </c>
      <c r="AT86" s="20">
        <v>0</v>
      </c>
      <c r="AU86" s="20">
        <f t="shared" si="183"/>
        <v>4761.4378205185894</v>
      </c>
      <c r="AV86" s="20">
        <f t="shared" si="184"/>
        <v>4761.4291339855217</v>
      </c>
      <c r="AW86" s="51">
        <f t="shared" si="213"/>
        <v>0</v>
      </c>
      <c r="AX86" s="51">
        <f t="shared" si="14"/>
        <v>0</v>
      </c>
      <c r="AY86" s="51">
        <f t="shared" si="15"/>
        <v>0</v>
      </c>
      <c r="AZ86" s="51">
        <f t="shared" si="16"/>
        <v>0</v>
      </c>
      <c r="BA86" s="51">
        <f t="shared" si="17"/>
        <v>0</v>
      </c>
      <c r="BB86" s="51">
        <f t="shared" si="18"/>
        <v>0</v>
      </c>
      <c r="BC86" s="51">
        <f t="shared" si="19"/>
        <v>0</v>
      </c>
      <c r="BD86" s="51">
        <f t="shared" si="20"/>
        <v>0</v>
      </c>
      <c r="BE86" s="51">
        <f t="shared" si="21"/>
        <v>0</v>
      </c>
      <c r="BF86" s="51">
        <f t="shared" si="22"/>
        <v>0</v>
      </c>
      <c r="BG86" s="51">
        <f t="shared" si="23"/>
        <v>0</v>
      </c>
      <c r="BH86" s="51">
        <f t="shared" si="24"/>
        <v>0</v>
      </c>
      <c r="BI86" s="51">
        <f t="shared" si="185"/>
        <v>0</v>
      </c>
      <c r="BJ86" s="51">
        <f t="shared" si="186"/>
        <v>0</v>
      </c>
      <c r="BK86" s="51">
        <f t="shared" si="187"/>
        <v>0</v>
      </c>
      <c r="BL86" s="51">
        <f t="shared" si="188"/>
        <v>0</v>
      </c>
      <c r="BM86" s="51">
        <f t="shared" si="189"/>
        <v>0</v>
      </c>
      <c r="BN86" s="51">
        <f t="shared" si="190"/>
        <v>0</v>
      </c>
      <c r="BO86" s="51">
        <f t="shared" si="191"/>
        <v>0</v>
      </c>
      <c r="BP86" s="51">
        <f t="shared" si="192"/>
        <v>0</v>
      </c>
      <c r="BQ86" s="51">
        <f t="shared" si="193"/>
        <v>0</v>
      </c>
      <c r="BR86" s="51">
        <f t="shared" si="194"/>
        <v>0</v>
      </c>
      <c r="BS86" s="51">
        <f t="shared" si="195"/>
        <v>0</v>
      </c>
      <c r="BT86" s="51">
        <f t="shared" si="196"/>
        <v>0</v>
      </c>
      <c r="BU86" s="20">
        <f t="shared" si="197"/>
        <v>4761.4379528402687</v>
      </c>
      <c r="BV86" s="20">
        <f t="shared" si="198"/>
        <v>4761.4385443963447</v>
      </c>
      <c r="BW86" s="20">
        <f t="shared" si="199"/>
        <v>57137.253846223073</v>
      </c>
      <c r="BX86" s="20">
        <f t="shared" si="200"/>
        <v>57137.255434083228</v>
      </c>
      <c r="BY86" s="20">
        <f t="shared" si="201"/>
        <v>57137.26253275614</v>
      </c>
      <c r="BZ86" s="21">
        <f t="shared" si="202"/>
        <v>57137.257271020811</v>
      </c>
      <c r="CA86" s="19">
        <f t="shared" si="216"/>
        <v>1428431.4317755203</v>
      </c>
      <c r="CB86" s="20">
        <f t="shared" si="203"/>
        <v>1428431.480416511</v>
      </c>
      <c r="CC86" s="20">
        <f t="shared" si="204"/>
        <v>1428431.5891216674</v>
      </c>
      <c r="CD86" s="20">
        <f t="shared" si="217"/>
        <v>0</v>
      </c>
      <c r="CE86" s="20">
        <f t="shared" si="113"/>
        <v>1400000</v>
      </c>
      <c r="CF86" s="20">
        <f t="shared" si="214"/>
        <v>290818.17746536649</v>
      </c>
      <c r="CG86" s="20">
        <f t="shared" si="205"/>
        <v>11632.72709861466</v>
      </c>
      <c r="CH86" s="20">
        <f t="shared" si="215"/>
        <v>969.39392488455496</v>
      </c>
      <c r="CI86" s="20">
        <f t="shared" si="206"/>
        <v>283855.71606372157</v>
      </c>
      <c r="CJ86" s="24">
        <f t="shared" si="207"/>
        <v>0.20359266891861549</v>
      </c>
      <c r="CK86" s="24">
        <f t="shared" si="208"/>
        <v>2.4573382491998287E-2</v>
      </c>
      <c r="CL86" s="24">
        <f t="shared" si="209"/>
        <v>7.7081438764423235E-2</v>
      </c>
      <c r="CM86" s="25">
        <f t="shared" si="210"/>
        <v>0.38779289438245701</v>
      </c>
      <c r="CN86" s="17"/>
      <c r="CO86" s="17"/>
      <c r="CP86" s="17"/>
      <c r="CQ86" s="17"/>
      <c r="CR86" s="17"/>
      <c r="CS86" s="17"/>
      <c r="CT86" s="17"/>
      <c r="CU86" s="17"/>
      <c r="CV86" s="17"/>
      <c r="CW86" s="30">
        <v>0</v>
      </c>
      <c r="CX86" s="17"/>
      <c r="CY86" s="17"/>
      <c r="CZ86" s="17"/>
      <c r="DA86" s="17"/>
      <c r="DB86" s="17"/>
    </row>
    <row r="87" spans="1:106" ht="15.75" thickBot="1" x14ac:dyDescent="0.3">
      <c r="A87" s="5">
        <f t="shared" si="70"/>
        <v>30</v>
      </c>
      <c r="B87" s="5">
        <f t="shared" si="69"/>
        <v>29</v>
      </c>
      <c r="C87" s="1">
        <v>44866</v>
      </c>
      <c r="D87" s="4"/>
      <c r="E87" s="30"/>
      <c r="F87" s="30"/>
      <c r="G87" s="30">
        <f t="shared" si="211"/>
        <v>0</v>
      </c>
      <c r="H87" s="30"/>
      <c r="I87" s="10">
        <v>0</v>
      </c>
      <c r="J87" s="60">
        <v>9000</v>
      </c>
      <c r="K87" s="11">
        <v>550</v>
      </c>
      <c r="L87" s="60">
        <f t="shared" si="72"/>
        <v>9650.4732615711146</v>
      </c>
      <c r="M87" s="11">
        <v>305</v>
      </c>
      <c r="N87" s="60">
        <v>0</v>
      </c>
      <c r="O87" s="11">
        <v>0</v>
      </c>
      <c r="P87" s="11">
        <v>0</v>
      </c>
      <c r="Q87" s="60">
        <f>(Q86*($K$1/12))+Q86 + $Q$6</f>
        <v>40646.444570301661</v>
      </c>
      <c r="R87" s="60">
        <f>(R86*($K$1/12))+R86</f>
        <v>5934.0410949757561</v>
      </c>
      <c r="S87" s="60">
        <f>(S86*($K$1/12))+S86</f>
        <v>5151.9380850404132</v>
      </c>
      <c r="T87" s="60">
        <f>(T86*($K$1/12))+T86+$T$6 + ((3%/12)*T$11)</f>
        <v>184707.30512567569</v>
      </c>
      <c r="U87" s="60">
        <f>(U86*$K$1/12) + U86 + ((U$11/12*7%))</f>
        <v>24449.481511255359</v>
      </c>
      <c r="V87" s="60">
        <v>3100</v>
      </c>
      <c r="W87" s="60">
        <f>(W86*($K$1/12))+W86+$W$6</f>
        <v>16590.069665527379</v>
      </c>
      <c r="X87" s="11">
        <v>0</v>
      </c>
      <c r="Y87" s="60">
        <f>(Y86*($K$1/12))+Y86+$Y$6</f>
        <v>20351.665873860959</v>
      </c>
      <c r="Z87" s="60">
        <f>'Mortgage and Loans'!U49</f>
        <v>37602.519999999997</v>
      </c>
      <c r="AA87" s="12">
        <f t="shared" si="212"/>
        <v>358038.93918820831</v>
      </c>
      <c r="AB87" s="56">
        <f t="shared" si="181"/>
        <v>750</v>
      </c>
      <c r="AC87" s="56">
        <f t="shared" si="181"/>
        <v>750</v>
      </c>
      <c r="AD87" s="56">
        <f t="shared" si="181"/>
        <v>750</v>
      </c>
      <c r="AE87" s="56">
        <f t="shared" si="181"/>
        <v>750</v>
      </c>
      <c r="AF87" s="56">
        <f t="shared" si="74"/>
        <v>261.43854439634435</v>
      </c>
      <c r="AG87" s="56">
        <f t="shared" si="181"/>
        <v>750</v>
      </c>
      <c r="AH87" s="56">
        <f>'Mortgage and Loans'!AF44</f>
        <v>40736.0777413342</v>
      </c>
      <c r="AI87" s="56">
        <f>'Mortgage and Loans'!AQ44</f>
        <v>12474.299084742963</v>
      </c>
      <c r="AJ87" s="56">
        <f>'Mortgage and Loans'!BB44</f>
        <v>203.49703174876726</v>
      </c>
      <c r="AK87" s="56">
        <f>'Mortgage and Loans'!BM44</f>
        <v>0</v>
      </c>
      <c r="AL87" s="56">
        <f>'Mortgage and Loans'!T49</f>
        <v>142397.47999999998</v>
      </c>
      <c r="AM87" s="12">
        <f t="shared" si="12"/>
        <v>-199822.79240222226</v>
      </c>
      <c r="AN87" s="75">
        <f t="shared" si="85"/>
        <v>158216.14678598606</v>
      </c>
      <c r="AO87" s="86">
        <f>'Mortgage and Loans'!G50</f>
        <v>2844.63</v>
      </c>
      <c r="AP87" s="79">
        <f>('Salary Tax Breakdown'!B$16/12)-Data!AO87</f>
        <v>602.86999999999989</v>
      </c>
      <c r="AQ87" s="87"/>
      <c r="AR87" s="20">
        <f t="shared" si="182"/>
        <v>4011.4385443963442</v>
      </c>
      <c r="AS87" s="20">
        <v>750</v>
      </c>
      <c r="AT87" s="20">
        <v>0</v>
      </c>
      <c r="AU87" s="20">
        <f t="shared" si="183"/>
        <v>4761.4385443963438</v>
      </c>
      <c r="AV87" s="20">
        <f t="shared" si="184"/>
        <v>4761.4290557084787</v>
      </c>
      <c r="AW87" s="51">
        <f t="shared" si="213"/>
        <v>0</v>
      </c>
      <c r="AX87" s="51">
        <f t="shared" si="14"/>
        <v>0</v>
      </c>
      <c r="AY87" s="51">
        <f t="shared" si="15"/>
        <v>0</v>
      </c>
      <c r="AZ87" s="51">
        <f t="shared" si="16"/>
        <v>0</v>
      </c>
      <c r="BA87" s="51">
        <f t="shared" si="17"/>
        <v>0</v>
      </c>
      <c r="BB87" s="51">
        <f t="shared" si="18"/>
        <v>0</v>
      </c>
      <c r="BC87" s="51">
        <f t="shared" si="19"/>
        <v>0</v>
      </c>
      <c r="BD87" s="51">
        <f t="shared" si="20"/>
        <v>0</v>
      </c>
      <c r="BE87" s="51">
        <f t="shared" si="21"/>
        <v>0</v>
      </c>
      <c r="BF87" s="51">
        <f t="shared" si="22"/>
        <v>0</v>
      </c>
      <c r="BG87" s="51">
        <f t="shared" si="23"/>
        <v>0</v>
      </c>
      <c r="BH87" s="51">
        <f t="shared" si="24"/>
        <v>0</v>
      </c>
      <c r="BI87" s="51">
        <f t="shared" si="185"/>
        <v>0</v>
      </c>
      <c r="BJ87" s="51">
        <f t="shared" si="186"/>
        <v>0</v>
      </c>
      <c r="BK87" s="51">
        <f t="shared" si="187"/>
        <v>0</v>
      </c>
      <c r="BL87" s="51">
        <f t="shared" si="188"/>
        <v>0</v>
      </c>
      <c r="BM87" s="51">
        <f t="shared" si="189"/>
        <v>0</v>
      </c>
      <c r="BN87" s="51">
        <f t="shared" si="190"/>
        <v>0</v>
      </c>
      <c r="BO87" s="51">
        <f t="shared" si="191"/>
        <v>0</v>
      </c>
      <c r="BP87" s="51">
        <f t="shared" si="192"/>
        <v>0</v>
      </c>
      <c r="BQ87" s="51">
        <f t="shared" si="193"/>
        <v>0</v>
      </c>
      <c r="BR87" s="51">
        <f t="shared" si="194"/>
        <v>0</v>
      </c>
      <c r="BS87" s="51">
        <f t="shared" si="195"/>
        <v>0</v>
      </c>
      <c r="BT87" s="51">
        <f t="shared" si="196"/>
        <v>0</v>
      </c>
      <c r="BU87" s="20">
        <f t="shared" si="197"/>
        <v>4761.4380116999955</v>
      </c>
      <c r="BV87" s="20">
        <f t="shared" si="198"/>
        <v>4761.4393351203335</v>
      </c>
      <c r="BW87" s="20">
        <f t="shared" si="199"/>
        <v>57137.262532756125</v>
      </c>
      <c r="BX87" s="20">
        <f t="shared" si="200"/>
        <v>57137.256140399943</v>
      </c>
      <c r="BY87" s="20">
        <f t="shared" si="201"/>
        <v>57137.272021444005</v>
      </c>
      <c r="BZ87" s="21">
        <f t="shared" si="202"/>
        <v>57137.263564866698</v>
      </c>
      <c r="CA87" s="19">
        <f t="shared" si="216"/>
        <v>1428431.5891216674</v>
      </c>
      <c r="CB87" s="20">
        <f t="shared" si="203"/>
        <v>1428431.4771530742</v>
      </c>
      <c r="CC87" s="20">
        <f t="shared" si="204"/>
        <v>1428431.787562819</v>
      </c>
      <c r="CD87" s="20">
        <f t="shared" si="217"/>
        <v>0</v>
      </c>
      <c r="CE87" s="20">
        <f t="shared" si="113"/>
        <v>1400000</v>
      </c>
      <c r="CF87" s="20">
        <f t="shared" si="214"/>
        <v>297830.94592663721</v>
      </c>
      <c r="CG87" s="20">
        <f t="shared" si="205"/>
        <v>11913.23783706549</v>
      </c>
      <c r="CH87" s="20">
        <f t="shared" si="215"/>
        <v>992.76981975545743</v>
      </c>
      <c r="CI87" s="20">
        <f t="shared" si="206"/>
        <v>290830.77119240008</v>
      </c>
      <c r="CJ87" s="24">
        <f t="shared" si="207"/>
        <v>0.20850208826273359</v>
      </c>
      <c r="CK87" s="24">
        <f t="shared" si="208"/>
        <v>2.4113927548789049E-2</v>
      </c>
      <c r="CL87" s="24">
        <f t="shared" si="209"/>
        <v>7.5567817129651188E-2</v>
      </c>
      <c r="CM87" s="25">
        <f t="shared" si="210"/>
        <v>0.37803647912307586</v>
      </c>
      <c r="CN87" s="17"/>
      <c r="CO87" s="17"/>
      <c r="CP87" s="17"/>
      <c r="CQ87" s="17"/>
      <c r="CR87" s="17"/>
      <c r="CS87" s="17"/>
      <c r="CT87" s="17"/>
      <c r="CU87" s="17"/>
      <c r="CV87" s="17"/>
      <c r="CW87" s="30">
        <v>0</v>
      </c>
      <c r="CX87" s="17"/>
      <c r="CY87" s="17"/>
      <c r="CZ87" s="17"/>
      <c r="DA87" s="17"/>
      <c r="DB87" s="17"/>
    </row>
    <row r="88" spans="1:106" ht="15.75" thickBot="1" x14ac:dyDescent="0.3">
      <c r="A88" s="5">
        <f t="shared" si="70"/>
        <v>31</v>
      </c>
      <c r="B88" s="5">
        <f t="shared" si="69"/>
        <v>29</v>
      </c>
      <c r="C88" s="1">
        <v>44896</v>
      </c>
      <c r="D88" s="4"/>
      <c r="E88" s="30"/>
      <c r="F88" s="30"/>
      <c r="G88" s="30">
        <f t="shared" si="211"/>
        <v>0</v>
      </c>
      <c r="H88" s="30"/>
      <c r="I88" s="10">
        <v>0</v>
      </c>
      <c r="J88" s="60">
        <v>9000</v>
      </c>
      <c r="K88" s="11">
        <v>550</v>
      </c>
      <c r="L88" s="60">
        <f t="shared" si="72"/>
        <v>9662.1342500955125</v>
      </c>
      <c r="M88" s="11">
        <v>305</v>
      </c>
      <c r="N88" s="60">
        <v>0</v>
      </c>
      <c r="O88" s="11">
        <v>0</v>
      </c>
      <c r="P88" s="11">
        <v>0</v>
      </c>
      <c r="Q88" s="60">
        <f>(Q87*($K$1/12))+Q87 + $Q$6</f>
        <v>41783.28281172413</v>
      </c>
      <c r="R88" s="60">
        <f>(R87*($K$1/12))+R87</f>
        <v>5966.1838175735411</v>
      </c>
      <c r="S88" s="60">
        <f>(S87*($K$1/12))+S87</f>
        <v>5179.844416334382</v>
      </c>
      <c r="T88" s="60">
        <f>(T87*($K$1/12))+T87+$T$6 + ((3%/12)*T$11)</f>
        <v>188882.80302843975</v>
      </c>
      <c r="U88" s="60">
        <f>(U87*$K$1/12) + U87 + ((U$11/12*7%))</f>
        <v>24990.249536107989</v>
      </c>
      <c r="V88" s="60">
        <v>3100</v>
      </c>
      <c r="W88" s="60">
        <f>(W87*($K$1/12))+W87+$W$6</f>
        <v>16967.432542882318</v>
      </c>
      <c r="X88" s="11">
        <v>0</v>
      </c>
      <c r="Y88" s="60">
        <f>(Y87*($K$1/12))+Y87+$Y$6</f>
        <v>21111.90406401104</v>
      </c>
      <c r="Z88" s="60">
        <f>'Mortgage and Loans'!U50</f>
        <v>37839.85</v>
      </c>
      <c r="AA88" s="12">
        <f t="shared" si="212"/>
        <v>365338.6844671687</v>
      </c>
      <c r="AB88" s="56">
        <f t="shared" si="181"/>
        <v>750</v>
      </c>
      <c r="AC88" s="56">
        <f t="shared" si="181"/>
        <v>750</v>
      </c>
      <c r="AD88" s="56">
        <f t="shared" si="181"/>
        <v>750</v>
      </c>
      <c r="AE88" s="56">
        <f t="shared" si="181"/>
        <v>750</v>
      </c>
      <c r="AF88" s="56">
        <f t="shared" si="74"/>
        <v>261.43933512033311</v>
      </c>
      <c r="AG88" s="56">
        <f t="shared" si="181"/>
        <v>750</v>
      </c>
      <c r="AH88" s="56">
        <f>'Mortgage and Loans'!AF45</f>
        <v>40371.557741334203</v>
      </c>
      <c r="AI88" s="56">
        <f>'Mortgage and Loans'!AQ45</f>
        <v>10950.629084742963</v>
      </c>
      <c r="AJ88" s="56">
        <f>'Mortgage and Loans'!BB45</f>
        <v>-2.9682512327440236E-3</v>
      </c>
      <c r="AK88" s="56">
        <f>'Mortgage and Loans'!BM45</f>
        <v>0</v>
      </c>
      <c r="AL88" s="56">
        <f>'Mortgage and Loans'!T50</f>
        <v>142160.15</v>
      </c>
      <c r="AM88" s="12">
        <f t="shared" si="12"/>
        <v>-197493.77319294628</v>
      </c>
      <c r="AN88" s="75">
        <f t="shared" si="85"/>
        <v>167844.91127422242</v>
      </c>
      <c r="AO88" s="86">
        <f>'Mortgage and Loans'!G51</f>
        <v>3062.83</v>
      </c>
      <c r="AP88" s="79">
        <f>('Salary Tax Breakdown'!B$16/12)-Data!AO88</f>
        <v>384.67000000000007</v>
      </c>
      <c r="AQ88" s="87"/>
      <c r="AR88" s="20">
        <f t="shared" si="182"/>
        <v>4011.439335120333</v>
      </c>
      <c r="AS88" s="20">
        <v>750</v>
      </c>
      <c r="AT88" s="20">
        <v>0</v>
      </c>
      <c r="AU88" s="20">
        <f t="shared" si="183"/>
        <v>4761.4393351203325</v>
      </c>
      <c r="AV88" s="20">
        <f t="shared" si="184"/>
        <v>4761.4316706111267</v>
      </c>
      <c r="AW88" s="51">
        <f t="shared" si="213"/>
        <v>0</v>
      </c>
      <c r="AX88" s="51">
        <f t="shared" si="14"/>
        <v>0</v>
      </c>
      <c r="AY88" s="51">
        <f t="shared" si="15"/>
        <v>0</v>
      </c>
      <c r="AZ88" s="51">
        <f t="shared" si="16"/>
        <v>0</v>
      </c>
      <c r="BA88" s="51">
        <f t="shared" si="17"/>
        <v>0</v>
      </c>
      <c r="BB88" s="51">
        <f t="shared" si="18"/>
        <v>0</v>
      </c>
      <c r="BC88" s="51">
        <f t="shared" si="19"/>
        <v>0</v>
      </c>
      <c r="BD88" s="51">
        <f t="shared" si="20"/>
        <v>0</v>
      </c>
      <c r="BE88" s="51">
        <f t="shared" si="21"/>
        <v>0</v>
      </c>
      <c r="BF88" s="51">
        <f t="shared" si="22"/>
        <v>0</v>
      </c>
      <c r="BG88" s="51">
        <f t="shared" si="23"/>
        <v>0</v>
      </c>
      <c r="BH88" s="51">
        <f t="shared" si="24"/>
        <v>0</v>
      </c>
      <c r="BI88" s="51">
        <f t="shared" si="185"/>
        <v>0</v>
      </c>
      <c r="BJ88" s="51">
        <f t="shared" si="186"/>
        <v>0</v>
      </c>
      <c r="BK88" s="51">
        <f t="shared" si="187"/>
        <v>0</v>
      </c>
      <c r="BL88" s="51">
        <f t="shared" si="188"/>
        <v>0</v>
      </c>
      <c r="BM88" s="51">
        <f t="shared" si="189"/>
        <v>0</v>
      </c>
      <c r="BN88" s="51">
        <f t="shared" si="190"/>
        <v>0</v>
      </c>
      <c r="BO88" s="51">
        <f t="shared" si="191"/>
        <v>0</v>
      </c>
      <c r="BP88" s="51">
        <f t="shared" si="192"/>
        <v>0</v>
      </c>
      <c r="BQ88" s="51">
        <f t="shared" si="193"/>
        <v>0</v>
      </c>
      <c r="BR88" s="51">
        <f t="shared" si="194"/>
        <v>0</v>
      </c>
      <c r="BS88" s="51">
        <f t="shared" si="195"/>
        <v>0</v>
      </c>
      <c r="BT88" s="51">
        <f t="shared" si="196"/>
        <v>0</v>
      </c>
      <c r="BU88" s="20">
        <f t="shared" si="197"/>
        <v>4761.4385666784219</v>
      </c>
      <c r="BV88" s="20">
        <f t="shared" si="198"/>
        <v>4761.4399738294342</v>
      </c>
      <c r="BW88" s="20">
        <f t="shared" si="199"/>
        <v>57137.272021443991</v>
      </c>
      <c r="BX88" s="20">
        <f t="shared" si="200"/>
        <v>57137.262800141063</v>
      </c>
      <c r="BY88" s="20">
        <f t="shared" si="201"/>
        <v>57137.27968595321</v>
      </c>
      <c r="BZ88" s="21">
        <f t="shared" si="202"/>
        <v>57137.271502512762</v>
      </c>
      <c r="CA88" s="19">
        <f t="shared" si="216"/>
        <v>1428431.787562819</v>
      </c>
      <c r="CB88" s="20">
        <f t="shared" si="203"/>
        <v>1428431.6028200022</v>
      </c>
      <c r="CC88" s="20">
        <f t="shared" si="204"/>
        <v>1428431.9638894831</v>
      </c>
      <c r="CD88" s="20">
        <f t="shared" si="217"/>
        <v>0</v>
      </c>
      <c r="CE88" s="20">
        <f t="shared" si="113"/>
        <v>1400000</v>
      </c>
      <c r="CF88" s="20">
        <f t="shared" si="214"/>
        <v>304881.70021707314</v>
      </c>
      <c r="CG88" s="20">
        <f t="shared" si="205"/>
        <v>12195.268008682926</v>
      </c>
      <c r="CH88" s="20">
        <f t="shared" si="215"/>
        <v>1016.2723340569105</v>
      </c>
      <c r="CI88" s="20">
        <f t="shared" si="206"/>
        <v>297843.60786969232</v>
      </c>
      <c r="CJ88" s="24">
        <f t="shared" si="207"/>
        <v>0.21343808104999726</v>
      </c>
      <c r="CK88" s="24">
        <f t="shared" si="208"/>
        <v>2.3673679269623969E-2</v>
      </c>
      <c r="CL88" s="24">
        <f t="shared" si="209"/>
        <v>7.4120185931357718E-2</v>
      </c>
      <c r="CM88" s="25">
        <f t="shared" si="210"/>
        <v>0.36880769839886146</v>
      </c>
      <c r="CN88" s="17"/>
      <c r="CO88" s="17"/>
      <c r="CP88" s="17"/>
      <c r="CQ88" s="17"/>
      <c r="CR88" s="17"/>
      <c r="CS88" s="17"/>
      <c r="CT88" s="17"/>
      <c r="CU88" s="17"/>
      <c r="CV88" s="17"/>
      <c r="CW88" s="30">
        <v>0</v>
      </c>
      <c r="CX88" s="17"/>
      <c r="CY88" s="17"/>
      <c r="CZ88" s="17"/>
      <c r="DA88" s="17"/>
      <c r="DB88" s="17"/>
    </row>
    <row r="89" spans="1:106" ht="15.75" thickBot="1" x14ac:dyDescent="0.3">
      <c r="A89" s="5">
        <f t="shared" si="70"/>
        <v>31</v>
      </c>
      <c r="B89" s="5">
        <f t="shared" si="69"/>
        <v>29</v>
      </c>
      <c r="C89" s="1">
        <v>44927</v>
      </c>
      <c r="D89" s="4"/>
      <c r="E89" s="30"/>
      <c r="F89" s="30"/>
      <c r="G89" s="30">
        <f t="shared" si="211"/>
        <v>0</v>
      </c>
      <c r="H89" s="30"/>
      <c r="I89" s="10">
        <v>0</v>
      </c>
      <c r="J89" s="60">
        <v>9000</v>
      </c>
      <c r="K89" s="11">
        <v>550</v>
      </c>
      <c r="L89" s="60">
        <f t="shared" si="72"/>
        <v>9673.809328981044</v>
      </c>
      <c r="M89" s="11">
        <v>305</v>
      </c>
      <c r="N89" s="60">
        <v>0</v>
      </c>
      <c r="O89" s="11">
        <v>0</v>
      </c>
      <c r="P89" s="11">
        <v>0</v>
      </c>
      <c r="Q89" s="60">
        <f>(Q88*($K$1/12))+Q88 + $Q$6</f>
        <v>42926.278926954299</v>
      </c>
      <c r="R89" s="60">
        <f>(R88*($K$1/12))+R88</f>
        <v>5998.5006465853976</v>
      </c>
      <c r="S89" s="60">
        <f>(S88*($K$1/12))+S88</f>
        <v>5207.9019069228598</v>
      </c>
      <c r="T89" s="60">
        <f>(T88*($K$1/12))+T88+$T$6 + ((3%/12)*T$11)</f>
        <v>193080.91821151046</v>
      </c>
      <c r="U89" s="60">
        <f>(U88*$K$1/12) + U88 + ((U$11/12*7%))</f>
        <v>25533.946721095239</v>
      </c>
      <c r="V89" s="60">
        <v>3100</v>
      </c>
      <c r="W89" s="60">
        <f>(W88*($K$1/12))+W88+$W$6</f>
        <v>17346.839469156264</v>
      </c>
      <c r="X89" s="11">
        <v>0</v>
      </c>
      <c r="Y89" s="60">
        <f>(Y88*($K$1/12))+Y88+$Y$6</f>
        <v>21876.260211024433</v>
      </c>
      <c r="Z89" s="60">
        <f>'Mortgage and Loans'!U51</f>
        <v>38077.99</v>
      </c>
      <c r="AA89" s="12">
        <f t="shared" si="212"/>
        <v>372677.44542223</v>
      </c>
      <c r="AB89" s="56">
        <f t="shared" si="181"/>
        <v>750</v>
      </c>
      <c r="AC89" s="56">
        <f t="shared" si="181"/>
        <v>750</v>
      </c>
      <c r="AD89" s="56">
        <f t="shared" si="181"/>
        <v>750</v>
      </c>
      <c r="AE89" s="56">
        <f t="shared" si="181"/>
        <v>750</v>
      </c>
      <c r="AF89" s="56">
        <f t="shared" si="74"/>
        <v>261.43997382943365</v>
      </c>
      <c r="AG89" s="56">
        <f t="shared" si="181"/>
        <v>750</v>
      </c>
      <c r="AH89" s="56">
        <f>'Mortgage and Loans'!AF46</f>
        <v>40005.417741334204</v>
      </c>
      <c r="AI89" s="56">
        <f>'Mortgage and Loans'!AQ46</f>
        <v>9419.3390847429619</v>
      </c>
      <c r="AJ89" s="56">
        <f>'Mortgage and Loans'!BB46</f>
        <v>0</v>
      </c>
      <c r="AK89" s="56">
        <f>'Mortgage and Loans'!BM46</f>
        <v>0</v>
      </c>
      <c r="AL89" s="56">
        <f>'Mortgage and Loans'!T51</f>
        <v>141922.00999999998</v>
      </c>
      <c r="AM89" s="12">
        <f t="shared" si="12"/>
        <v>-195358.20679990656</v>
      </c>
      <c r="AN89" s="75">
        <f t="shared" si="85"/>
        <v>177319.23862232344</v>
      </c>
      <c r="AO89" s="86">
        <f>'Mortgage and Loans'!G52</f>
        <v>2858.23</v>
      </c>
      <c r="AP89" s="79">
        <f>('Salary Tax Breakdown'!B$16/12)-Data!AO89</f>
        <v>589.27</v>
      </c>
      <c r="AQ89" s="87"/>
      <c r="AR89" s="20">
        <f t="shared" si="182"/>
        <v>4011.4399738294337</v>
      </c>
      <c r="AS89" s="20">
        <v>750</v>
      </c>
      <c r="AT89" s="20">
        <v>0</v>
      </c>
      <c r="AU89" s="20">
        <f t="shared" si="183"/>
        <v>4761.4399738294342</v>
      </c>
      <c r="AV89" s="20">
        <f t="shared" si="184"/>
        <v>4761.4350923822894</v>
      </c>
      <c r="AW89" s="51">
        <f t="shared" si="213"/>
        <v>0</v>
      </c>
      <c r="AX89" s="51">
        <f t="shared" si="14"/>
        <v>0</v>
      </c>
      <c r="AY89" s="51">
        <f t="shared" si="15"/>
        <v>0</v>
      </c>
      <c r="AZ89" s="51">
        <f t="shared" si="16"/>
        <v>0</v>
      </c>
      <c r="BA89" s="51">
        <f t="shared" si="17"/>
        <v>0</v>
      </c>
      <c r="BB89" s="51">
        <f t="shared" si="18"/>
        <v>0</v>
      </c>
      <c r="BC89" s="51">
        <f t="shared" si="19"/>
        <v>0</v>
      </c>
      <c r="BD89" s="51">
        <f t="shared" si="20"/>
        <v>0</v>
      </c>
      <c r="BE89" s="51">
        <f t="shared" si="21"/>
        <v>0</v>
      </c>
      <c r="BF89" s="51">
        <f t="shared" si="22"/>
        <v>0</v>
      </c>
      <c r="BG89" s="51">
        <f t="shared" si="23"/>
        <v>0</v>
      </c>
      <c r="BH89" s="51">
        <f t="shared" si="24"/>
        <v>0</v>
      </c>
      <c r="BI89" s="51">
        <f t="shared" si="185"/>
        <v>0</v>
      </c>
      <c r="BJ89" s="51">
        <f t="shared" si="186"/>
        <v>0</v>
      </c>
      <c r="BK89" s="51">
        <f t="shared" si="187"/>
        <v>0</v>
      </c>
      <c r="BL89" s="51">
        <f t="shared" si="188"/>
        <v>0</v>
      </c>
      <c r="BM89" s="51">
        <f t="shared" si="189"/>
        <v>0</v>
      </c>
      <c r="BN89" s="51">
        <f t="shared" si="190"/>
        <v>0</v>
      </c>
      <c r="BO89" s="51">
        <f t="shared" si="191"/>
        <v>0</v>
      </c>
      <c r="BP89" s="51">
        <f t="shared" si="192"/>
        <v>0</v>
      </c>
      <c r="BQ89" s="51">
        <f t="shared" si="193"/>
        <v>0</v>
      </c>
      <c r="BR89" s="51">
        <f t="shared" si="194"/>
        <v>0</v>
      </c>
      <c r="BS89" s="51">
        <f t="shared" si="195"/>
        <v>0</v>
      </c>
      <c r="BT89" s="51">
        <f t="shared" si="196"/>
        <v>0</v>
      </c>
      <c r="BU89" s="20">
        <f t="shared" si="197"/>
        <v>4761.4392844487038</v>
      </c>
      <c r="BV89" s="20">
        <f t="shared" si="198"/>
        <v>4761.4403806166956</v>
      </c>
      <c r="BW89" s="20">
        <f t="shared" si="199"/>
        <v>57137.27968595321</v>
      </c>
      <c r="BX89" s="20">
        <f t="shared" si="200"/>
        <v>57137.271413384442</v>
      </c>
      <c r="BY89" s="20">
        <f t="shared" si="201"/>
        <v>57137.284567400347</v>
      </c>
      <c r="BZ89" s="21">
        <f t="shared" si="202"/>
        <v>57137.278555579331</v>
      </c>
      <c r="CA89" s="19">
        <f t="shared" si="216"/>
        <v>1428431.9638894831</v>
      </c>
      <c r="CB89" s="20">
        <f t="shared" si="203"/>
        <v>1428431.780191323</v>
      </c>
      <c r="CC89" s="20">
        <f t="shared" si="204"/>
        <v>1428432.0722073179</v>
      </c>
      <c r="CD89" s="20">
        <f t="shared" si="217"/>
        <v>0</v>
      </c>
      <c r="CE89" s="20">
        <f t="shared" si="113"/>
        <v>1400000</v>
      </c>
      <c r="CF89" s="20">
        <f t="shared" si="214"/>
        <v>311970.64609324897</v>
      </c>
      <c r="CG89" s="20">
        <f t="shared" si="205"/>
        <v>12478.825843729959</v>
      </c>
      <c r="CH89" s="20">
        <f t="shared" si="215"/>
        <v>1039.9021536441633</v>
      </c>
      <c r="CI89" s="20">
        <f t="shared" si="206"/>
        <v>304894.43074565311</v>
      </c>
      <c r="CJ89" s="24">
        <f t="shared" si="207"/>
        <v>0.2184008017880027</v>
      </c>
      <c r="CK89" s="24">
        <f t="shared" si="208"/>
        <v>2.325146399776884E-2</v>
      </c>
      <c r="CL89" s="24">
        <f t="shared" si="209"/>
        <v>7.2734341478367617E-2</v>
      </c>
      <c r="CM89" s="25">
        <f t="shared" si="210"/>
        <v>0.36006500100629574</v>
      </c>
      <c r="CN89" s="17"/>
      <c r="CO89" s="17"/>
      <c r="CP89" s="17"/>
      <c r="CQ89" s="17"/>
      <c r="CR89" s="17"/>
      <c r="CS89" s="17"/>
      <c r="CT89" s="17"/>
      <c r="CU89" s="17"/>
      <c r="CV89" s="17"/>
      <c r="CW89" s="30">
        <v>0</v>
      </c>
      <c r="CX89" s="17"/>
      <c r="CY89" s="17"/>
      <c r="CZ89" s="17"/>
      <c r="DA89" s="17"/>
      <c r="DB89" s="17"/>
    </row>
    <row r="90" spans="1:106" ht="15.75" thickBot="1" x14ac:dyDescent="0.3">
      <c r="A90" s="5">
        <f t="shared" si="70"/>
        <v>31</v>
      </c>
      <c r="B90" s="5">
        <f t="shared" si="69"/>
        <v>29</v>
      </c>
      <c r="C90" s="1">
        <v>44958</v>
      </c>
      <c r="D90" s="4"/>
      <c r="E90" s="30"/>
      <c r="F90" s="30"/>
      <c r="G90" s="30">
        <f t="shared" si="211"/>
        <v>0</v>
      </c>
      <c r="H90" s="30"/>
      <c r="I90" s="10">
        <v>0</v>
      </c>
      <c r="J90" s="60">
        <v>9000</v>
      </c>
      <c r="K90" s="11">
        <v>550</v>
      </c>
      <c r="L90" s="60">
        <f t="shared" si="72"/>
        <v>9685.4985152535628</v>
      </c>
      <c r="M90" s="11">
        <v>305</v>
      </c>
      <c r="N90" s="60">
        <v>0</v>
      </c>
      <c r="O90" s="11">
        <v>0</v>
      </c>
      <c r="P90" s="11">
        <v>0</v>
      </c>
      <c r="Q90" s="60">
        <f>(Q89*($K$1/12))+Q89 + $Q$6</f>
        <v>44075.466271141966</v>
      </c>
      <c r="R90" s="60">
        <f>(R89*($K$1/12))+R89</f>
        <v>6030.992525087735</v>
      </c>
      <c r="S90" s="60">
        <f>(S89*($K$1/12))+S89</f>
        <v>5236.1113755853585</v>
      </c>
      <c r="T90" s="60">
        <f>(T89*($K$1/12))+T89+$T$6 + ((3%/12)*T$11)</f>
        <v>197301.77318515614</v>
      </c>
      <c r="U90" s="60">
        <f>(U89*$K$1/12) + U89 + ((U$11/12*7%))</f>
        <v>26080.58893250117</v>
      </c>
      <c r="V90" s="60">
        <v>3100</v>
      </c>
      <c r="W90" s="60">
        <f>(W89*($K$1/12))+W89+$W$6</f>
        <v>17728.301516280862</v>
      </c>
      <c r="X90" s="11">
        <v>0</v>
      </c>
      <c r="Y90" s="60">
        <f>(Y89*($K$1/12))+Y89+$Y$6</f>
        <v>22644.756620500815</v>
      </c>
      <c r="Z90" s="60">
        <f>'Mortgage and Loans'!U52</f>
        <v>38316.949999999997</v>
      </c>
      <c r="AA90" s="12">
        <f t="shared" si="212"/>
        <v>380055.4389415076</v>
      </c>
      <c r="AB90" s="56">
        <f t="shared" si="181"/>
        <v>750</v>
      </c>
      <c r="AC90" s="56">
        <f t="shared" si="181"/>
        <v>750</v>
      </c>
      <c r="AD90" s="56">
        <f t="shared" si="181"/>
        <v>750</v>
      </c>
      <c r="AE90" s="56">
        <f t="shared" si="181"/>
        <v>750</v>
      </c>
      <c r="AF90" s="56">
        <f t="shared" si="74"/>
        <v>261.44038061669568</v>
      </c>
      <c r="AG90" s="56">
        <f t="shared" si="181"/>
        <v>750</v>
      </c>
      <c r="AH90" s="56">
        <f>'Mortgage and Loans'!AF47</f>
        <v>39637.657741334202</v>
      </c>
      <c r="AI90" s="56">
        <f>'Mortgage and Loans'!AQ47</f>
        <v>7880.3990847429613</v>
      </c>
      <c r="AJ90" s="56">
        <f>'Mortgage and Loans'!BB47</f>
        <v>0</v>
      </c>
      <c r="AK90" s="56">
        <f>'Mortgage and Loans'!BM47</f>
        <v>0</v>
      </c>
      <c r="AL90" s="56">
        <f>'Mortgage and Loans'!T52</f>
        <v>141683.04999999999</v>
      </c>
      <c r="AM90" s="12">
        <f t="shared" si="12"/>
        <v>-193212.54720669385</v>
      </c>
      <c r="AN90" s="75">
        <f t="shared" si="85"/>
        <v>186842.89173481375</v>
      </c>
      <c r="AO90" s="86">
        <f>'Mortgage and Loans'!G53</f>
        <v>2858.23</v>
      </c>
      <c r="AP90" s="79">
        <f>('Salary Tax Breakdown'!B$16/12)-Data!AO90</f>
        <v>589.27</v>
      </c>
      <c r="AQ90" s="87"/>
      <c r="AR90" s="20">
        <f t="shared" si="182"/>
        <v>4011.4403806166956</v>
      </c>
      <c r="AS90" s="20">
        <v>750</v>
      </c>
      <c r="AT90" s="20">
        <v>0</v>
      </c>
      <c r="AU90" s="20">
        <f t="shared" si="183"/>
        <v>4761.4403806166956</v>
      </c>
      <c r="AV90" s="20">
        <f t="shared" si="184"/>
        <v>4761.4396088050526</v>
      </c>
      <c r="AW90" s="51">
        <f t="shared" si="213"/>
        <v>0</v>
      </c>
      <c r="AX90" s="51">
        <f t="shared" si="14"/>
        <v>0</v>
      </c>
      <c r="AY90" s="51">
        <f t="shared" si="15"/>
        <v>0</v>
      </c>
      <c r="AZ90" s="51">
        <f t="shared" si="16"/>
        <v>0</v>
      </c>
      <c r="BA90" s="51">
        <f t="shared" si="17"/>
        <v>0</v>
      </c>
      <c r="BB90" s="51">
        <f t="shared" si="18"/>
        <v>0</v>
      </c>
      <c r="BC90" s="51">
        <f t="shared" si="19"/>
        <v>0</v>
      </c>
      <c r="BD90" s="51">
        <f t="shared" si="20"/>
        <v>0</v>
      </c>
      <c r="BE90" s="51">
        <f t="shared" si="21"/>
        <v>0</v>
      </c>
      <c r="BF90" s="51">
        <f t="shared" si="22"/>
        <v>0</v>
      </c>
      <c r="BG90" s="51">
        <f t="shared" si="23"/>
        <v>0</v>
      </c>
      <c r="BH90" s="51">
        <f t="shared" si="24"/>
        <v>0</v>
      </c>
      <c r="BI90" s="51">
        <f t="shared" si="185"/>
        <v>0</v>
      </c>
      <c r="BJ90" s="51">
        <f t="shared" si="186"/>
        <v>0</v>
      </c>
      <c r="BK90" s="51">
        <f t="shared" si="187"/>
        <v>0</v>
      </c>
      <c r="BL90" s="51">
        <f t="shared" si="188"/>
        <v>0</v>
      </c>
      <c r="BM90" s="51">
        <f t="shared" si="189"/>
        <v>0</v>
      </c>
      <c r="BN90" s="51">
        <f t="shared" si="190"/>
        <v>0</v>
      </c>
      <c r="BO90" s="51">
        <f t="shared" si="191"/>
        <v>0</v>
      </c>
      <c r="BP90" s="51">
        <f t="shared" si="192"/>
        <v>0</v>
      </c>
      <c r="BQ90" s="51">
        <f t="shared" si="193"/>
        <v>0</v>
      </c>
      <c r="BR90" s="51">
        <f t="shared" si="194"/>
        <v>0</v>
      </c>
      <c r="BS90" s="51">
        <f t="shared" si="195"/>
        <v>0</v>
      </c>
      <c r="BT90" s="51">
        <f t="shared" si="196"/>
        <v>0</v>
      </c>
      <c r="BU90" s="20">
        <f t="shared" si="197"/>
        <v>4761.4398965221544</v>
      </c>
      <c r="BV90" s="20">
        <f t="shared" si="198"/>
        <v>4761.4404449343319</v>
      </c>
      <c r="BW90" s="20">
        <f t="shared" si="199"/>
        <v>57137.284567400347</v>
      </c>
      <c r="BX90" s="20">
        <f t="shared" si="200"/>
        <v>57137.278758265849</v>
      </c>
      <c r="BY90" s="20">
        <f t="shared" si="201"/>
        <v>57137.285339211987</v>
      </c>
      <c r="BZ90" s="21">
        <f t="shared" si="202"/>
        <v>57137.282888292721</v>
      </c>
      <c r="CA90" s="19">
        <f t="shared" si="216"/>
        <v>1428432.0722073179</v>
      </c>
      <c r="CB90" s="20">
        <f t="shared" si="203"/>
        <v>1428431.9412198735</v>
      </c>
      <c r="CC90" s="20">
        <f t="shared" si="204"/>
        <v>1428432.0880523401</v>
      </c>
      <c r="CD90" s="20">
        <f t="shared" si="217"/>
        <v>0</v>
      </c>
      <c r="CE90" s="20">
        <f t="shared" si="113"/>
        <v>1400000</v>
      </c>
      <c r="CF90" s="20">
        <f t="shared" si="214"/>
        <v>319097.99042625405</v>
      </c>
      <c r="CG90" s="20">
        <f t="shared" si="205"/>
        <v>12763.919617050162</v>
      </c>
      <c r="CH90" s="20">
        <f t="shared" si="215"/>
        <v>1063.6599680875136</v>
      </c>
      <c r="CI90" s="20">
        <f t="shared" si="206"/>
        <v>311983.44557885872</v>
      </c>
      <c r="CJ90" s="24">
        <f t="shared" si="207"/>
        <v>0.22339040539358565</v>
      </c>
      <c r="CK90" s="24">
        <f t="shared" si="208"/>
        <v>2.2846201789365448E-2</v>
      </c>
      <c r="CL90" s="24">
        <f t="shared" si="209"/>
        <v>7.140642968932924E-2</v>
      </c>
      <c r="CM90" s="25">
        <f t="shared" si="210"/>
        <v>0.35177108697809184</v>
      </c>
      <c r="CN90" s="17"/>
      <c r="CO90" s="17"/>
      <c r="CP90" s="17"/>
      <c r="CQ90" s="17"/>
      <c r="CR90" s="17"/>
      <c r="CS90" s="17"/>
      <c r="CT90" s="17"/>
      <c r="CU90" s="17"/>
      <c r="CV90" s="17"/>
      <c r="CW90" s="30">
        <v>0</v>
      </c>
      <c r="CX90" s="17"/>
      <c r="CY90" s="17"/>
      <c r="CZ90" s="17"/>
      <c r="DA90" s="17"/>
      <c r="DB90" s="17"/>
    </row>
    <row r="91" spans="1:106" ht="15.75" thickBot="1" x14ac:dyDescent="0.3">
      <c r="A91" s="5">
        <f t="shared" si="70"/>
        <v>31</v>
      </c>
      <c r="B91" s="5">
        <f t="shared" si="70"/>
        <v>29</v>
      </c>
      <c r="C91" s="1">
        <v>44986</v>
      </c>
      <c r="D91" s="4"/>
      <c r="E91" s="30"/>
      <c r="F91" s="30"/>
      <c r="G91" s="30">
        <f t="shared" si="211"/>
        <v>0</v>
      </c>
      <c r="H91" s="30"/>
      <c r="I91" s="10">
        <v>0</v>
      </c>
      <c r="J91" s="60">
        <v>9000</v>
      </c>
      <c r="K91" s="11">
        <v>550</v>
      </c>
      <c r="L91" s="60">
        <f t="shared" si="72"/>
        <v>9697.2018259594934</v>
      </c>
      <c r="M91" s="11">
        <v>305</v>
      </c>
      <c r="N91" s="60">
        <v>0</v>
      </c>
      <c r="O91" s="11">
        <v>0</v>
      </c>
      <c r="P91" s="11">
        <v>0</v>
      </c>
      <c r="Q91" s="60">
        <f>(Q90*($K$1/12))+Q90 + $Q$6</f>
        <v>45230.878380110647</v>
      </c>
      <c r="R91" s="60">
        <f>(R90*($K$1/12))+R90</f>
        <v>6063.6604012652933</v>
      </c>
      <c r="S91" s="60">
        <f>(S90*($K$1/12))+S90</f>
        <v>5264.4736455364455</v>
      </c>
      <c r="T91" s="60">
        <f>(T90*($K$1/12))+T90+$T$6 + ((3%/12)*T$11)</f>
        <v>201545.49112324239</v>
      </c>
      <c r="U91" s="60">
        <f>(U90*$K$1/12) + U90 + ((U$11/12*7%))</f>
        <v>26630.192122552216</v>
      </c>
      <c r="V91" s="60">
        <v>3100</v>
      </c>
      <c r="W91" s="60">
        <f>(W90*($K$1/12))+W90+$W$6</f>
        <v>18111.829816160716</v>
      </c>
      <c r="X91" s="11">
        <v>0</v>
      </c>
      <c r="Y91" s="60">
        <f>(Y90*($K$1/12))+Y90+$Y$6</f>
        <v>23417.415718861863</v>
      </c>
      <c r="Z91" s="60">
        <f>'Mortgage and Loans'!U53</f>
        <v>38556.729999999996</v>
      </c>
      <c r="AA91" s="12">
        <f t="shared" si="212"/>
        <v>387472.87303368904</v>
      </c>
      <c r="AB91" s="56">
        <f t="shared" si="181"/>
        <v>750</v>
      </c>
      <c r="AC91" s="56">
        <f t="shared" si="181"/>
        <v>750</v>
      </c>
      <c r="AD91" s="56">
        <f t="shared" si="181"/>
        <v>750</v>
      </c>
      <c r="AE91" s="56">
        <f t="shared" si="181"/>
        <v>750</v>
      </c>
      <c r="AF91" s="56">
        <f t="shared" si="74"/>
        <v>261.44044493433256</v>
      </c>
      <c r="AG91" s="56">
        <f t="shared" si="181"/>
        <v>750</v>
      </c>
      <c r="AH91" s="56">
        <f>'Mortgage and Loans'!AF48</f>
        <v>39268.277741334205</v>
      </c>
      <c r="AI91" s="56">
        <f>'Mortgage and Loans'!AQ48</f>
        <v>6333.759084742961</v>
      </c>
      <c r="AJ91" s="56">
        <f>'Mortgage and Loans'!BB48</f>
        <v>0</v>
      </c>
      <c r="AK91" s="56">
        <f>'Mortgage and Loans'!BM48</f>
        <v>0</v>
      </c>
      <c r="AL91" s="56">
        <f>'Mortgage and Loans'!T53</f>
        <v>141443.26999999999</v>
      </c>
      <c r="AM91" s="12">
        <f t="shared" si="12"/>
        <v>-191056.7472710115</v>
      </c>
      <c r="AN91" s="75">
        <f t="shared" si="85"/>
        <v>196416.12576267755</v>
      </c>
      <c r="AO91" s="86">
        <f>'Mortgage and Loans'!G54</f>
        <v>2858.23</v>
      </c>
      <c r="AP91" s="79">
        <f>('Salary Tax Breakdown'!B$16/12)-Data!AO91</f>
        <v>589.27</v>
      </c>
      <c r="AQ91" s="87"/>
      <c r="AR91" s="20">
        <f t="shared" si="182"/>
        <v>4011.4404449343324</v>
      </c>
      <c r="AS91" s="20">
        <v>750</v>
      </c>
      <c r="AT91" s="20">
        <v>0</v>
      </c>
      <c r="AU91" s="20">
        <f t="shared" si="183"/>
        <v>4761.4404449343328</v>
      </c>
      <c r="AV91" s="20">
        <f t="shared" si="184"/>
        <v>4761.4437545993278</v>
      </c>
      <c r="AW91" s="51">
        <f t="shared" si="213"/>
        <v>0</v>
      </c>
      <c r="AX91" s="51">
        <f t="shared" si="14"/>
        <v>0</v>
      </c>
      <c r="AY91" s="51">
        <f t="shared" si="15"/>
        <v>0</v>
      </c>
      <c r="AZ91" s="51">
        <f t="shared" si="16"/>
        <v>0</v>
      </c>
      <c r="BA91" s="51">
        <f t="shared" si="17"/>
        <v>0</v>
      </c>
      <c r="BB91" s="51">
        <f t="shared" si="18"/>
        <v>0</v>
      </c>
      <c r="BC91" s="51">
        <f t="shared" si="19"/>
        <v>0</v>
      </c>
      <c r="BD91" s="51">
        <f t="shared" si="20"/>
        <v>0</v>
      </c>
      <c r="BE91" s="51">
        <f t="shared" si="21"/>
        <v>0</v>
      </c>
      <c r="BF91" s="51">
        <f t="shared" si="22"/>
        <v>0</v>
      </c>
      <c r="BG91" s="51">
        <f t="shared" si="23"/>
        <v>0</v>
      </c>
      <c r="BH91" s="51">
        <f t="shared" si="24"/>
        <v>0</v>
      </c>
      <c r="BI91" s="51">
        <f t="shared" si="185"/>
        <v>0</v>
      </c>
      <c r="BJ91" s="51">
        <f t="shared" si="186"/>
        <v>0</v>
      </c>
      <c r="BK91" s="51">
        <f t="shared" si="187"/>
        <v>0</v>
      </c>
      <c r="BL91" s="51">
        <f t="shared" si="188"/>
        <v>0</v>
      </c>
      <c r="BM91" s="51">
        <f t="shared" si="189"/>
        <v>0</v>
      </c>
      <c r="BN91" s="51">
        <f t="shared" si="190"/>
        <v>0</v>
      </c>
      <c r="BO91" s="51">
        <f t="shared" si="191"/>
        <v>0</v>
      </c>
      <c r="BP91" s="51">
        <f t="shared" si="192"/>
        <v>0</v>
      </c>
      <c r="BQ91" s="51">
        <f t="shared" si="193"/>
        <v>0</v>
      </c>
      <c r="BR91" s="51">
        <f t="shared" si="194"/>
        <v>0</v>
      </c>
      <c r="BS91" s="51">
        <f t="shared" si="195"/>
        <v>0</v>
      </c>
      <c r="BT91" s="51">
        <f t="shared" si="196"/>
        <v>0</v>
      </c>
      <c r="BU91" s="20">
        <f t="shared" si="197"/>
        <v>4761.4402664601539</v>
      </c>
      <c r="BV91" s="20">
        <f t="shared" si="198"/>
        <v>4761.4401691289158</v>
      </c>
      <c r="BW91" s="20">
        <f t="shared" si="199"/>
        <v>57137.285339211994</v>
      </c>
      <c r="BX91" s="20">
        <f t="shared" si="200"/>
        <v>57137.283197521843</v>
      </c>
      <c r="BY91" s="20">
        <f t="shared" si="201"/>
        <v>57137.282029546986</v>
      </c>
      <c r="BZ91" s="21">
        <f t="shared" si="202"/>
        <v>57137.28352209361</v>
      </c>
      <c r="CA91" s="19">
        <f t="shared" si="216"/>
        <v>1428432.0880523403</v>
      </c>
      <c r="CB91" s="20">
        <f t="shared" si="203"/>
        <v>1428432.0413830474</v>
      </c>
      <c r="CC91" s="20">
        <f t="shared" si="204"/>
        <v>1428432.0307585932</v>
      </c>
      <c r="CD91" s="20">
        <f t="shared" si="217"/>
        <v>0</v>
      </c>
      <c r="CE91" s="20">
        <f t="shared" si="113"/>
        <v>1400000</v>
      </c>
      <c r="CF91" s="20">
        <f t="shared" si="214"/>
        <v>326263.94120772957</v>
      </c>
      <c r="CG91" s="20">
        <f t="shared" si="205"/>
        <v>13050.557648309183</v>
      </c>
      <c r="CH91" s="20">
        <f t="shared" si="215"/>
        <v>1087.546470692432</v>
      </c>
      <c r="CI91" s="20">
        <f t="shared" si="206"/>
        <v>319110.85924241086</v>
      </c>
      <c r="CJ91" s="24">
        <f t="shared" si="207"/>
        <v>0.22840704475645324</v>
      </c>
      <c r="CK91" s="24">
        <f t="shared" si="208"/>
        <v>2.2456897243079393E-2</v>
      </c>
      <c r="CL91" s="24">
        <f t="shared" si="209"/>
        <v>7.0132910487682457E-2</v>
      </c>
      <c r="CM91" s="25">
        <f t="shared" si="210"/>
        <v>0.34389237744519557</v>
      </c>
      <c r="CN91" s="17"/>
      <c r="CO91" s="17"/>
      <c r="CP91" s="17"/>
      <c r="CQ91" s="17"/>
      <c r="CR91" s="17"/>
      <c r="CS91" s="17"/>
      <c r="CT91" s="17"/>
      <c r="CU91" s="17"/>
      <c r="CV91" s="17"/>
      <c r="CW91" s="30">
        <v>0</v>
      </c>
      <c r="CX91" s="17"/>
      <c r="CY91" s="17"/>
      <c r="CZ91" s="17"/>
      <c r="DA91" s="17"/>
      <c r="DB91" s="17"/>
    </row>
    <row r="92" spans="1:106" ht="15.75" thickBot="1" x14ac:dyDescent="0.3">
      <c r="A92" s="5">
        <f t="shared" si="70"/>
        <v>31</v>
      </c>
      <c r="B92" s="5">
        <f t="shared" si="70"/>
        <v>29</v>
      </c>
      <c r="C92" s="1">
        <v>45017</v>
      </c>
      <c r="D92" s="4"/>
      <c r="E92" s="30"/>
      <c r="F92" s="30"/>
      <c r="G92" s="30">
        <f t="shared" si="211"/>
        <v>0</v>
      </c>
      <c r="H92" s="30"/>
      <c r="I92" s="10">
        <v>0</v>
      </c>
      <c r="J92" s="60">
        <v>9000</v>
      </c>
      <c r="K92" s="11">
        <v>550</v>
      </c>
      <c r="L92" s="60">
        <f t="shared" si="72"/>
        <v>9708.9192781658603</v>
      </c>
      <c r="M92" s="11">
        <v>305</v>
      </c>
      <c r="N92" s="60">
        <v>0</v>
      </c>
      <c r="O92" s="11">
        <v>0</v>
      </c>
      <c r="P92" s="11">
        <v>0</v>
      </c>
      <c r="Q92" s="60">
        <f>(Q91*($K$1/12))+Q91 + $Q$6</f>
        <v>46392.548971336248</v>
      </c>
      <c r="R92" s="60">
        <f>(R91*($K$1/12))+R91</f>
        <v>6096.5052284388139</v>
      </c>
      <c r="S92" s="60">
        <f>(S91*($K$1/12))+S91</f>
        <v>5292.9895444497679</v>
      </c>
      <c r="T92" s="60">
        <f>(T91*($K$1/12))+T91+$T$6 + ((3%/12)*T$11)</f>
        <v>205812.19586682663</v>
      </c>
      <c r="U92" s="60">
        <f>(U91*$K$1/12) + U91 + ((U$11/12*7%))</f>
        <v>27182.772329882708</v>
      </c>
      <c r="V92" s="60">
        <v>3100</v>
      </c>
      <c r="W92" s="60">
        <f>(W91*($K$1/12))+W91+$W$6</f>
        <v>18497.435560998252</v>
      </c>
      <c r="X92" s="11">
        <v>0</v>
      </c>
      <c r="Y92" s="60">
        <f>(Y91*($K$1/12))+Y91+$Y$6</f>
        <v>24194.260054005699</v>
      </c>
      <c r="Z92" s="60">
        <f>'Mortgage and Loans'!U54</f>
        <v>38797.339999999997</v>
      </c>
      <c r="AA92" s="12">
        <f t="shared" si="212"/>
        <v>394929.96683410404</v>
      </c>
      <c r="AB92" s="56">
        <f t="shared" si="181"/>
        <v>750</v>
      </c>
      <c r="AC92" s="56">
        <f t="shared" si="181"/>
        <v>750</v>
      </c>
      <c r="AD92" s="56">
        <f t="shared" si="181"/>
        <v>750</v>
      </c>
      <c r="AE92" s="56">
        <f t="shared" si="181"/>
        <v>750</v>
      </c>
      <c r="AF92" s="56">
        <f t="shared" si="74"/>
        <v>261.44016912891635</v>
      </c>
      <c r="AG92" s="56">
        <f t="shared" si="181"/>
        <v>750</v>
      </c>
      <c r="AH92" s="56">
        <f>'Mortgage and Loans'!AF49</f>
        <v>38897.257741334208</v>
      </c>
      <c r="AI92" s="56">
        <f>'Mortgage and Loans'!AQ49</f>
        <v>4779.3890847429611</v>
      </c>
      <c r="AJ92" s="56">
        <f>'Mortgage and Loans'!BB49</f>
        <v>0</v>
      </c>
      <c r="AK92" s="56">
        <f>'Mortgage and Loans'!BM49</f>
        <v>0</v>
      </c>
      <c r="AL92" s="56">
        <f>'Mortgage and Loans'!T54</f>
        <v>141202.66</v>
      </c>
      <c r="AM92" s="12">
        <f t="shared" si="12"/>
        <v>-188890.74699520611</v>
      </c>
      <c r="AN92" s="75">
        <f t="shared" si="85"/>
        <v>206039.21983889793</v>
      </c>
      <c r="AO92" s="86">
        <f>'Mortgage and Loans'!G55</f>
        <v>2858.23</v>
      </c>
      <c r="AP92" s="79">
        <f>('Salary Tax Breakdown'!B$16/12)-Data!AO92</f>
        <v>589.27</v>
      </c>
      <c r="AQ92" s="87"/>
      <c r="AR92" s="20">
        <f t="shared" si="182"/>
        <v>4011.4401691289163</v>
      </c>
      <c r="AS92" s="20">
        <v>750</v>
      </c>
      <c r="AT92" s="20">
        <v>0</v>
      </c>
      <c r="AU92" s="20">
        <f t="shared" si="183"/>
        <v>4761.4401691289168</v>
      </c>
      <c r="AV92" s="20">
        <f t="shared" si="184"/>
        <v>4761.4445159114966</v>
      </c>
      <c r="AW92" s="51">
        <f t="shared" si="213"/>
        <v>0</v>
      </c>
      <c r="AX92" s="51">
        <f t="shared" si="14"/>
        <v>0</v>
      </c>
      <c r="AY92" s="51">
        <f t="shared" si="15"/>
        <v>0</v>
      </c>
      <c r="AZ92" s="51">
        <f t="shared" si="16"/>
        <v>0</v>
      </c>
      <c r="BA92" s="51">
        <f t="shared" si="17"/>
        <v>0</v>
      </c>
      <c r="BB92" s="51">
        <f t="shared" si="18"/>
        <v>0</v>
      </c>
      <c r="BC92" s="51">
        <f t="shared" si="19"/>
        <v>0</v>
      </c>
      <c r="BD92" s="51">
        <f t="shared" si="20"/>
        <v>0</v>
      </c>
      <c r="BE92" s="51">
        <f t="shared" si="21"/>
        <v>0</v>
      </c>
      <c r="BF92" s="51">
        <f t="shared" si="22"/>
        <v>0</v>
      </c>
      <c r="BG92" s="51">
        <f t="shared" si="23"/>
        <v>0</v>
      </c>
      <c r="BH92" s="51">
        <f t="shared" si="24"/>
        <v>0</v>
      </c>
      <c r="BI92" s="51">
        <f t="shared" si="185"/>
        <v>0</v>
      </c>
      <c r="BJ92" s="51">
        <f t="shared" si="186"/>
        <v>0</v>
      </c>
      <c r="BK92" s="51">
        <f t="shared" si="187"/>
        <v>0</v>
      </c>
      <c r="BL92" s="51">
        <f t="shared" si="188"/>
        <v>0</v>
      </c>
      <c r="BM92" s="51">
        <f t="shared" si="189"/>
        <v>0</v>
      </c>
      <c r="BN92" s="51">
        <f t="shared" si="190"/>
        <v>0</v>
      </c>
      <c r="BO92" s="51">
        <f t="shared" si="191"/>
        <v>0</v>
      </c>
      <c r="BP92" s="51">
        <f t="shared" si="192"/>
        <v>0</v>
      </c>
      <c r="BQ92" s="51">
        <f t="shared" si="193"/>
        <v>0</v>
      </c>
      <c r="BR92" s="51">
        <f t="shared" si="194"/>
        <v>0</v>
      </c>
      <c r="BS92" s="51">
        <f t="shared" si="195"/>
        <v>0</v>
      </c>
      <c r="BT92" s="51">
        <f t="shared" si="196"/>
        <v>0</v>
      </c>
      <c r="BU92" s="20">
        <f t="shared" si="197"/>
        <v>4761.440331559982</v>
      </c>
      <c r="BV92" s="20">
        <f t="shared" si="198"/>
        <v>4761.4398068970359</v>
      </c>
      <c r="BW92" s="20">
        <f t="shared" si="199"/>
        <v>57137.282029547001</v>
      </c>
      <c r="BX92" s="20">
        <f t="shared" si="200"/>
        <v>57137.283978719788</v>
      </c>
      <c r="BY92" s="20">
        <f t="shared" si="201"/>
        <v>57137.277682764427</v>
      </c>
      <c r="BZ92" s="21">
        <f t="shared" si="202"/>
        <v>57137.281230343739</v>
      </c>
      <c r="CA92" s="19">
        <f t="shared" si="216"/>
        <v>1428432.0307585935</v>
      </c>
      <c r="CB92" s="20">
        <f t="shared" si="203"/>
        <v>1428432.0636727505</v>
      </c>
      <c r="CC92" s="20">
        <f t="shared" si="204"/>
        <v>1428431.9447132079</v>
      </c>
      <c r="CD92" s="20">
        <f t="shared" si="217"/>
        <v>0</v>
      </c>
      <c r="CE92" s="20">
        <f t="shared" si="113"/>
        <v>1400000</v>
      </c>
      <c r="CF92" s="20">
        <f t="shared" si="214"/>
        <v>333468.70755593816</v>
      </c>
      <c r="CG92" s="20">
        <f t="shared" si="205"/>
        <v>13338.748302237527</v>
      </c>
      <c r="CH92" s="20">
        <f t="shared" si="215"/>
        <v>1111.5623585197939</v>
      </c>
      <c r="CI92" s="20">
        <f t="shared" si="206"/>
        <v>326276.87972997391</v>
      </c>
      <c r="CJ92" s="24">
        <f t="shared" si="207"/>
        <v>0.23345086968891707</v>
      </c>
      <c r="CK92" s="24">
        <f t="shared" si="208"/>
        <v>2.2082631385922528E-2</v>
      </c>
      <c r="CL92" s="24">
        <f t="shared" si="209"/>
        <v>6.8910526461080424E-2</v>
      </c>
      <c r="CM92" s="25">
        <f t="shared" si="210"/>
        <v>0.33639856189954587</v>
      </c>
      <c r="CN92" s="17"/>
      <c r="CO92" s="17"/>
      <c r="CP92" s="17"/>
      <c r="CQ92" s="17"/>
      <c r="CR92" s="17"/>
      <c r="CS92" s="17"/>
      <c r="CT92" s="17"/>
      <c r="CU92" s="17"/>
      <c r="CV92" s="17"/>
      <c r="CW92" s="30">
        <v>0</v>
      </c>
      <c r="CX92" s="17"/>
      <c r="CY92" s="17"/>
      <c r="CZ92" s="17"/>
      <c r="DA92" s="17"/>
      <c r="DB92" s="17"/>
    </row>
    <row r="93" spans="1:106" ht="15.75" thickBot="1" x14ac:dyDescent="0.3">
      <c r="A93" s="5">
        <f t="shared" ref="A93:B156" si="218">A81+1</f>
        <v>31</v>
      </c>
      <c r="B93" s="5">
        <f t="shared" si="218"/>
        <v>29</v>
      </c>
      <c r="C93" s="1">
        <v>45047</v>
      </c>
      <c r="D93" s="4"/>
      <c r="E93" s="30"/>
      <c r="F93" s="30"/>
      <c r="G93" s="30">
        <f t="shared" si="211"/>
        <v>0</v>
      </c>
      <c r="H93" s="30"/>
      <c r="I93" s="10">
        <v>0</v>
      </c>
      <c r="J93" s="60">
        <v>9000</v>
      </c>
      <c r="K93" s="11">
        <v>550</v>
      </c>
      <c r="L93" s="60">
        <f t="shared" si="72"/>
        <v>9720.6508889603101</v>
      </c>
      <c r="M93" s="11">
        <v>305</v>
      </c>
      <c r="N93" s="60">
        <v>0</v>
      </c>
      <c r="O93" s="11">
        <v>0</v>
      </c>
      <c r="P93" s="11">
        <v>0</v>
      </c>
      <c r="Q93" s="60">
        <f>(Q92*($K$1/12))+Q92 + $Q$6</f>
        <v>47560.511944930986</v>
      </c>
      <c r="R93" s="60">
        <f>(R92*($K$1/12))+R92</f>
        <v>6129.5279650928578</v>
      </c>
      <c r="S93" s="60">
        <f>(S92*($K$1/12))+S92</f>
        <v>5321.6599044822042</v>
      </c>
      <c r="T93" s="60">
        <f>(T92*($K$1/12))+T92+$T$6 + ((3%/12)*T$11)</f>
        <v>210102.01192777194</v>
      </c>
      <c r="U93" s="60">
        <f>(U92*$K$1/12) + U92 + ((U$11/12*7%))</f>
        <v>27738.345680002905</v>
      </c>
      <c r="V93" s="60">
        <v>3100</v>
      </c>
      <c r="W93" s="60">
        <f>(W92*($K$1/12))+W92+$W$6</f>
        <v>18885.130003620325</v>
      </c>
      <c r="X93" s="11">
        <v>0</v>
      </c>
      <c r="Y93" s="60">
        <f>(Y92*($K$1/12))+Y92+$Y$6</f>
        <v>24975.312295964897</v>
      </c>
      <c r="Z93" s="60">
        <f>'Mortgage and Loans'!U55</f>
        <v>39038.78</v>
      </c>
      <c r="AA93" s="12">
        <f t="shared" si="212"/>
        <v>402426.93061082647</v>
      </c>
      <c r="AB93" s="56">
        <f t="shared" si="181"/>
        <v>750</v>
      </c>
      <c r="AC93" s="56">
        <f t="shared" si="181"/>
        <v>750</v>
      </c>
      <c r="AD93" s="56">
        <f t="shared" si="181"/>
        <v>750</v>
      </c>
      <c r="AE93" s="56">
        <f t="shared" si="181"/>
        <v>750</v>
      </c>
      <c r="AF93" s="56">
        <f t="shared" si="74"/>
        <v>261.43980689703466</v>
      </c>
      <c r="AG93" s="56">
        <f t="shared" si="181"/>
        <v>750</v>
      </c>
      <c r="AH93" s="56">
        <f>'Mortgage and Loans'!AF50</f>
        <v>38524.597741334204</v>
      </c>
      <c r="AI93" s="56">
        <f>'Mortgage and Loans'!AQ50</f>
        <v>3217.2490847429608</v>
      </c>
      <c r="AJ93" s="56">
        <f>'Mortgage and Loans'!BB50</f>
        <v>0</v>
      </c>
      <c r="AK93" s="56">
        <f>'Mortgage and Loans'!BM50</f>
        <v>0</v>
      </c>
      <c r="AL93" s="56">
        <f>'Mortgage and Loans'!T55</f>
        <v>140961.22</v>
      </c>
      <c r="AM93" s="12">
        <f t="shared" si="12"/>
        <v>-186714.5066329742</v>
      </c>
      <c r="AN93" s="75">
        <f t="shared" si="85"/>
        <v>215712.42397785228</v>
      </c>
      <c r="AO93" s="86">
        <f>'Mortgage and Loans'!G56</f>
        <v>2858.23</v>
      </c>
      <c r="AP93" s="79">
        <f>('Salary Tax Breakdown'!B$16/12)-Data!AO93</f>
        <v>589.27</v>
      </c>
      <c r="AQ93" s="87"/>
      <c r="AR93" s="20">
        <f t="shared" si="182"/>
        <v>4011.4398068970345</v>
      </c>
      <c r="AS93" s="20">
        <v>750</v>
      </c>
      <c r="AT93" s="20">
        <v>0</v>
      </c>
      <c r="AU93" s="20">
        <f t="shared" si="183"/>
        <v>4761.4398068970349</v>
      </c>
      <c r="AV93" s="20">
        <f t="shared" si="184"/>
        <v>4761.4434906820579</v>
      </c>
      <c r="AW93" s="51">
        <f t="shared" si="213"/>
        <v>0</v>
      </c>
      <c r="AX93" s="51">
        <f t="shared" si="14"/>
        <v>0</v>
      </c>
      <c r="AY93" s="51">
        <f t="shared" si="15"/>
        <v>0</v>
      </c>
      <c r="AZ93" s="51">
        <f t="shared" si="16"/>
        <v>0</v>
      </c>
      <c r="BA93" s="51">
        <f t="shared" si="17"/>
        <v>0</v>
      </c>
      <c r="BB93" s="51">
        <f t="shared" si="18"/>
        <v>0</v>
      </c>
      <c r="BC93" s="51">
        <f t="shared" si="19"/>
        <v>0</v>
      </c>
      <c r="BD93" s="51">
        <f t="shared" si="20"/>
        <v>0</v>
      </c>
      <c r="BE93" s="51">
        <f t="shared" si="21"/>
        <v>0</v>
      </c>
      <c r="BF93" s="51">
        <f t="shared" si="22"/>
        <v>0</v>
      </c>
      <c r="BG93" s="51">
        <f t="shared" si="23"/>
        <v>0</v>
      </c>
      <c r="BH93" s="51">
        <f t="shared" si="24"/>
        <v>0</v>
      </c>
      <c r="BI93" s="51">
        <f t="shared" si="185"/>
        <v>0</v>
      </c>
      <c r="BJ93" s="51">
        <f t="shared" si="186"/>
        <v>0</v>
      </c>
      <c r="BK93" s="51">
        <f t="shared" si="187"/>
        <v>0</v>
      </c>
      <c r="BL93" s="51">
        <f t="shared" si="188"/>
        <v>0</v>
      </c>
      <c r="BM93" s="51">
        <f t="shared" si="189"/>
        <v>0</v>
      </c>
      <c r="BN93" s="51">
        <f t="shared" si="190"/>
        <v>0</v>
      </c>
      <c r="BO93" s="51">
        <f t="shared" si="191"/>
        <v>0</v>
      </c>
      <c r="BP93" s="51">
        <f t="shared" si="192"/>
        <v>0</v>
      </c>
      <c r="BQ93" s="51">
        <f t="shared" si="193"/>
        <v>0</v>
      </c>
      <c r="BR93" s="51">
        <f t="shared" si="194"/>
        <v>0</v>
      </c>
      <c r="BS93" s="51">
        <f t="shared" si="195"/>
        <v>0</v>
      </c>
      <c r="BT93" s="51">
        <f t="shared" si="196"/>
        <v>0</v>
      </c>
      <c r="BU93" s="20">
        <f t="shared" si="197"/>
        <v>4761.4401403200945</v>
      </c>
      <c r="BV93" s="20">
        <f t="shared" si="198"/>
        <v>4761.439499914949</v>
      </c>
      <c r="BW93" s="20">
        <f t="shared" si="199"/>
        <v>57137.277682764419</v>
      </c>
      <c r="BX93" s="20">
        <f t="shared" si="200"/>
        <v>57137.281683841138</v>
      </c>
      <c r="BY93" s="20">
        <f t="shared" si="201"/>
        <v>57137.273998979392</v>
      </c>
      <c r="BZ93" s="21">
        <f t="shared" si="202"/>
        <v>57137.277788528321</v>
      </c>
      <c r="CA93" s="19">
        <f t="shared" si="216"/>
        <v>1428431.9447132079</v>
      </c>
      <c r="CB93" s="20">
        <f t="shared" si="203"/>
        <v>1428432.021174714</v>
      </c>
      <c r="CC93" s="20">
        <f t="shared" si="204"/>
        <v>1428431.8643570812</v>
      </c>
      <c r="CD93" s="20">
        <f t="shared" si="217"/>
        <v>0</v>
      </c>
      <c r="CE93" s="20">
        <f t="shared" si="113"/>
        <v>1400000</v>
      </c>
      <c r="CF93" s="20">
        <f t="shared" si="214"/>
        <v>340712.4997218661</v>
      </c>
      <c r="CG93" s="20">
        <f t="shared" si="205"/>
        <v>13628.499988874644</v>
      </c>
      <c r="CH93" s="20">
        <f t="shared" si="215"/>
        <v>1135.7083324062203</v>
      </c>
      <c r="CI93" s="20">
        <f t="shared" si="206"/>
        <v>333481.71616184461</v>
      </c>
      <c r="CJ93" s="24">
        <f t="shared" si="207"/>
        <v>0.23852202601960082</v>
      </c>
      <c r="CK93" s="24">
        <f t="shared" si="208"/>
        <v>2.1722554476008273E-2</v>
      </c>
      <c r="CL93" s="24">
        <f t="shared" si="209"/>
        <v>6.7736275201041501E-2</v>
      </c>
      <c r="CM93" s="25">
        <f t="shared" si="210"/>
        <v>0.32926220998676403</v>
      </c>
      <c r="CN93" s="17"/>
      <c r="CO93" s="17"/>
      <c r="CP93" s="17"/>
      <c r="CQ93" s="17"/>
      <c r="CR93" s="17"/>
      <c r="CS93" s="17"/>
      <c r="CT93" s="17"/>
      <c r="CU93" s="17"/>
      <c r="CV93" s="17"/>
      <c r="CW93" s="30">
        <v>0</v>
      </c>
      <c r="CX93" s="17"/>
      <c r="CY93" s="17"/>
      <c r="CZ93" s="17"/>
      <c r="DA93" s="17"/>
      <c r="DB93" s="17"/>
    </row>
    <row r="94" spans="1:106" ht="15.75" thickBot="1" x14ac:dyDescent="0.3">
      <c r="A94" s="5">
        <f t="shared" si="218"/>
        <v>31</v>
      </c>
      <c r="B94" s="5">
        <f t="shared" si="218"/>
        <v>29</v>
      </c>
      <c r="C94" s="1">
        <v>45078</v>
      </c>
      <c r="D94" s="4"/>
      <c r="E94" s="30"/>
      <c r="F94" s="30"/>
      <c r="G94" s="30">
        <f t="shared" si="211"/>
        <v>0</v>
      </c>
      <c r="H94" s="30"/>
      <c r="I94" s="10">
        <v>0</v>
      </c>
      <c r="J94" s="60">
        <v>9000</v>
      </c>
      <c r="K94" s="11">
        <v>550</v>
      </c>
      <c r="L94" s="60">
        <f t="shared" si="72"/>
        <v>9732.3966754511366</v>
      </c>
      <c r="M94" s="11">
        <v>305</v>
      </c>
      <c r="N94" s="60">
        <v>0</v>
      </c>
      <c r="O94" s="11">
        <v>0</v>
      </c>
      <c r="P94" s="11">
        <v>0</v>
      </c>
      <c r="Q94" s="60">
        <f>(Q93*($K$1/12))+Q93 + $Q$6</f>
        <v>48734.801384632694</v>
      </c>
      <c r="R94" s="60">
        <f>(R93*($K$1/12))+R93</f>
        <v>6162.7295749037776</v>
      </c>
      <c r="S94" s="60">
        <f>(S93*($K$1/12))+S93</f>
        <v>5350.4855622981495</v>
      </c>
      <c r="T94" s="60">
        <f>(T93*($K$1/12))+T93+$T$6 + ((3%/12)*T$11)</f>
        <v>214415.06449238071</v>
      </c>
      <c r="U94" s="60">
        <f>(U93*$K$1/12) + U93 + ((U$11/12*7%))</f>
        <v>28296.928385769588</v>
      </c>
      <c r="V94" s="60">
        <v>3100</v>
      </c>
      <c r="W94" s="60">
        <f>(W93*($K$1/12))+W93+$W$6</f>
        <v>19274.924457806603</v>
      </c>
      <c r="X94" s="11">
        <v>0</v>
      </c>
      <c r="Y94" s="60">
        <f>(Y93*($K$1/12))+Y93+$Y$6</f>
        <v>25760.595237568039</v>
      </c>
      <c r="Z94" s="60">
        <f>'Mortgage and Loans'!U56</f>
        <v>39281.050000000003</v>
      </c>
      <c r="AA94" s="12">
        <f t="shared" si="212"/>
        <v>409963.97577081068</v>
      </c>
      <c r="AB94" s="56">
        <f t="shared" si="181"/>
        <v>750</v>
      </c>
      <c r="AC94" s="56">
        <f t="shared" si="181"/>
        <v>750</v>
      </c>
      <c r="AD94" s="56">
        <f t="shared" si="181"/>
        <v>750</v>
      </c>
      <c r="AE94" s="56">
        <f t="shared" si="181"/>
        <v>750</v>
      </c>
      <c r="AF94" s="56">
        <f t="shared" si="74"/>
        <v>261.43949991494941</v>
      </c>
      <c r="AG94" s="56">
        <f t="shared" si="181"/>
        <v>750</v>
      </c>
      <c r="AH94" s="56">
        <f>'Mortgage and Loans'!AF51</f>
        <v>38150.287741334207</v>
      </c>
      <c r="AI94" s="56">
        <f>'Mortgage and Loans'!AQ51</f>
        <v>1647.299084742961</v>
      </c>
      <c r="AJ94" s="56">
        <f>'Mortgage and Loans'!BB51</f>
        <v>0</v>
      </c>
      <c r="AK94" s="56">
        <f>'Mortgage and Loans'!BM51</f>
        <v>0</v>
      </c>
      <c r="AL94" s="56">
        <f>'Mortgage and Loans'!T56</f>
        <v>140718.95000000001</v>
      </c>
      <c r="AM94" s="12">
        <f t="shared" si="12"/>
        <v>-184527.97632599215</v>
      </c>
      <c r="AN94" s="75">
        <f t="shared" si="85"/>
        <v>225435.99944481853</v>
      </c>
      <c r="AO94" s="86">
        <f>'Mortgage and Loans'!G57</f>
        <v>2858.23</v>
      </c>
      <c r="AP94" s="79">
        <f>('Salary Tax Breakdown'!B$16/12)-Data!AO94</f>
        <v>589.27</v>
      </c>
      <c r="AQ94" s="87"/>
      <c r="AR94" s="20">
        <f t="shared" si="182"/>
        <v>4011.4394999149495</v>
      </c>
      <c r="AS94" s="20">
        <v>750</v>
      </c>
      <c r="AT94" s="20">
        <v>0</v>
      </c>
      <c r="AU94" s="20">
        <f t="shared" si="183"/>
        <v>4761.4394999149499</v>
      </c>
      <c r="AV94" s="20">
        <f t="shared" si="184"/>
        <v>4761.4416787875925</v>
      </c>
      <c r="AW94" s="51">
        <f t="shared" si="213"/>
        <v>0</v>
      </c>
      <c r="AX94" s="51">
        <f t="shared" si="14"/>
        <v>0</v>
      </c>
      <c r="AY94" s="51">
        <f t="shared" si="15"/>
        <v>0</v>
      </c>
      <c r="AZ94" s="51">
        <f t="shared" si="16"/>
        <v>0</v>
      </c>
      <c r="BA94" s="51">
        <f t="shared" si="17"/>
        <v>0</v>
      </c>
      <c r="BB94" s="51">
        <f t="shared" si="18"/>
        <v>0</v>
      </c>
      <c r="BC94" s="51">
        <f t="shared" si="19"/>
        <v>0</v>
      </c>
      <c r="BD94" s="51">
        <f t="shared" si="20"/>
        <v>0</v>
      </c>
      <c r="BE94" s="51">
        <f t="shared" si="21"/>
        <v>0</v>
      </c>
      <c r="BF94" s="51">
        <f t="shared" si="22"/>
        <v>0</v>
      </c>
      <c r="BG94" s="51">
        <f t="shared" si="23"/>
        <v>0</v>
      </c>
      <c r="BH94" s="51">
        <f t="shared" si="24"/>
        <v>0</v>
      </c>
      <c r="BI94" s="51">
        <f t="shared" si="185"/>
        <v>0</v>
      </c>
      <c r="BJ94" s="51">
        <f t="shared" si="186"/>
        <v>0</v>
      </c>
      <c r="BK94" s="51">
        <f t="shared" si="187"/>
        <v>0</v>
      </c>
      <c r="BL94" s="51">
        <f t="shared" si="188"/>
        <v>0</v>
      </c>
      <c r="BM94" s="51">
        <f t="shared" si="189"/>
        <v>0</v>
      </c>
      <c r="BN94" s="51">
        <f t="shared" si="190"/>
        <v>0</v>
      </c>
      <c r="BO94" s="51">
        <f t="shared" si="191"/>
        <v>0</v>
      </c>
      <c r="BP94" s="51">
        <f t="shared" si="192"/>
        <v>0</v>
      </c>
      <c r="BQ94" s="51">
        <f t="shared" si="193"/>
        <v>0</v>
      </c>
      <c r="BR94" s="51">
        <f t="shared" si="194"/>
        <v>0</v>
      </c>
      <c r="BS94" s="51">
        <f t="shared" si="195"/>
        <v>0</v>
      </c>
      <c r="BT94" s="51">
        <f t="shared" si="196"/>
        <v>0</v>
      </c>
      <c r="BU94" s="20">
        <f t="shared" si="197"/>
        <v>4761.4398253136342</v>
      </c>
      <c r="BV94" s="20">
        <f t="shared" si="198"/>
        <v>4761.4393183422299</v>
      </c>
      <c r="BW94" s="20">
        <f t="shared" si="199"/>
        <v>57137.273998979399</v>
      </c>
      <c r="BX94" s="20">
        <f t="shared" si="200"/>
        <v>57137.277903763606</v>
      </c>
      <c r="BY94" s="20">
        <f t="shared" si="201"/>
        <v>57137.271820106762</v>
      </c>
      <c r="BZ94" s="21">
        <f t="shared" si="202"/>
        <v>57137.274574283256</v>
      </c>
      <c r="CA94" s="19">
        <f t="shared" si="216"/>
        <v>1428431.8643570815</v>
      </c>
      <c r="CB94" s="20">
        <f t="shared" si="203"/>
        <v>1428431.9466096275</v>
      </c>
      <c r="CC94" s="20">
        <f t="shared" si="204"/>
        <v>1428431.8137702057</v>
      </c>
      <c r="CD94" s="20">
        <f t="shared" si="217"/>
        <v>0</v>
      </c>
      <c r="CE94" s="20">
        <f t="shared" si="113"/>
        <v>1400000</v>
      </c>
      <c r="CF94" s="20">
        <f t="shared" si="214"/>
        <v>347995.52909535961</v>
      </c>
      <c r="CG94" s="20">
        <f t="shared" si="205"/>
        <v>13919.821163814384</v>
      </c>
      <c r="CH94" s="20">
        <f t="shared" si="215"/>
        <v>1159.985096984532</v>
      </c>
      <c r="CI94" s="20">
        <f t="shared" si="206"/>
        <v>340725.57879105461</v>
      </c>
      <c r="CJ94" s="24">
        <f t="shared" si="207"/>
        <v>0.24362065684775841</v>
      </c>
      <c r="CK94" s="24">
        <f t="shared" si="208"/>
        <v>2.1375879603592083E-2</v>
      </c>
      <c r="CL94" s="24">
        <f t="shared" si="209"/>
        <v>6.660738482832744E-2</v>
      </c>
      <c r="CM94" s="25">
        <f t="shared" si="210"/>
        <v>0.32245843734719326</v>
      </c>
      <c r="CN94" s="17"/>
      <c r="CO94" s="17"/>
      <c r="CP94" s="17"/>
      <c r="CQ94" s="17"/>
      <c r="CR94" s="17"/>
      <c r="CS94" s="17"/>
      <c r="CT94" s="17"/>
      <c r="CU94" s="17"/>
      <c r="CV94" s="17"/>
      <c r="CW94" s="30">
        <v>0</v>
      </c>
      <c r="CX94" s="17"/>
      <c r="CY94" s="17"/>
      <c r="CZ94" s="17"/>
      <c r="DA94" s="17"/>
      <c r="DB94" s="17"/>
    </row>
    <row r="95" spans="1:106" ht="15.75" thickBot="1" x14ac:dyDescent="0.3">
      <c r="A95" s="5">
        <f t="shared" si="218"/>
        <v>31</v>
      </c>
      <c r="B95" s="5">
        <f t="shared" si="218"/>
        <v>29</v>
      </c>
      <c r="C95" s="1">
        <v>45108</v>
      </c>
      <c r="D95" s="4"/>
      <c r="E95" s="30"/>
      <c r="F95" s="30"/>
      <c r="G95" s="30">
        <f t="shared" si="211"/>
        <v>0</v>
      </c>
      <c r="H95" s="30"/>
      <c r="I95" s="10">
        <v>0</v>
      </c>
      <c r="J95" s="60">
        <v>9000</v>
      </c>
      <c r="K95" s="11">
        <v>550</v>
      </c>
      <c r="L95" s="60">
        <f t="shared" si="72"/>
        <v>9744.1566547673065</v>
      </c>
      <c r="M95" s="11">
        <v>305</v>
      </c>
      <c r="N95" s="60">
        <v>0</v>
      </c>
      <c r="O95" s="11">
        <v>0</v>
      </c>
      <c r="P95" s="11">
        <v>0</v>
      </c>
      <c r="Q95" s="60">
        <f>(Q94*($K$1/12))+Q94 + $Q$6</f>
        <v>49915.451558799454</v>
      </c>
      <c r="R95" s="60">
        <f>(R94*($K$1/12))+R94</f>
        <v>6196.1110267678396</v>
      </c>
      <c r="S95" s="60">
        <f>(S94*($K$1/12))+S94</f>
        <v>5379.467359093931</v>
      </c>
      <c r="T95" s="60">
        <f>(T94*($K$1/12))+T94+$T$6 + ((3%/12)*T$11)</f>
        <v>218751.47942504779</v>
      </c>
      <c r="U95" s="60">
        <f>(U94*$K$1/12) + U94 + ((U$11/12*7%))</f>
        <v>28858.536747859172</v>
      </c>
      <c r="V95" s="60">
        <v>3100</v>
      </c>
      <c r="W95" s="60">
        <f>(W94*($K$1/12))+W94+$W$6</f>
        <v>19666.830298619723</v>
      </c>
      <c r="X95" s="11">
        <v>0</v>
      </c>
      <c r="Y95" s="60">
        <f>(Y94*($K$1/12))+Y94+$Y$6</f>
        <v>26550.131795104866</v>
      </c>
      <c r="Z95" s="60">
        <f>'Mortgage and Loans'!U57</f>
        <v>39524.15</v>
      </c>
      <c r="AA95" s="12">
        <f t="shared" si="212"/>
        <v>417541.3148660601</v>
      </c>
      <c r="AB95" s="56">
        <f t="shared" si="181"/>
        <v>750</v>
      </c>
      <c r="AC95" s="56">
        <f t="shared" si="181"/>
        <v>750</v>
      </c>
      <c r="AD95" s="56">
        <f t="shared" si="181"/>
        <v>750</v>
      </c>
      <c r="AE95" s="56">
        <f t="shared" si="181"/>
        <v>750</v>
      </c>
      <c r="AF95" s="56">
        <f t="shared" si="74"/>
        <v>261.43931834222917</v>
      </c>
      <c r="AG95" s="56">
        <f t="shared" si="181"/>
        <v>750</v>
      </c>
      <c r="AH95" s="56">
        <f>'Mortgage and Loans'!AF52</f>
        <v>37774.327741334208</v>
      </c>
      <c r="AI95" s="56">
        <f>'Mortgage and Loans'!AQ52</f>
        <v>69.499084742961031</v>
      </c>
      <c r="AJ95" s="56">
        <f>'Mortgage and Loans'!BB52</f>
        <v>0</v>
      </c>
      <c r="AK95" s="56">
        <f>'Mortgage and Loans'!BM52</f>
        <v>0</v>
      </c>
      <c r="AL95" s="56">
        <f>'Mortgage and Loans'!T57</f>
        <v>140475.85</v>
      </c>
      <c r="AM95" s="12">
        <f t="shared" si="12"/>
        <v>-182331.11614441941</v>
      </c>
      <c r="AN95" s="75">
        <f t="shared" si="85"/>
        <v>235210.19872164069</v>
      </c>
      <c r="AO95" s="86">
        <f>'Mortgage and Loans'!G58</f>
        <v>2858.23</v>
      </c>
      <c r="AP95" s="79">
        <f>('Salary Tax Breakdown'!B$16/12)-Data!AO95</f>
        <v>589.27</v>
      </c>
      <c r="AQ95" s="87"/>
      <c r="AR95" s="20">
        <f t="shared" si="182"/>
        <v>4011.4393183422289</v>
      </c>
      <c r="AS95" s="20">
        <v>750</v>
      </c>
      <c r="AT95" s="20">
        <v>0</v>
      </c>
      <c r="AU95" s="20">
        <f t="shared" si="183"/>
        <v>4761.4393183422289</v>
      </c>
      <c r="AV95" s="20">
        <f t="shared" si="184"/>
        <v>4761.4398067479051</v>
      </c>
      <c r="AW95" s="51">
        <f t="shared" si="213"/>
        <v>0</v>
      </c>
      <c r="AX95" s="51">
        <f t="shared" si="14"/>
        <v>0</v>
      </c>
      <c r="AY95" s="51">
        <f t="shared" si="15"/>
        <v>0</v>
      </c>
      <c r="AZ95" s="51">
        <f t="shared" si="16"/>
        <v>0</v>
      </c>
      <c r="BA95" s="51">
        <f t="shared" si="17"/>
        <v>0</v>
      </c>
      <c r="BB95" s="51">
        <f t="shared" si="18"/>
        <v>0</v>
      </c>
      <c r="BC95" s="51">
        <f t="shared" si="19"/>
        <v>0</v>
      </c>
      <c r="BD95" s="51">
        <f t="shared" si="20"/>
        <v>0</v>
      </c>
      <c r="BE95" s="51">
        <f t="shared" si="21"/>
        <v>0</v>
      </c>
      <c r="BF95" s="51">
        <f t="shared" si="22"/>
        <v>0</v>
      </c>
      <c r="BG95" s="51">
        <f t="shared" si="23"/>
        <v>0</v>
      </c>
      <c r="BH95" s="51">
        <f t="shared" si="24"/>
        <v>0</v>
      </c>
      <c r="BI95" s="51">
        <f t="shared" si="185"/>
        <v>0</v>
      </c>
      <c r="BJ95" s="51">
        <f t="shared" si="186"/>
        <v>0</v>
      </c>
      <c r="BK95" s="51">
        <f t="shared" si="187"/>
        <v>0</v>
      </c>
      <c r="BL95" s="51">
        <f t="shared" si="188"/>
        <v>0</v>
      </c>
      <c r="BM95" s="51">
        <f t="shared" si="189"/>
        <v>0</v>
      </c>
      <c r="BN95" s="51">
        <f t="shared" si="190"/>
        <v>0</v>
      </c>
      <c r="BO95" s="51">
        <f t="shared" si="191"/>
        <v>0</v>
      </c>
      <c r="BP95" s="51">
        <f t="shared" si="192"/>
        <v>0</v>
      </c>
      <c r="BQ95" s="51">
        <f t="shared" si="193"/>
        <v>0</v>
      </c>
      <c r="BR95" s="51">
        <f t="shared" si="194"/>
        <v>0</v>
      </c>
      <c r="BS95" s="51">
        <f t="shared" si="195"/>
        <v>0</v>
      </c>
      <c r="BT95" s="51">
        <f t="shared" si="196"/>
        <v>0</v>
      </c>
      <c r="BU95" s="20">
        <f t="shared" si="197"/>
        <v>4761.4395417180713</v>
      </c>
      <c r="BV95" s="20">
        <f t="shared" si="198"/>
        <v>4761.4392776417562</v>
      </c>
      <c r="BW95" s="20">
        <f t="shared" si="199"/>
        <v>57137.271820106747</v>
      </c>
      <c r="BX95" s="20">
        <f t="shared" si="200"/>
        <v>57137.274500616855</v>
      </c>
      <c r="BY95" s="20">
        <f t="shared" si="201"/>
        <v>57137.271331701078</v>
      </c>
      <c r="BZ95" s="21">
        <f t="shared" si="202"/>
        <v>57137.272550808229</v>
      </c>
      <c r="CA95" s="19">
        <f t="shared" si="216"/>
        <v>1428431.8137702057</v>
      </c>
      <c r="CB95" s="20">
        <f t="shared" si="203"/>
        <v>1428431.8742801649</v>
      </c>
      <c r="CC95" s="20">
        <f t="shared" si="204"/>
        <v>1428431.7996401878</v>
      </c>
      <c r="CD95" s="20">
        <f t="shared" si="217"/>
        <v>0</v>
      </c>
      <c r="CE95" s="20">
        <f t="shared" si="113"/>
        <v>1400000</v>
      </c>
      <c r="CF95" s="20">
        <f t="shared" si="214"/>
        <v>355318.00821129279</v>
      </c>
      <c r="CG95" s="20">
        <f t="shared" si="205"/>
        <v>14212.720328451713</v>
      </c>
      <c r="CH95" s="20">
        <f t="shared" si="215"/>
        <v>1184.3933607043093</v>
      </c>
      <c r="CI95" s="20">
        <f t="shared" si="206"/>
        <v>348008.67900950619</v>
      </c>
      <c r="CJ95" s="24">
        <f t="shared" si="207"/>
        <v>0.24874690533655974</v>
      </c>
      <c r="CK95" s="24">
        <f t="shared" si="208"/>
        <v>2.1041876988961643E-2</v>
      </c>
      <c r="CL95" s="24">
        <f t="shared" si="209"/>
        <v>6.552129228404284E-2</v>
      </c>
      <c r="CM95" s="25">
        <f t="shared" si="210"/>
        <v>0.31596461692531191</v>
      </c>
      <c r="CN95" s="17"/>
      <c r="CO95" s="17"/>
      <c r="CP95" s="17"/>
      <c r="CQ95" s="17"/>
      <c r="CR95" s="17"/>
      <c r="CS95" s="17"/>
      <c r="CT95" s="17"/>
      <c r="CU95" s="17"/>
      <c r="CV95" s="17"/>
      <c r="CW95" s="30">
        <v>0</v>
      </c>
      <c r="CX95" s="17"/>
      <c r="CY95" s="17"/>
      <c r="CZ95" s="17"/>
      <c r="DA95" s="17"/>
      <c r="DB95" s="17"/>
    </row>
    <row r="96" spans="1:106" ht="15.75" thickBot="1" x14ac:dyDescent="0.3">
      <c r="A96" s="5">
        <f t="shared" si="218"/>
        <v>31</v>
      </c>
      <c r="B96" s="5">
        <f t="shared" si="218"/>
        <v>29</v>
      </c>
      <c r="C96" s="1">
        <v>45139</v>
      </c>
      <c r="D96" s="4"/>
      <c r="E96" s="30"/>
      <c r="F96" s="30"/>
      <c r="G96" s="30">
        <f t="shared" si="211"/>
        <v>0</v>
      </c>
      <c r="H96" s="30"/>
      <c r="I96" s="10">
        <v>0</v>
      </c>
      <c r="J96" s="60">
        <v>9000</v>
      </c>
      <c r="K96" s="11">
        <v>550</v>
      </c>
      <c r="L96" s="60">
        <f t="shared" si="72"/>
        <v>9755.9308440584828</v>
      </c>
      <c r="M96" s="11">
        <v>305</v>
      </c>
      <c r="N96" s="60">
        <v>0</v>
      </c>
      <c r="O96" s="11">
        <v>0</v>
      </c>
      <c r="P96" s="11">
        <v>0</v>
      </c>
      <c r="Q96" s="60">
        <f>(Q95*($K$1/12))+Q95 + $Q$6</f>
        <v>51102.496921409613</v>
      </c>
      <c r="R96" s="60">
        <f>(R95*($K$1/12))+R95</f>
        <v>6229.6732948294984</v>
      </c>
      <c r="S96" s="60">
        <f>(S95*($K$1/12))+S95</f>
        <v>5408.6061406223562</v>
      </c>
      <c r="T96" s="60">
        <f>(T95*($K$1/12))+T95+$T$6 + ((3%/12)*T$11)</f>
        <v>223111.38327193348</v>
      </c>
      <c r="U96" s="60">
        <f>(U95*$K$1/12) + U95 + ((U$11/12*7%))</f>
        <v>29423.18715524341</v>
      </c>
      <c r="V96" s="60">
        <v>3100</v>
      </c>
      <c r="W96" s="60">
        <f>(W95*($K$1/12))+W95+$W$6</f>
        <v>20060.858962737246</v>
      </c>
      <c r="X96" s="11">
        <v>0</v>
      </c>
      <c r="Y96" s="60">
        <f>(Y95*($K$1/12))+Y95+$Y$6</f>
        <v>27343.945008995019</v>
      </c>
      <c r="Z96" s="60">
        <f>'Mortgage and Loans'!U58</f>
        <v>39768.090000000004</v>
      </c>
      <c r="AA96" s="12">
        <f t="shared" si="212"/>
        <v>425159.1715998291</v>
      </c>
      <c r="AB96" s="56">
        <f t="shared" si="181"/>
        <v>750</v>
      </c>
      <c r="AC96" s="56">
        <f t="shared" si="181"/>
        <v>750</v>
      </c>
      <c r="AD96" s="56">
        <f t="shared" si="181"/>
        <v>750</v>
      </c>
      <c r="AE96" s="56">
        <f t="shared" si="181"/>
        <v>750</v>
      </c>
      <c r="AF96" s="56">
        <f t="shared" ref="AF96:AF159" si="219">AVERAGE(AF84:AF95)</f>
        <v>261.43927764175623</v>
      </c>
      <c r="AG96" s="56">
        <f t="shared" si="181"/>
        <v>750</v>
      </c>
      <c r="AH96" s="56">
        <f>'Mortgage and Loans'!AF53</f>
        <v>35796.69774133421</v>
      </c>
      <c r="AI96" s="56">
        <f>'Mortgage and Loans'!AQ53</f>
        <v>0</v>
      </c>
      <c r="AJ96" s="56">
        <f>'Mortgage and Loans'!BB53</f>
        <v>0</v>
      </c>
      <c r="AK96" s="56">
        <f>'Mortgage and Loans'!BM53</f>
        <v>0</v>
      </c>
      <c r="AL96" s="56">
        <f>'Mortgage and Loans'!T58</f>
        <v>140231.91</v>
      </c>
      <c r="AM96" s="12">
        <f t="shared" si="12"/>
        <v>-180040.04701897598</v>
      </c>
      <c r="AN96" s="75">
        <f t="shared" si="85"/>
        <v>245119.12458085312</v>
      </c>
      <c r="AO96" s="86">
        <f>'Mortgage and Loans'!G59</f>
        <v>2872.1899999999996</v>
      </c>
      <c r="AP96" s="79">
        <f>('Salary Tax Breakdown'!B$16/12)-Data!AO96</f>
        <v>575.3100000000004</v>
      </c>
      <c r="AQ96" s="87"/>
      <c r="AR96" s="20">
        <f t="shared" si="182"/>
        <v>4011.4392776417562</v>
      </c>
      <c r="AS96" s="20">
        <v>750</v>
      </c>
      <c r="AT96" s="20">
        <v>0</v>
      </c>
      <c r="AU96" s="20">
        <f t="shared" si="183"/>
        <v>4761.4392776417562</v>
      </c>
      <c r="AV96" s="20">
        <f t="shared" si="184"/>
        <v>4761.4383678171635</v>
      </c>
      <c r="AW96" s="51">
        <f t="shared" si="213"/>
        <v>0</v>
      </c>
      <c r="AX96" s="51">
        <f t="shared" si="14"/>
        <v>0</v>
      </c>
      <c r="AY96" s="51">
        <f t="shared" si="15"/>
        <v>0</v>
      </c>
      <c r="AZ96" s="51">
        <f t="shared" si="16"/>
        <v>0</v>
      </c>
      <c r="BA96" s="51">
        <f t="shared" si="17"/>
        <v>0</v>
      </c>
      <c r="BB96" s="51">
        <f t="shared" si="18"/>
        <v>0</v>
      </c>
      <c r="BC96" s="51">
        <f t="shared" si="19"/>
        <v>0</v>
      </c>
      <c r="BD96" s="51">
        <f t="shared" si="20"/>
        <v>0</v>
      </c>
      <c r="BE96" s="51">
        <f t="shared" si="21"/>
        <v>0</v>
      </c>
      <c r="BF96" s="51">
        <f t="shared" si="22"/>
        <v>0</v>
      </c>
      <c r="BG96" s="51">
        <f t="shared" si="23"/>
        <v>0</v>
      </c>
      <c r="BH96" s="51">
        <f t="shared" si="24"/>
        <v>0</v>
      </c>
      <c r="BI96" s="51">
        <f t="shared" si="185"/>
        <v>0</v>
      </c>
      <c r="BJ96" s="51">
        <f t="shared" si="186"/>
        <v>0</v>
      </c>
      <c r="BK96" s="51">
        <f t="shared" si="187"/>
        <v>0</v>
      </c>
      <c r="BL96" s="51">
        <f t="shared" si="188"/>
        <v>0</v>
      </c>
      <c r="BM96" s="51">
        <f t="shared" si="189"/>
        <v>0</v>
      </c>
      <c r="BN96" s="51">
        <f t="shared" si="190"/>
        <v>0</v>
      </c>
      <c r="BO96" s="51">
        <f t="shared" si="191"/>
        <v>0</v>
      </c>
      <c r="BP96" s="51">
        <f t="shared" si="192"/>
        <v>0</v>
      </c>
      <c r="BQ96" s="51">
        <f t="shared" si="193"/>
        <v>0</v>
      </c>
      <c r="BR96" s="51">
        <f t="shared" si="194"/>
        <v>0</v>
      </c>
      <c r="BS96" s="51">
        <f t="shared" si="195"/>
        <v>0</v>
      </c>
      <c r="BT96" s="51">
        <f t="shared" si="196"/>
        <v>0</v>
      </c>
      <c r="BU96" s="20">
        <f t="shared" si="197"/>
        <v>4761.439365299645</v>
      </c>
      <c r="BV96" s="20">
        <f t="shared" si="198"/>
        <v>4761.4393534604724</v>
      </c>
      <c r="BW96" s="20">
        <f t="shared" si="199"/>
        <v>57137.271331701078</v>
      </c>
      <c r="BX96" s="20">
        <f t="shared" si="200"/>
        <v>57137.272383595744</v>
      </c>
      <c r="BY96" s="20">
        <f t="shared" si="201"/>
        <v>57137.272241525672</v>
      </c>
      <c r="BZ96" s="21">
        <f t="shared" si="202"/>
        <v>57137.271985607491</v>
      </c>
      <c r="CA96" s="19">
        <f t="shared" si="216"/>
        <v>1428431.7996401873</v>
      </c>
      <c r="CB96" s="20">
        <f t="shared" si="203"/>
        <v>1428431.8259224913</v>
      </c>
      <c r="CC96" s="20">
        <f t="shared" si="204"/>
        <v>1428431.8163675384</v>
      </c>
      <c r="CD96" s="20">
        <f t="shared" si="217"/>
        <v>0</v>
      </c>
      <c r="CE96" s="20">
        <f t="shared" si="113"/>
        <v>1400000</v>
      </c>
      <c r="CF96" s="20">
        <f t="shared" si="214"/>
        <v>362680.15075577062</v>
      </c>
      <c r="CG96" s="20">
        <f t="shared" si="205"/>
        <v>14507.206030230825</v>
      </c>
      <c r="CH96" s="20">
        <f t="shared" si="215"/>
        <v>1208.9338358525688</v>
      </c>
      <c r="CI96" s="20">
        <f t="shared" si="206"/>
        <v>355331.22935414099</v>
      </c>
      <c r="CJ96" s="24">
        <f t="shared" si="207"/>
        <v>0.25390091719746533</v>
      </c>
      <c r="CK96" s="24">
        <f t="shared" si="208"/>
        <v>2.0719868890236123E-2</v>
      </c>
      <c r="CL96" s="24">
        <f t="shared" si="209"/>
        <v>6.4475624028579454E-2</v>
      </c>
      <c r="CM96" s="25">
        <f t="shared" si="210"/>
        <v>0.30976012868966502</v>
      </c>
      <c r="CN96" s="17"/>
      <c r="CO96" s="17"/>
      <c r="CP96" s="17"/>
      <c r="CQ96" s="17"/>
      <c r="CR96" s="17"/>
      <c r="CS96" s="17"/>
      <c r="CT96" s="17"/>
      <c r="CU96" s="17"/>
      <c r="CV96" s="17"/>
      <c r="CW96" s="30">
        <v>0</v>
      </c>
      <c r="CX96" s="17"/>
      <c r="CY96" s="17"/>
      <c r="CZ96" s="17"/>
      <c r="DA96" s="17"/>
      <c r="DB96" s="17"/>
    </row>
    <row r="97" spans="1:106" ht="15.75" thickBot="1" x14ac:dyDescent="0.3">
      <c r="A97" s="5">
        <f t="shared" si="218"/>
        <v>31</v>
      </c>
      <c r="B97" s="5">
        <f t="shared" si="218"/>
        <v>29</v>
      </c>
      <c r="C97" s="1">
        <v>45170</v>
      </c>
      <c r="D97" s="4"/>
      <c r="E97" s="30"/>
      <c r="F97" s="30"/>
      <c r="G97" s="30">
        <f t="shared" si="211"/>
        <v>0</v>
      </c>
      <c r="H97" s="30"/>
      <c r="I97" s="10">
        <v>0</v>
      </c>
      <c r="J97" s="60">
        <v>9000</v>
      </c>
      <c r="K97" s="11">
        <v>550</v>
      </c>
      <c r="L97" s="60">
        <f t="shared" si="72"/>
        <v>9767.7192604950524</v>
      </c>
      <c r="M97" s="11">
        <v>305</v>
      </c>
      <c r="N97" s="60">
        <v>0</v>
      </c>
      <c r="O97" s="11">
        <v>0</v>
      </c>
      <c r="P97" s="11">
        <v>0</v>
      </c>
      <c r="Q97" s="60">
        <f>(Q96*($K$1/12))+Q96 + $Q$6</f>
        <v>52295.972113067248</v>
      </c>
      <c r="R97" s="60">
        <f>(R96*($K$1/12))+R96</f>
        <v>6263.4173585098251</v>
      </c>
      <c r="S97" s="60">
        <f>(S96*($K$1/12))+S96</f>
        <v>5437.9027572173936</v>
      </c>
      <c r="T97" s="60">
        <f>(T96*($K$1/12))+T96+$T$6 + ((3%/12)*T$11)</f>
        <v>227494.90326465646</v>
      </c>
      <c r="U97" s="60">
        <f>(U96*$K$1/12) + U96 + ((U$11/12*7%))</f>
        <v>29990.896085667642</v>
      </c>
      <c r="V97" s="60">
        <v>3100</v>
      </c>
      <c r="W97" s="60">
        <f>(W96*($K$1/12))+W96+$W$6</f>
        <v>20457.021948785405</v>
      </c>
      <c r="X97" s="11">
        <v>0</v>
      </c>
      <c r="Y97" s="60">
        <f>(Y96*($K$1/12))+Y96+$Y$6</f>
        <v>28142.058044460409</v>
      </c>
      <c r="Z97" s="60">
        <f>'Mortgage and Loans'!U59</f>
        <v>40012.870000000003</v>
      </c>
      <c r="AA97" s="12">
        <f t="shared" si="212"/>
        <v>432817.76083285944</v>
      </c>
      <c r="AB97" s="56">
        <f t="shared" si="181"/>
        <v>750</v>
      </c>
      <c r="AC97" s="56">
        <f t="shared" si="181"/>
        <v>750</v>
      </c>
      <c r="AD97" s="56">
        <f t="shared" si="181"/>
        <v>750</v>
      </c>
      <c r="AE97" s="56">
        <f t="shared" si="181"/>
        <v>750</v>
      </c>
      <c r="AF97" s="56">
        <f t="shared" si="219"/>
        <v>261.43935346047232</v>
      </c>
      <c r="AG97" s="56">
        <f t="shared" si="181"/>
        <v>750</v>
      </c>
      <c r="AH97" s="56">
        <f>'Mortgage and Loans'!AF54</f>
        <v>33810.317741334213</v>
      </c>
      <c r="AI97" s="56">
        <f>'Mortgage and Loans'!AQ54</f>
        <v>0</v>
      </c>
      <c r="AJ97" s="56">
        <f>'Mortgage and Loans'!BB54</f>
        <v>0</v>
      </c>
      <c r="AK97" s="56">
        <f>'Mortgage and Loans'!BM54</f>
        <v>0</v>
      </c>
      <c r="AL97" s="56">
        <f>'Mortgage and Loans'!T59</f>
        <v>139987.13</v>
      </c>
      <c r="AM97" s="12">
        <f t="shared" si="12"/>
        <v>-177808.88709479469</v>
      </c>
      <c r="AN97" s="75">
        <f t="shared" si="85"/>
        <v>255008.87373806475</v>
      </c>
      <c r="AO97" s="86">
        <f>'Mortgage and Loans'!G60</f>
        <v>2872.1899999999996</v>
      </c>
      <c r="AP97" s="79">
        <f>('Salary Tax Breakdown'!B$16/12)-Data!AO97</f>
        <v>575.3100000000004</v>
      </c>
      <c r="AQ97" s="87"/>
      <c r="AR97" s="20">
        <f t="shared" si="182"/>
        <v>4011.4393534604724</v>
      </c>
      <c r="AS97" s="20">
        <v>750</v>
      </c>
      <c r="AT97" s="20">
        <v>0</v>
      </c>
      <c r="AU97" s="20">
        <f t="shared" si="183"/>
        <v>4761.4393534604724</v>
      </c>
      <c r="AV97" s="20">
        <f t="shared" si="184"/>
        <v>4761.4376701850542</v>
      </c>
      <c r="AW97" s="51">
        <f t="shared" si="213"/>
        <v>0</v>
      </c>
      <c r="AX97" s="51">
        <f t="shared" si="14"/>
        <v>0</v>
      </c>
      <c r="AY97" s="51">
        <f t="shared" si="15"/>
        <v>0</v>
      </c>
      <c r="AZ97" s="51">
        <f t="shared" si="16"/>
        <v>0</v>
      </c>
      <c r="BA97" s="51">
        <f t="shared" si="17"/>
        <v>0</v>
      </c>
      <c r="BB97" s="51">
        <f t="shared" si="18"/>
        <v>0</v>
      </c>
      <c r="BC97" s="51">
        <f t="shared" si="19"/>
        <v>0</v>
      </c>
      <c r="BD97" s="51">
        <f t="shared" si="20"/>
        <v>0</v>
      </c>
      <c r="BE97" s="51">
        <f t="shared" si="21"/>
        <v>0</v>
      </c>
      <c r="BF97" s="51">
        <f t="shared" si="22"/>
        <v>0</v>
      </c>
      <c r="BG97" s="51">
        <f t="shared" si="23"/>
        <v>0</v>
      </c>
      <c r="BH97" s="51">
        <f t="shared" si="24"/>
        <v>0</v>
      </c>
      <c r="BI97" s="51">
        <f t="shared" si="185"/>
        <v>0</v>
      </c>
      <c r="BJ97" s="51">
        <f t="shared" si="186"/>
        <v>0</v>
      </c>
      <c r="BK97" s="51">
        <f t="shared" si="187"/>
        <v>0</v>
      </c>
      <c r="BL97" s="51">
        <f t="shared" si="188"/>
        <v>0</v>
      </c>
      <c r="BM97" s="51">
        <f t="shared" si="189"/>
        <v>0</v>
      </c>
      <c r="BN97" s="51">
        <f t="shared" si="190"/>
        <v>0</v>
      </c>
      <c r="BO97" s="51">
        <f t="shared" si="191"/>
        <v>0</v>
      </c>
      <c r="BP97" s="51">
        <f t="shared" si="192"/>
        <v>0</v>
      </c>
      <c r="BQ97" s="51">
        <f t="shared" si="193"/>
        <v>0</v>
      </c>
      <c r="BR97" s="51">
        <f t="shared" si="194"/>
        <v>0</v>
      </c>
      <c r="BS97" s="51">
        <f t="shared" si="195"/>
        <v>0</v>
      </c>
      <c r="BT97" s="51">
        <f t="shared" si="196"/>
        <v>0</v>
      </c>
      <c r="BU97" s="20">
        <f t="shared" si="197"/>
        <v>4761.4393164814855</v>
      </c>
      <c r="BV97" s="20">
        <f t="shared" si="198"/>
        <v>4761.4394937334246</v>
      </c>
      <c r="BW97" s="20">
        <f t="shared" si="199"/>
        <v>57137.272241525672</v>
      </c>
      <c r="BX97" s="20">
        <f t="shared" si="200"/>
        <v>57137.271797777823</v>
      </c>
      <c r="BY97" s="20">
        <f t="shared" si="201"/>
        <v>57137.273924801091</v>
      </c>
      <c r="BZ97" s="21">
        <f t="shared" si="202"/>
        <v>57137.272654701526</v>
      </c>
      <c r="CA97" s="19">
        <f t="shared" si="216"/>
        <v>1428431.8163675382</v>
      </c>
      <c r="CB97" s="20">
        <f t="shared" si="203"/>
        <v>1428431.8099259771</v>
      </c>
      <c r="CC97" s="20">
        <f t="shared" si="204"/>
        <v>1428431.8501846639</v>
      </c>
      <c r="CD97" s="20">
        <f t="shared" si="217"/>
        <v>0</v>
      </c>
      <c r="CE97" s="20">
        <f t="shared" si="113"/>
        <v>1400000</v>
      </c>
      <c r="CF97" s="20">
        <f t="shared" si="214"/>
        <v>370082.1715723644</v>
      </c>
      <c r="CG97" s="20">
        <f t="shared" si="205"/>
        <v>14803.286862894576</v>
      </c>
      <c r="CH97" s="20">
        <f t="shared" si="215"/>
        <v>1233.6072385745481</v>
      </c>
      <c r="CI97" s="20">
        <f t="shared" si="206"/>
        <v>362693.44351314259</v>
      </c>
      <c r="CJ97" s="24">
        <f t="shared" si="207"/>
        <v>0.25908284105738477</v>
      </c>
      <c r="CK97" s="24">
        <f t="shared" si="208"/>
        <v>2.0409225046281378E-2</v>
      </c>
      <c r="CL97" s="24">
        <f t="shared" si="209"/>
        <v>6.3468178842471537E-2</v>
      </c>
      <c r="CM97" s="25">
        <f t="shared" si="210"/>
        <v>0.30382614193033902</v>
      </c>
      <c r="CN97" s="17"/>
      <c r="CO97" s="17"/>
      <c r="CP97" s="17"/>
      <c r="CQ97" s="17"/>
      <c r="CR97" s="17"/>
      <c r="CS97" s="17"/>
      <c r="CT97" s="17"/>
      <c r="CU97" s="17"/>
      <c r="CV97" s="17"/>
      <c r="CW97" s="30">
        <v>0</v>
      </c>
      <c r="CX97" s="17"/>
      <c r="CY97" s="17"/>
      <c r="CZ97" s="17"/>
      <c r="DA97" s="17"/>
      <c r="DB97" s="17"/>
    </row>
    <row r="98" spans="1:106" ht="15.75" thickBot="1" x14ac:dyDescent="0.3">
      <c r="A98" s="5">
        <f t="shared" si="218"/>
        <v>31</v>
      </c>
      <c r="B98" s="5">
        <f t="shared" si="218"/>
        <v>30</v>
      </c>
      <c r="C98" s="1">
        <v>45200</v>
      </c>
      <c r="D98" s="4"/>
      <c r="E98" s="30"/>
      <c r="F98" s="30"/>
      <c r="G98" s="30">
        <f t="shared" si="211"/>
        <v>0</v>
      </c>
      <c r="H98" s="30"/>
      <c r="I98" s="10">
        <v>0</v>
      </c>
      <c r="J98" s="60">
        <v>9000</v>
      </c>
      <c r="K98" s="11">
        <v>550</v>
      </c>
      <c r="L98" s="60">
        <f t="shared" si="72"/>
        <v>9779.5219212681495</v>
      </c>
      <c r="M98" s="11">
        <v>305</v>
      </c>
      <c r="N98" s="60">
        <v>0</v>
      </c>
      <c r="O98" s="11">
        <v>0</v>
      </c>
      <c r="P98" s="11">
        <v>0</v>
      </c>
      <c r="Q98" s="60">
        <f>(Q97*($K$1/12))+Q97 + $Q$6</f>
        <v>53495.91196201303</v>
      </c>
      <c r="R98" s="60">
        <f>(R97*($K$1/12))+R97</f>
        <v>6297.3442025350869</v>
      </c>
      <c r="S98" s="60">
        <f>(S97*($K$1/12))+S97</f>
        <v>5467.3580638189878</v>
      </c>
      <c r="T98" s="60">
        <f>(T97*($K$1/12))+T97+$T$6 + ((3%/12)*T$11)</f>
        <v>231902.16732400667</v>
      </c>
      <c r="U98" s="60">
        <f>(U97*$K$1/12) + U97 + ((U$11/12*7%))</f>
        <v>30561.680106131673</v>
      </c>
      <c r="V98" s="60">
        <v>3100</v>
      </c>
      <c r="W98" s="60">
        <f>(W97*($K$1/12))+W97+$W$6</f>
        <v>20855.330817674658</v>
      </c>
      <c r="X98" s="11">
        <v>0</v>
      </c>
      <c r="Y98" s="60">
        <f>(Y97*($K$1/12))+Y97+$Y$6</f>
        <v>28944.494192201237</v>
      </c>
      <c r="Z98" s="60">
        <f>'Mortgage and Loans'!U60</f>
        <v>40258.490000000005</v>
      </c>
      <c r="AA98" s="12">
        <f t="shared" si="212"/>
        <v>440517.29858964944</v>
      </c>
      <c r="AB98" s="56">
        <f t="shared" si="181"/>
        <v>750</v>
      </c>
      <c r="AC98" s="56">
        <f t="shared" si="181"/>
        <v>750</v>
      </c>
      <c r="AD98" s="56">
        <f t="shared" si="181"/>
        <v>750</v>
      </c>
      <c r="AE98" s="56">
        <f t="shared" si="181"/>
        <v>750</v>
      </c>
      <c r="AF98" s="56">
        <f t="shared" si="219"/>
        <v>261.43949373342389</v>
      </c>
      <c r="AG98" s="56">
        <f t="shared" si="181"/>
        <v>750</v>
      </c>
      <c r="AH98" s="56">
        <f>'Mortgage and Loans'!AF55</f>
        <v>31815.147741334215</v>
      </c>
      <c r="AI98" s="56">
        <f>'Mortgage and Loans'!AQ55</f>
        <v>0</v>
      </c>
      <c r="AJ98" s="56">
        <f>'Mortgage and Loans'!BB55</f>
        <v>0</v>
      </c>
      <c r="AK98" s="56">
        <f>'Mortgage and Loans'!BM55</f>
        <v>0</v>
      </c>
      <c r="AL98" s="56">
        <f>'Mortgage and Loans'!T60</f>
        <v>139741.51</v>
      </c>
      <c r="AM98" s="12">
        <f t="shared" si="12"/>
        <v>-175568.09723506763</v>
      </c>
      <c r="AN98" s="75">
        <f t="shared" si="85"/>
        <v>264949.2013545818</v>
      </c>
      <c r="AO98" s="86">
        <f>'Mortgage and Loans'!G61</f>
        <v>2872.1899999999996</v>
      </c>
      <c r="AP98" s="79">
        <f>('Salary Tax Breakdown'!B$16/12)-Data!AO98</f>
        <v>575.3100000000004</v>
      </c>
      <c r="AQ98" s="87"/>
      <c r="AR98" s="20">
        <f t="shared" si="182"/>
        <v>4011.4394937334237</v>
      </c>
      <c r="AS98" s="20">
        <v>750</v>
      </c>
      <c r="AT98" s="20">
        <v>0</v>
      </c>
      <c r="AU98" s="20">
        <f t="shared" si="183"/>
        <v>4761.4394937334237</v>
      </c>
      <c r="AV98" s="20">
        <f t="shared" si="184"/>
        <v>4761.4378205185894</v>
      </c>
      <c r="AW98" s="51">
        <f t="shared" si="213"/>
        <v>0</v>
      </c>
      <c r="AX98" s="51">
        <f t="shared" si="14"/>
        <v>0</v>
      </c>
      <c r="AY98" s="51">
        <f t="shared" si="15"/>
        <v>0</v>
      </c>
      <c r="AZ98" s="51">
        <f t="shared" si="16"/>
        <v>0</v>
      </c>
      <c r="BA98" s="51">
        <f t="shared" si="17"/>
        <v>0</v>
      </c>
      <c r="BB98" s="51">
        <f t="shared" si="18"/>
        <v>0</v>
      </c>
      <c r="BC98" s="51">
        <f t="shared" si="19"/>
        <v>0</v>
      </c>
      <c r="BD98" s="51">
        <f t="shared" si="20"/>
        <v>0</v>
      </c>
      <c r="BE98" s="51">
        <f t="shared" si="21"/>
        <v>0</v>
      </c>
      <c r="BF98" s="51">
        <f t="shared" si="22"/>
        <v>0</v>
      </c>
      <c r="BG98" s="51">
        <f t="shared" si="23"/>
        <v>0</v>
      </c>
      <c r="BH98" s="51">
        <f t="shared" si="24"/>
        <v>0</v>
      </c>
      <c r="BI98" s="51">
        <f t="shared" si="185"/>
        <v>0</v>
      </c>
      <c r="BJ98" s="51">
        <f t="shared" si="186"/>
        <v>0</v>
      </c>
      <c r="BK98" s="51">
        <f t="shared" si="187"/>
        <v>0</v>
      </c>
      <c r="BL98" s="51">
        <f t="shared" si="188"/>
        <v>0</v>
      </c>
      <c r="BM98" s="51">
        <f t="shared" si="189"/>
        <v>0</v>
      </c>
      <c r="BN98" s="51">
        <f t="shared" si="190"/>
        <v>0</v>
      </c>
      <c r="BO98" s="51">
        <f t="shared" si="191"/>
        <v>0</v>
      </c>
      <c r="BP98" s="51">
        <f t="shared" si="192"/>
        <v>0</v>
      </c>
      <c r="BQ98" s="51">
        <f t="shared" si="193"/>
        <v>0</v>
      </c>
      <c r="BR98" s="51">
        <f t="shared" si="194"/>
        <v>0</v>
      </c>
      <c r="BS98" s="51">
        <f t="shared" si="195"/>
        <v>0</v>
      </c>
      <c r="BT98" s="51">
        <f t="shared" si="196"/>
        <v>0</v>
      </c>
      <c r="BU98" s="20">
        <f t="shared" si="197"/>
        <v>4761.4393749452174</v>
      </c>
      <c r="BV98" s="20">
        <f t="shared" si="198"/>
        <v>4761.4396331679936</v>
      </c>
      <c r="BW98" s="20">
        <f t="shared" si="199"/>
        <v>57137.273924801084</v>
      </c>
      <c r="BX98" s="20">
        <f t="shared" si="200"/>
        <v>57137.272499342609</v>
      </c>
      <c r="BY98" s="20">
        <f t="shared" si="201"/>
        <v>57137.275598015927</v>
      </c>
      <c r="BZ98" s="21">
        <f t="shared" si="202"/>
        <v>57137.274007386535</v>
      </c>
      <c r="CA98" s="19">
        <f t="shared" si="216"/>
        <v>1428431.8501846634</v>
      </c>
      <c r="CB98" s="20">
        <f t="shared" si="203"/>
        <v>1428431.8220641296</v>
      </c>
      <c r="CC98" s="20">
        <f t="shared" si="204"/>
        <v>1428431.8850520924</v>
      </c>
      <c r="CD98" s="20">
        <f t="shared" si="217"/>
        <v>0</v>
      </c>
      <c r="CE98" s="20">
        <f t="shared" ref="CE98:CE161" si="220">$CC$11</f>
        <v>1400000</v>
      </c>
      <c r="CF98" s="20">
        <f t="shared" si="214"/>
        <v>377524.2866683813</v>
      </c>
      <c r="CG98" s="20">
        <f t="shared" si="205"/>
        <v>15100.971466735253</v>
      </c>
      <c r="CH98" s="20">
        <f t="shared" si="215"/>
        <v>1258.4142888946044</v>
      </c>
      <c r="CI98" s="20">
        <f t="shared" si="206"/>
        <v>370095.53633217211</v>
      </c>
      <c r="CJ98" s="24">
        <f t="shared" si="207"/>
        <v>0.26429282856695718</v>
      </c>
      <c r="CK98" s="24">
        <f t="shared" si="208"/>
        <v>2.0109358590276488E-2</v>
      </c>
      <c r="CL98" s="24">
        <f t="shared" si="209"/>
        <v>6.2496912466883374E-2</v>
      </c>
      <c r="CM98" s="25">
        <f t="shared" si="210"/>
        <v>0.29814542529185828</v>
      </c>
      <c r="CN98" s="17"/>
      <c r="CO98" s="17"/>
      <c r="CP98" s="17"/>
      <c r="CQ98" s="17"/>
      <c r="CR98" s="17"/>
      <c r="CS98" s="17"/>
      <c r="CT98" s="17"/>
      <c r="CU98" s="17"/>
      <c r="CV98" s="17"/>
      <c r="CW98" s="30">
        <v>0</v>
      </c>
      <c r="CX98" s="17"/>
      <c r="CY98" s="17"/>
      <c r="CZ98" s="17"/>
      <c r="DA98" s="17"/>
      <c r="DB98" s="17"/>
    </row>
    <row r="99" spans="1:106" ht="15.75" thickBot="1" x14ac:dyDescent="0.3">
      <c r="A99" s="5">
        <f t="shared" si="218"/>
        <v>31</v>
      </c>
      <c r="B99" s="5">
        <f t="shared" si="218"/>
        <v>30</v>
      </c>
      <c r="C99" s="1">
        <v>45231</v>
      </c>
      <c r="D99" s="4"/>
      <c r="E99" s="30"/>
      <c r="F99" s="30"/>
      <c r="G99" s="30">
        <f t="shared" si="211"/>
        <v>0</v>
      </c>
      <c r="H99" s="30"/>
      <c r="I99" s="10">
        <v>0</v>
      </c>
      <c r="J99" s="60">
        <v>9000</v>
      </c>
      <c r="K99" s="11">
        <v>550</v>
      </c>
      <c r="L99" s="60">
        <f t="shared" si="72"/>
        <v>9791.3388435896813</v>
      </c>
      <c r="M99" s="11">
        <v>305</v>
      </c>
      <c r="N99" s="60">
        <v>0</v>
      </c>
      <c r="O99" s="11">
        <v>0</v>
      </c>
      <c r="P99" s="11">
        <v>0</v>
      </c>
      <c r="Q99" s="60">
        <f>(Q98*($K$1/12))+Q98 + $Q$6</f>
        <v>54702.3514851406</v>
      </c>
      <c r="R99" s="60">
        <f>(R98*($K$1/12))+R98</f>
        <v>6331.4548169654854</v>
      </c>
      <c r="S99" s="60">
        <f>(S98*($K$1/12))+S98</f>
        <v>5496.9729199980075</v>
      </c>
      <c r="T99" s="60">
        <f>(T98*($K$1/12))+T98+$T$6 + ((3%/12)*T$11)</f>
        <v>236333.30406367837</v>
      </c>
      <c r="U99" s="60">
        <f>(U98*$K$1/12) + U98 + ((U$11/12*7%))</f>
        <v>31135.555873373218</v>
      </c>
      <c r="V99" s="60">
        <v>3100</v>
      </c>
      <c r="W99" s="60">
        <f>(W98*($K$1/12))+W98+$W$6</f>
        <v>21255.797192937061</v>
      </c>
      <c r="X99" s="11">
        <v>0</v>
      </c>
      <c r="Y99" s="60">
        <f>(Y98*($K$1/12))+Y98+$Y$6</f>
        <v>29751.27686907566</v>
      </c>
      <c r="Z99" s="60">
        <f>'Mortgage and Loans'!U61</f>
        <v>40504.960000000006</v>
      </c>
      <c r="AA99" s="12">
        <f t="shared" si="212"/>
        <v>448258.01206475811</v>
      </c>
      <c r="AB99" s="56">
        <f t="shared" si="181"/>
        <v>750</v>
      </c>
      <c r="AC99" s="56">
        <f t="shared" si="181"/>
        <v>750</v>
      </c>
      <c r="AD99" s="56">
        <f t="shared" si="181"/>
        <v>750</v>
      </c>
      <c r="AE99" s="56">
        <f t="shared" si="181"/>
        <v>750</v>
      </c>
      <c r="AF99" s="56">
        <f t="shared" si="219"/>
        <v>261.43963316799341</v>
      </c>
      <c r="AG99" s="56">
        <f t="shared" si="181"/>
        <v>750</v>
      </c>
      <c r="AH99" s="56">
        <f>'Mortgage and Loans'!AF56</f>
        <v>29811.147741334215</v>
      </c>
      <c r="AI99" s="56">
        <f>'Mortgage and Loans'!AQ56</f>
        <v>0</v>
      </c>
      <c r="AJ99" s="56">
        <f>'Mortgage and Loans'!BB56</f>
        <v>0</v>
      </c>
      <c r="AK99" s="56">
        <f>'Mortgage and Loans'!BM56</f>
        <v>0</v>
      </c>
      <c r="AL99" s="56">
        <f>'Mortgage and Loans'!T61</f>
        <v>139495.04000000001</v>
      </c>
      <c r="AM99" s="12">
        <f t="shared" si="12"/>
        <v>-173317.62737450222</v>
      </c>
      <c r="AN99" s="75">
        <f t="shared" si="85"/>
        <v>274940.38469025586</v>
      </c>
      <c r="AO99" s="86">
        <f>'Mortgage and Loans'!G62</f>
        <v>2872.1899999999996</v>
      </c>
      <c r="AP99" s="79">
        <f>('Salary Tax Breakdown'!B$16/12)-Data!AO99</f>
        <v>575.3100000000004</v>
      </c>
      <c r="AQ99" s="87"/>
      <c r="AR99" s="20">
        <f t="shared" si="182"/>
        <v>4011.4396331679936</v>
      </c>
      <c r="AS99" s="20">
        <v>750</v>
      </c>
      <c r="AT99" s="20">
        <v>0</v>
      </c>
      <c r="AU99" s="20">
        <f t="shared" si="183"/>
        <v>4761.4396331679936</v>
      </c>
      <c r="AV99" s="20">
        <f t="shared" si="184"/>
        <v>4761.4385443963438</v>
      </c>
      <c r="AW99" s="51">
        <f t="shared" si="213"/>
        <v>0</v>
      </c>
      <c r="AX99" s="51">
        <f t="shared" si="14"/>
        <v>0</v>
      </c>
      <c r="AY99" s="51">
        <f t="shared" si="15"/>
        <v>0</v>
      </c>
      <c r="AZ99" s="51">
        <f t="shared" si="16"/>
        <v>0</v>
      </c>
      <c r="BA99" s="51">
        <f t="shared" si="17"/>
        <v>0</v>
      </c>
      <c r="BB99" s="51">
        <f t="shared" si="18"/>
        <v>0</v>
      </c>
      <c r="BC99" s="51">
        <f t="shared" si="19"/>
        <v>0</v>
      </c>
      <c r="BD99" s="51">
        <f t="shared" si="20"/>
        <v>0</v>
      </c>
      <c r="BE99" s="51">
        <f t="shared" si="21"/>
        <v>0</v>
      </c>
      <c r="BF99" s="51">
        <f t="shared" si="22"/>
        <v>0</v>
      </c>
      <c r="BG99" s="51">
        <f t="shared" si="23"/>
        <v>0</v>
      </c>
      <c r="BH99" s="51">
        <f t="shared" si="24"/>
        <v>0</v>
      </c>
      <c r="BI99" s="51">
        <f t="shared" si="185"/>
        <v>0</v>
      </c>
      <c r="BJ99" s="51">
        <f t="shared" si="186"/>
        <v>0</v>
      </c>
      <c r="BK99" s="51">
        <f t="shared" si="187"/>
        <v>0</v>
      </c>
      <c r="BL99" s="51">
        <f t="shared" si="188"/>
        <v>0</v>
      </c>
      <c r="BM99" s="51">
        <f t="shared" si="189"/>
        <v>0</v>
      </c>
      <c r="BN99" s="51">
        <f t="shared" si="190"/>
        <v>0</v>
      </c>
      <c r="BO99" s="51">
        <f t="shared" si="191"/>
        <v>0</v>
      </c>
      <c r="BP99" s="51">
        <f t="shared" si="192"/>
        <v>0</v>
      </c>
      <c r="BQ99" s="51">
        <f t="shared" si="193"/>
        <v>0</v>
      </c>
      <c r="BR99" s="51">
        <f t="shared" si="194"/>
        <v>0</v>
      </c>
      <c r="BS99" s="51">
        <f t="shared" si="195"/>
        <v>0</v>
      </c>
      <c r="BT99" s="51">
        <f t="shared" si="196"/>
        <v>0</v>
      </c>
      <c r="BU99" s="20">
        <f t="shared" si="197"/>
        <v>4761.4394934539632</v>
      </c>
      <c r="BV99" s="20">
        <f t="shared" si="198"/>
        <v>4761.439723898965</v>
      </c>
      <c r="BW99" s="20">
        <f t="shared" si="199"/>
        <v>57137.275598015927</v>
      </c>
      <c r="BX99" s="20">
        <f t="shared" si="200"/>
        <v>57137.273921447559</v>
      </c>
      <c r="BY99" s="20">
        <f t="shared" si="201"/>
        <v>57137.276686787576</v>
      </c>
      <c r="BZ99" s="21">
        <f t="shared" si="202"/>
        <v>57137.27540208368</v>
      </c>
      <c r="CA99" s="19">
        <f t="shared" si="216"/>
        <v>1428431.8850520919</v>
      </c>
      <c r="CB99" s="20">
        <f t="shared" si="203"/>
        <v>1428431.8505347644</v>
      </c>
      <c r="CC99" s="20">
        <f t="shared" si="204"/>
        <v>1428431.9097129612</v>
      </c>
      <c r="CD99" s="20">
        <f t="shared" si="217"/>
        <v>0</v>
      </c>
      <c r="CE99" s="20">
        <f t="shared" si="220"/>
        <v>1400000</v>
      </c>
      <c r="CF99" s="20">
        <f t="shared" si="214"/>
        <v>385006.71322116844</v>
      </c>
      <c r="CG99" s="20">
        <f t="shared" si="205"/>
        <v>15400.268528846738</v>
      </c>
      <c r="CH99" s="20">
        <f t="shared" si="215"/>
        <v>1283.3557107372283</v>
      </c>
      <c r="CI99" s="20">
        <f t="shared" si="206"/>
        <v>377537.72382063809</v>
      </c>
      <c r="CJ99" s="24">
        <f t="shared" si="207"/>
        <v>0.26953103368356907</v>
      </c>
      <c r="CK99" s="24">
        <f t="shared" si="208"/>
        <v>1.9819722378178341E-2</v>
      </c>
      <c r="CL99" s="24">
        <f t="shared" si="209"/>
        <v>6.1559923858178163E-2</v>
      </c>
      <c r="CM99" s="25">
        <f t="shared" si="210"/>
        <v>0.29270218050479102</v>
      </c>
      <c r="CN99" s="17"/>
      <c r="CO99" s="17"/>
      <c r="CP99" s="17"/>
      <c r="CQ99" s="17"/>
      <c r="CR99" s="17"/>
      <c r="CS99" s="17"/>
      <c r="CT99" s="17"/>
      <c r="CU99" s="17"/>
      <c r="CV99" s="17"/>
      <c r="CW99" s="30">
        <v>0</v>
      </c>
      <c r="CX99" s="17"/>
      <c r="CY99" s="17"/>
      <c r="CZ99" s="17"/>
      <c r="DA99" s="17"/>
      <c r="DB99" s="17"/>
    </row>
    <row r="100" spans="1:106" ht="15.75" thickBot="1" x14ac:dyDescent="0.3">
      <c r="A100" s="5">
        <f t="shared" si="218"/>
        <v>32</v>
      </c>
      <c r="B100" s="5">
        <f t="shared" si="218"/>
        <v>30</v>
      </c>
      <c r="C100" s="1">
        <v>45261</v>
      </c>
      <c r="D100" s="4"/>
      <c r="E100" s="30"/>
      <c r="F100" s="30"/>
      <c r="G100" s="30">
        <f t="shared" si="211"/>
        <v>0</v>
      </c>
      <c r="H100" s="30"/>
      <c r="I100" s="10">
        <v>0</v>
      </c>
      <c r="J100" s="60">
        <v>9000</v>
      </c>
      <c r="K100" s="11">
        <v>550</v>
      </c>
      <c r="L100" s="60">
        <f t="shared" si="72"/>
        <v>9803.1700446923514</v>
      </c>
      <c r="M100" s="11">
        <v>305</v>
      </c>
      <c r="N100" s="60">
        <v>0</v>
      </c>
      <c r="O100" s="11">
        <v>0</v>
      </c>
      <c r="P100" s="11">
        <v>0</v>
      </c>
      <c r="Q100" s="60">
        <f>(Q99*($K$1/12))+Q99 + $Q$6</f>
        <v>55915.325889018444</v>
      </c>
      <c r="R100" s="60">
        <f>(R99*($K$1/12))+R99</f>
        <v>6365.7501972240489</v>
      </c>
      <c r="S100" s="60">
        <f>(S99*($K$1/12))+S99</f>
        <v>5526.7481899813301</v>
      </c>
      <c r="T100" s="60">
        <f>(T99*($K$1/12))+T99+$T$6 + ((3%/12)*T$11)</f>
        <v>240788.44279402329</v>
      </c>
      <c r="U100" s="60">
        <f>(U99*$K$1/12) + U99 + ((U$11/12*7%))</f>
        <v>31712.540134353989</v>
      </c>
      <c r="V100" s="60">
        <v>3100</v>
      </c>
      <c r="W100" s="60">
        <f>(W99*($K$1/12))+W99+$W$6</f>
        <v>21658.432761065469</v>
      </c>
      <c r="X100" s="11">
        <v>0</v>
      </c>
      <c r="Y100" s="60">
        <f>(Y99*($K$1/12))+Y99+$Y$6</f>
        <v>30562.429618783153</v>
      </c>
      <c r="Z100" s="60">
        <f>'Mortgage and Loans'!U62</f>
        <v>40752.270000000004</v>
      </c>
      <c r="AA100" s="12">
        <f t="shared" si="212"/>
        <v>456040.1096291421</v>
      </c>
      <c r="AB100" s="56">
        <f t="shared" si="181"/>
        <v>750</v>
      </c>
      <c r="AC100" s="56">
        <f t="shared" si="181"/>
        <v>750</v>
      </c>
      <c r="AD100" s="56">
        <f t="shared" si="181"/>
        <v>750</v>
      </c>
      <c r="AE100" s="56">
        <f t="shared" si="181"/>
        <v>750</v>
      </c>
      <c r="AF100" s="56">
        <f t="shared" si="219"/>
        <v>261.43972389896425</v>
      </c>
      <c r="AG100" s="56">
        <f t="shared" si="181"/>
        <v>750</v>
      </c>
      <c r="AH100" s="56">
        <f>'Mortgage and Loans'!AF57</f>
        <v>27798.277741334216</v>
      </c>
      <c r="AI100" s="56">
        <f>'Mortgage and Loans'!AQ57</f>
        <v>0</v>
      </c>
      <c r="AJ100" s="56">
        <f>'Mortgage and Loans'!BB57</f>
        <v>0</v>
      </c>
      <c r="AK100" s="56">
        <f>'Mortgage and Loans'!BM57</f>
        <v>0</v>
      </c>
      <c r="AL100" s="56">
        <f>'Mortgage and Loans'!T62</f>
        <v>139247.73000000001</v>
      </c>
      <c r="AM100" s="12">
        <f t="shared" si="12"/>
        <v>-171057.44746523318</v>
      </c>
      <c r="AN100" s="75">
        <f t="shared" si="85"/>
        <v>284982.66216390894</v>
      </c>
      <c r="AO100" s="86">
        <f>'Mortgage and Loans'!G63</f>
        <v>2872.1899999999996</v>
      </c>
      <c r="AP100" s="79">
        <f>('Salary Tax Breakdown'!B$16/12)-Data!AO100</f>
        <v>575.3100000000004</v>
      </c>
      <c r="AQ100" s="87"/>
      <c r="AR100" s="20">
        <f t="shared" si="182"/>
        <v>4011.4397238989641</v>
      </c>
      <c r="AS100" s="20">
        <v>750</v>
      </c>
      <c r="AT100" s="20">
        <v>0</v>
      </c>
      <c r="AU100" s="20">
        <f t="shared" si="183"/>
        <v>4761.4397238989641</v>
      </c>
      <c r="AV100" s="20">
        <f t="shared" si="184"/>
        <v>4761.4393351203325</v>
      </c>
      <c r="AW100" s="51">
        <f t="shared" si="213"/>
        <v>0</v>
      </c>
      <c r="AX100" s="51">
        <f t="shared" si="14"/>
        <v>0</v>
      </c>
      <c r="AY100" s="51">
        <f t="shared" si="15"/>
        <v>0</v>
      </c>
      <c r="AZ100" s="51">
        <f t="shared" si="16"/>
        <v>0</v>
      </c>
      <c r="BA100" s="51">
        <f t="shared" si="17"/>
        <v>0</v>
      </c>
      <c r="BB100" s="51">
        <f t="shared" si="18"/>
        <v>0</v>
      </c>
      <c r="BC100" s="51">
        <f t="shared" si="19"/>
        <v>0</v>
      </c>
      <c r="BD100" s="51">
        <f t="shared" si="20"/>
        <v>0</v>
      </c>
      <c r="BE100" s="51">
        <f t="shared" si="21"/>
        <v>0</v>
      </c>
      <c r="BF100" s="51">
        <f t="shared" si="22"/>
        <v>0</v>
      </c>
      <c r="BG100" s="51">
        <f t="shared" si="23"/>
        <v>0</v>
      </c>
      <c r="BH100" s="51">
        <f t="shared" si="24"/>
        <v>0</v>
      </c>
      <c r="BI100" s="51">
        <f t="shared" si="185"/>
        <v>0</v>
      </c>
      <c r="BJ100" s="51">
        <f t="shared" si="186"/>
        <v>0</v>
      </c>
      <c r="BK100" s="51">
        <f t="shared" si="187"/>
        <v>0</v>
      </c>
      <c r="BL100" s="51">
        <f t="shared" si="188"/>
        <v>0</v>
      </c>
      <c r="BM100" s="51">
        <f t="shared" si="189"/>
        <v>0</v>
      </c>
      <c r="BN100" s="51">
        <f t="shared" si="190"/>
        <v>0</v>
      </c>
      <c r="BO100" s="51">
        <f t="shared" si="191"/>
        <v>0</v>
      </c>
      <c r="BP100" s="51">
        <f t="shared" si="192"/>
        <v>0</v>
      </c>
      <c r="BQ100" s="51">
        <f t="shared" si="193"/>
        <v>0</v>
      </c>
      <c r="BR100" s="51">
        <f t="shared" si="194"/>
        <v>0</v>
      </c>
      <c r="BS100" s="51">
        <f t="shared" si="195"/>
        <v>0</v>
      </c>
      <c r="BT100" s="51">
        <f t="shared" si="196"/>
        <v>0</v>
      </c>
      <c r="BU100" s="20">
        <f t="shared" si="197"/>
        <v>4761.4396169334605</v>
      </c>
      <c r="BV100" s="20">
        <f t="shared" si="198"/>
        <v>4761.4397562971835</v>
      </c>
      <c r="BW100" s="20">
        <f t="shared" si="199"/>
        <v>57137.276686787569</v>
      </c>
      <c r="BX100" s="20">
        <f t="shared" si="200"/>
        <v>57137.275403201522</v>
      </c>
      <c r="BY100" s="20">
        <f t="shared" si="201"/>
        <v>57137.277075566206</v>
      </c>
      <c r="BZ100" s="21">
        <f t="shared" si="202"/>
        <v>57137.276388518432</v>
      </c>
      <c r="CA100" s="19">
        <f t="shared" si="216"/>
        <v>1428431.9097129607</v>
      </c>
      <c r="CB100" s="20">
        <f t="shared" si="203"/>
        <v>1428431.8816499056</v>
      </c>
      <c r="CC100" s="20">
        <f t="shared" si="204"/>
        <v>1428431.9198921395</v>
      </c>
      <c r="CD100" s="20">
        <f t="shared" si="217"/>
        <v>0</v>
      </c>
      <c r="CE100" s="20">
        <f t="shared" si="220"/>
        <v>1400000</v>
      </c>
      <c r="CF100" s="20">
        <f t="shared" si="214"/>
        <v>392529.66958444973</v>
      </c>
      <c r="CG100" s="20">
        <f t="shared" si="205"/>
        <v>15701.186783377989</v>
      </c>
      <c r="CH100" s="20">
        <f t="shared" si="215"/>
        <v>1308.4322319481657</v>
      </c>
      <c r="CI100" s="20">
        <f t="shared" si="206"/>
        <v>385020.22315799986</v>
      </c>
      <c r="CJ100" s="24">
        <f t="shared" si="207"/>
        <v>0.27479761172164513</v>
      </c>
      <c r="CK100" s="24">
        <f t="shared" si="208"/>
        <v>1.9539805683751039E-2</v>
      </c>
      <c r="CL100" s="24">
        <f t="shared" si="209"/>
        <v>6.0655442862088897E-2</v>
      </c>
      <c r="CM100" s="25">
        <f t="shared" si="210"/>
        <v>0.28748189643711641</v>
      </c>
      <c r="CN100" s="17"/>
      <c r="CO100" s="17"/>
      <c r="CP100" s="17"/>
      <c r="CQ100" s="17"/>
      <c r="CR100" s="17"/>
      <c r="CS100" s="17"/>
      <c r="CT100" s="17"/>
      <c r="CU100" s="17"/>
      <c r="CV100" s="17"/>
      <c r="CW100" s="30">
        <v>0</v>
      </c>
      <c r="CX100" s="17"/>
      <c r="CY100" s="17"/>
      <c r="CZ100" s="17"/>
      <c r="DA100" s="17"/>
      <c r="DB100" s="17"/>
    </row>
    <row r="101" spans="1:106" ht="15.75" thickBot="1" x14ac:dyDescent="0.3">
      <c r="A101" s="5">
        <f t="shared" si="218"/>
        <v>32</v>
      </c>
      <c r="B101" s="5">
        <f t="shared" si="218"/>
        <v>30</v>
      </c>
      <c r="C101" s="1">
        <v>45292</v>
      </c>
      <c r="D101" s="4"/>
      <c r="E101" s="30"/>
      <c r="F101" s="30"/>
      <c r="G101" s="30">
        <f t="shared" si="211"/>
        <v>0</v>
      </c>
      <c r="H101" s="30"/>
      <c r="I101" s="10">
        <v>0</v>
      </c>
      <c r="J101" s="60">
        <v>9000</v>
      </c>
      <c r="K101" s="11">
        <v>550</v>
      </c>
      <c r="L101" s="60">
        <f t="shared" si="72"/>
        <v>9815.0155418296872</v>
      </c>
      <c r="M101" s="11">
        <v>305</v>
      </c>
      <c r="N101" s="60">
        <v>0</v>
      </c>
      <c r="O101" s="11">
        <v>0</v>
      </c>
      <c r="P101" s="11">
        <v>0</v>
      </c>
      <c r="Q101" s="60">
        <f>(Q100*($K$1/12))+Q100 + $Q$6</f>
        <v>57134.870570917294</v>
      </c>
      <c r="R101" s="60">
        <f>(R100*($K$1/12))+R100</f>
        <v>6400.2313441256792</v>
      </c>
      <c r="S101" s="60">
        <f>(S100*($K$1/12))+S100</f>
        <v>5556.6847426770628</v>
      </c>
      <c r="T101" s="60">
        <f>(T100*($K$1/12))+T100+$T$6 + ((3%/12)*T$11)</f>
        <v>245267.71352582425</v>
      </c>
      <c r="U101" s="60">
        <f>(U100*$K$1/12) + U100 + ((U$11/12*7%))</f>
        <v>32292.649726748405</v>
      </c>
      <c r="V101" s="60">
        <v>3100</v>
      </c>
      <c r="W101" s="60">
        <f>(W100*($K$1/12))+W100+$W$6</f>
        <v>22063.249271854573</v>
      </c>
      <c r="X101" s="11">
        <v>0</v>
      </c>
      <c r="Y101" s="60">
        <f>(Y100*($K$1/12))+Y100+$Y$6</f>
        <v>31377.976112551562</v>
      </c>
      <c r="Z101" s="60">
        <f>'Mortgage and Loans'!U63</f>
        <v>41000.44</v>
      </c>
      <c r="AA101" s="12">
        <f t="shared" si="212"/>
        <v>463863.83083652856</v>
      </c>
      <c r="AB101" s="56">
        <f t="shared" si="181"/>
        <v>750</v>
      </c>
      <c r="AC101" s="56">
        <f t="shared" si="181"/>
        <v>750</v>
      </c>
      <c r="AD101" s="56">
        <f t="shared" si="181"/>
        <v>750</v>
      </c>
      <c r="AE101" s="56">
        <f t="shared" si="181"/>
        <v>750</v>
      </c>
      <c r="AF101" s="56">
        <f t="shared" si="219"/>
        <v>261.43975629718346</v>
      </c>
      <c r="AG101" s="56">
        <f t="shared" si="181"/>
        <v>750</v>
      </c>
      <c r="AH101" s="56">
        <f>'Mortgage and Loans'!AF58</f>
        <v>25776.507741334215</v>
      </c>
      <c r="AI101" s="56">
        <f>'Mortgage and Loans'!AQ58</f>
        <v>0</v>
      </c>
      <c r="AJ101" s="56">
        <f>'Mortgage and Loans'!BB58</f>
        <v>0</v>
      </c>
      <c r="AK101" s="56">
        <f>'Mortgage and Loans'!BM58</f>
        <v>0</v>
      </c>
      <c r="AL101" s="56">
        <f>'Mortgage and Loans'!T63</f>
        <v>138999.56</v>
      </c>
      <c r="AM101" s="12">
        <f t="shared" si="12"/>
        <v>-168787.50749763139</v>
      </c>
      <c r="AN101" s="75">
        <f t="shared" si="85"/>
        <v>295076.3233388972</v>
      </c>
      <c r="AO101" s="86">
        <f>'Mortgage and Loans'!G64</f>
        <v>2872.1899999999996</v>
      </c>
      <c r="AP101" s="79">
        <f>('Salary Tax Breakdown'!B$16/12)-Data!AO101</f>
        <v>575.3100000000004</v>
      </c>
      <c r="AQ101" s="87"/>
      <c r="AR101" s="20">
        <f t="shared" si="182"/>
        <v>4011.4397562971835</v>
      </c>
      <c r="AS101" s="20">
        <v>750</v>
      </c>
      <c r="AT101" s="20">
        <v>0</v>
      </c>
      <c r="AU101" s="20">
        <f t="shared" si="183"/>
        <v>4761.4397562971835</v>
      </c>
      <c r="AV101" s="20">
        <f t="shared" si="184"/>
        <v>4761.4399738294342</v>
      </c>
      <c r="AW101" s="51">
        <f t="shared" si="213"/>
        <v>0</v>
      </c>
      <c r="AX101" s="51">
        <f t="shared" si="14"/>
        <v>0</v>
      </c>
      <c r="AY101" s="51">
        <f t="shared" si="15"/>
        <v>0</v>
      </c>
      <c r="AZ101" s="51">
        <f t="shared" si="16"/>
        <v>0</v>
      </c>
      <c r="BA101" s="51">
        <f t="shared" si="17"/>
        <v>0</v>
      </c>
      <c r="BB101" s="51">
        <f t="shared" si="18"/>
        <v>0</v>
      </c>
      <c r="BC101" s="51">
        <f t="shared" si="19"/>
        <v>0</v>
      </c>
      <c r="BD101" s="51">
        <f t="shared" si="20"/>
        <v>0</v>
      </c>
      <c r="BE101" s="51">
        <f t="shared" si="21"/>
        <v>0</v>
      </c>
      <c r="BF101" s="51">
        <f t="shared" si="22"/>
        <v>0</v>
      </c>
      <c r="BG101" s="51">
        <f t="shared" si="23"/>
        <v>0</v>
      </c>
      <c r="BH101" s="51">
        <f t="shared" si="24"/>
        <v>0</v>
      </c>
      <c r="BI101" s="51">
        <f t="shared" si="185"/>
        <v>0</v>
      </c>
      <c r="BJ101" s="51">
        <f t="shared" si="186"/>
        <v>0</v>
      </c>
      <c r="BK101" s="51">
        <f t="shared" si="187"/>
        <v>0</v>
      </c>
      <c r="BL101" s="51">
        <f t="shared" si="188"/>
        <v>0</v>
      </c>
      <c r="BM101" s="51">
        <f t="shared" si="189"/>
        <v>0</v>
      </c>
      <c r="BN101" s="51">
        <f t="shared" si="190"/>
        <v>0</v>
      </c>
      <c r="BO101" s="51">
        <f t="shared" si="191"/>
        <v>0</v>
      </c>
      <c r="BP101" s="51">
        <f t="shared" si="192"/>
        <v>0</v>
      </c>
      <c r="BQ101" s="51">
        <f t="shared" si="193"/>
        <v>0</v>
      </c>
      <c r="BR101" s="51">
        <f t="shared" si="194"/>
        <v>0</v>
      </c>
      <c r="BS101" s="51">
        <f t="shared" si="195"/>
        <v>0</v>
      </c>
      <c r="BT101" s="51">
        <f t="shared" si="196"/>
        <v>0</v>
      </c>
      <c r="BU101" s="20">
        <f t="shared" si="197"/>
        <v>4761.439704454714</v>
      </c>
      <c r="BV101" s="20">
        <f t="shared" si="198"/>
        <v>4761.4397381694971</v>
      </c>
      <c r="BW101" s="20">
        <f t="shared" si="199"/>
        <v>57137.277075566206</v>
      </c>
      <c r="BX101" s="20">
        <f t="shared" si="200"/>
        <v>57137.276453456565</v>
      </c>
      <c r="BY101" s="20">
        <f t="shared" si="201"/>
        <v>57137.276858033962</v>
      </c>
      <c r="BZ101" s="21">
        <f t="shared" si="202"/>
        <v>57137.276795685582</v>
      </c>
      <c r="CA101" s="19">
        <f t="shared" si="216"/>
        <v>1428431.9198921395</v>
      </c>
      <c r="CB101" s="20">
        <f t="shared" si="203"/>
        <v>1428431.9048857307</v>
      </c>
      <c r="CC101" s="20">
        <f t="shared" si="204"/>
        <v>1428431.9162256941</v>
      </c>
      <c r="CD101" s="20">
        <f t="shared" si="217"/>
        <v>0</v>
      </c>
      <c r="CE101" s="20">
        <f t="shared" si="220"/>
        <v>1400000</v>
      </c>
      <c r="CF101" s="20">
        <f t="shared" si="214"/>
        <v>400093.37529469887</v>
      </c>
      <c r="CG101" s="20">
        <f t="shared" si="205"/>
        <v>16003.735011787956</v>
      </c>
      <c r="CH101" s="20">
        <f t="shared" si="215"/>
        <v>1333.644584315663</v>
      </c>
      <c r="CI101" s="20">
        <f t="shared" si="206"/>
        <v>392543.25270010572</v>
      </c>
      <c r="CJ101" s="24">
        <f t="shared" si="207"/>
        <v>0.28009271840417543</v>
      </c>
      <c r="CK101" s="24">
        <f t="shared" si="208"/>
        <v>1.9269131218173727E-2</v>
      </c>
      <c r="CL101" s="24">
        <f t="shared" si="209"/>
        <v>5.9781819139340123E-2</v>
      </c>
      <c r="CM101" s="25">
        <f t="shared" si="210"/>
        <v>0.28247122062602564</v>
      </c>
      <c r="CN101" s="17"/>
      <c r="CO101" s="17"/>
      <c r="CP101" s="17"/>
      <c r="CQ101" s="17"/>
      <c r="CR101" s="17"/>
      <c r="CS101" s="17"/>
      <c r="CT101" s="17"/>
      <c r="CU101" s="17"/>
      <c r="CV101" s="17"/>
      <c r="CW101" s="30">
        <v>0</v>
      </c>
      <c r="CX101" s="17"/>
      <c r="CY101" s="17"/>
      <c r="CZ101" s="17"/>
      <c r="DA101" s="17"/>
      <c r="DB101" s="17"/>
    </row>
    <row r="102" spans="1:106" ht="15.75" thickBot="1" x14ac:dyDescent="0.3">
      <c r="A102" s="5">
        <f t="shared" si="218"/>
        <v>32</v>
      </c>
      <c r="B102" s="5">
        <f t="shared" si="218"/>
        <v>30</v>
      </c>
      <c r="C102" s="1">
        <v>45323</v>
      </c>
      <c r="D102" s="4"/>
      <c r="E102" s="30"/>
      <c r="F102" s="30"/>
      <c r="G102" s="30">
        <f t="shared" si="211"/>
        <v>0</v>
      </c>
      <c r="H102" s="30"/>
      <c r="I102" s="10">
        <v>0</v>
      </c>
      <c r="J102" s="60">
        <v>9000</v>
      </c>
      <c r="K102" s="11">
        <v>550</v>
      </c>
      <c r="L102" s="60">
        <f t="shared" si="72"/>
        <v>9826.8753522760635</v>
      </c>
      <c r="M102" s="11">
        <v>305</v>
      </c>
      <c r="N102" s="60">
        <v>0</v>
      </c>
      <c r="O102" s="11">
        <v>0</v>
      </c>
      <c r="P102" s="11">
        <v>0</v>
      </c>
      <c r="Q102" s="60">
        <f>(Q101*($K$1/12))+Q101 + $Q$6</f>
        <v>58361.021119843092</v>
      </c>
      <c r="R102" s="60">
        <f>(R101*($K$1/12))+R101</f>
        <v>6434.8992639063599</v>
      </c>
      <c r="S102" s="60">
        <f>(S101*($K$1/12))+S101</f>
        <v>5586.7834516998964</v>
      </c>
      <c r="T102" s="60">
        <f>(T101*($K$1/12))+T101+$T$6 + ((3%/12)*T$11)</f>
        <v>249771.24697408912</v>
      </c>
      <c r="U102" s="60">
        <f>(U101*$K$1/12) + U101 + ((U$11/12*7%))</f>
        <v>32875.901579434962</v>
      </c>
      <c r="V102" s="60">
        <v>3100</v>
      </c>
      <c r="W102" s="60">
        <f>(W101*($K$1/12))+W101+$W$6</f>
        <v>22470.258538743787</v>
      </c>
      <c r="X102" s="11">
        <v>0</v>
      </c>
      <c r="Y102" s="60">
        <f>(Y101*($K$1/12))+Y101+$Y$6</f>
        <v>32197.940149827882</v>
      </c>
      <c r="Z102" s="60">
        <f>'Mortgage and Loans'!U64</f>
        <v>41249.460000000006</v>
      </c>
      <c r="AA102" s="12">
        <f t="shared" si="212"/>
        <v>471729.3864298212</v>
      </c>
      <c r="AB102" s="56">
        <f t="shared" si="181"/>
        <v>750</v>
      </c>
      <c r="AC102" s="56">
        <f t="shared" si="181"/>
        <v>750</v>
      </c>
      <c r="AD102" s="56">
        <f t="shared" si="181"/>
        <v>750</v>
      </c>
      <c r="AE102" s="56">
        <f t="shared" si="181"/>
        <v>750</v>
      </c>
      <c r="AF102" s="56">
        <f t="shared" si="219"/>
        <v>261.43973816949597</v>
      </c>
      <c r="AG102" s="56">
        <f t="shared" si="181"/>
        <v>750</v>
      </c>
      <c r="AH102" s="56">
        <f>'Mortgage and Loans'!AF59</f>
        <v>23745.787741334214</v>
      </c>
      <c r="AI102" s="56">
        <f>'Mortgage and Loans'!AQ59</f>
        <v>0</v>
      </c>
      <c r="AJ102" s="56">
        <f>'Mortgage and Loans'!BB59</f>
        <v>0</v>
      </c>
      <c r="AK102" s="56">
        <f>'Mortgage and Loans'!BM59</f>
        <v>0</v>
      </c>
      <c r="AL102" s="56">
        <f>'Mortgage and Loans'!T64</f>
        <v>138750.54</v>
      </c>
      <c r="AM102" s="12">
        <f t="shared" si="12"/>
        <v>-166507.7674795037</v>
      </c>
      <c r="AN102" s="75">
        <f t="shared" si="85"/>
        <v>305221.6189503175</v>
      </c>
      <c r="AO102" s="86">
        <f>'Mortgage and Loans'!G65</f>
        <v>2872.1899999999996</v>
      </c>
      <c r="AP102" s="79">
        <f>('Salary Tax Breakdown'!B$16/12)-Data!AO102</f>
        <v>575.3100000000004</v>
      </c>
      <c r="AQ102" s="87"/>
      <c r="AR102" s="20">
        <f t="shared" si="182"/>
        <v>4011.4397381694962</v>
      </c>
      <c r="AS102" s="20">
        <v>750</v>
      </c>
      <c r="AT102" s="20">
        <v>0</v>
      </c>
      <c r="AU102" s="20">
        <f t="shared" si="183"/>
        <v>4761.4397381694962</v>
      </c>
      <c r="AV102" s="20">
        <f t="shared" si="184"/>
        <v>4761.4403806166956</v>
      </c>
      <c r="AW102" s="51">
        <f t="shared" si="213"/>
        <v>0</v>
      </c>
      <c r="AX102" s="51">
        <f t="shared" si="14"/>
        <v>0</v>
      </c>
      <c r="AY102" s="51">
        <f t="shared" si="15"/>
        <v>0</v>
      </c>
      <c r="AZ102" s="51">
        <f t="shared" si="16"/>
        <v>0</v>
      </c>
      <c r="BA102" s="51">
        <f t="shared" si="17"/>
        <v>0</v>
      </c>
      <c r="BB102" s="51">
        <f t="shared" si="18"/>
        <v>0</v>
      </c>
      <c r="BC102" s="51">
        <f t="shared" si="19"/>
        <v>0</v>
      </c>
      <c r="BD102" s="51">
        <f t="shared" si="20"/>
        <v>0</v>
      </c>
      <c r="BE102" s="51">
        <f t="shared" si="21"/>
        <v>0</v>
      </c>
      <c r="BF102" s="51">
        <f t="shared" si="22"/>
        <v>0</v>
      </c>
      <c r="BG102" s="51">
        <f t="shared" si="23"/>
        <v>0</v>
      </c>
      <c r="BH102" s="51">
        <f t="shared" si="24"/>
        <v>0</v>
      </c>
      <c r="BI102" s="51">
        <f t="shared" si="185"/>
        <v>0</v>
      </c>
      <c r="BJ102" s="51">
        <f t="shared" si="186"/>
        <v>0</v>
      </c>
      <c r="BK102" s="51">
        <f t="shared" si="187"/>
        <v>0</v>
      </c>
      <c r="BL102" s="51">
        <f t="shared" si="188"/>
        <v>0</v>
      </c>
      <c r="BM102" s="51">
        <f t="shared" si="189"/>
        <v>0</v>
      </c>
      <c r="BN102" s="51">
        <f t="shared" si="190"/>
        <v>0</v>
      </c>
      <c r="BO102" s="51">
        <f t="shared" si="191"/>
        <v>0</v>
      </c>
      <c r="BP102" s="51">
        <f t="shared" si="192"/>
        <v>0</v>
      </c>
      <c r="BQ102" s="51">
        <f t="shared" si="193"/>
        <v>0</v>
      </c>
      <c r="BR102" s="51">
        <f t="shared" si="194"/>
        <v>0</v>
      </c>
      <c r="BS102" s="51">
        <f t="shared" si="195"/>
        <v>0</v>
      </c>
      <c r="BT102" s="51">
        <f t="shared" si="196"/>
        <v>0</v>
      </c>
      <c r="BU102" s="20">
        <f t="shared" si="197"/>
        <v>4761.4397394552152</v>
      </c>
      <c r="BV102" s="20">
        <f t="shared" si="198"/>
        <v>4761.4396846322297</v>
      </c>
      <c r="BW102" s="20">
        <f t="shared" si="199"/>
        <v>57137.276858033954</v>
      </c>
      <c r="BX102" s="20">
        <f t="shared" si="200"/>
        <v>57137.276873462586</v>
      </c>
      <c r="BY102" s="20">
        <f t="shared" si="201"/>
        <v>57137.276215586753</v>
      </c>
      <c r="BZ102" s="21">
        <f t="shared" si="202"/>
        <v>57137.276649027765</v>
      </c>
      <c r="CA102" s="19">
        <f t="shared" si="216"/>
        <v>1428431.9162256941</v>
      </c>
      <c r="CB102" s="20">
        <f t="shared" si="203"/>
        <v>1428431.9152769316</v>
      </c>
      <c r="CC102" s="20">
        <f t="shared" si="204"/>
        <v>1428431.9032272256</v>
      </c>
      <c r="CD102" s="20">
        <f t="shared" si="217"/>
        <v>0</v>
      </c>
      <c r="CE102" s="20">
        <f t="shared" si="220"/>
        <v>1400000</v>
      </c>
      <c r="CF102" s="20">
        <f t="shared" si="214"/>
        <v>407698.0510775451</v>
      </c>
      <c r="CG102" s="20">
        <f t="shared" si="205"/>
        <v>16307.922043101804</v>
      </c>
      <c r="CH102" s="20">
        <f t="shared" si="215"/>
        <v>1358.993503591817</v>
      </c>
      <c r="CI102" s="20">
        <f t="shared" si="206"/>
        <v>400107.03198556456</v>
      </c>
      <c r="CJ102" s="24">
        <f t="shared" si="207"/>
        <v>0.28541650933254614</v>
      </c>
      <c r="CK102" s="24">
        <f t="shared" si="208"/>
        <v>1.9007252437621126E-2</v>
      </c>
      <c r="CL102" s="24">
        <f t="shared" si="209"/>
        <v>5.893751219694069E-2</v>
      </c>
      <c r="CM102" s="25">
        <f t="shared" si="210"/>
        <v>0.2776578458953573</v>
      </c>
      <c r="CN102" s="17"/>
      <c r="CO102" s="17"/>
      <c r="CP102" s="17"/>
      <c r="CQ102" s="17"/>
      <c r="CR102" s="17"/>
      <c r="CS102" s="17"/>
      <c r="CT102" s="17"/>
      <c r="CU102" s="17"/>
      <c r="CV102" s="17"/>
      <c r="CW102" s="30">
        <v>0</v>
      </c>
      <c r="CX102" s="17"/>
      <c r="CY102" s="17"/>
      <c r="CZ102" s="17"/>
      <c r="DA102" s="17"/>
      <c r="DB102" s="17"/>
    </row>
    <row r="103" spans="1:106" ht="15.75" thickBot="1" x14ac:dyDescent="0.3">
      <c r="A103" s="5">
        <f t="shared" si="218"/>
        <v>32</v>
      </c>
      <c r="B103" s="5">
        <f t="shared" si="218"/>
        <v>30</v>
      </c>
      <c r="C103" s="1">
        <v>45352</v>
      </c>
      <c r="D103" s="4"/>
      <c r="E103" s="30"/>
      <c r="F103" s="30"/>
      <c r="G103" s="30">
        <f t="shared" si="211"/>
        <v>0</v>
      </c>
      <c r="H103" s="30"/>
      <c r="I103" s="10">
        <v>0</v>
      </c>
      <c r="J103" s="60">
        <v>9000</v>
      </c>
      <c r="K103" s="11">
        <v>550</v>
      </c>
      <c r="L103" s="60">
        <f t="shared" si="72"/>
        <v>9838.7494933267299</v>
      </c>
      <c r="M103" s="11">
        <v>305</v>
      </c>
      <c r="N103" s="60">
        <v>0</v>
      </c>
      <c r="O103" s="11">
        <v>0</v>
      </c>
      <c r="P103" s="11">
        <v>0</v>
      </c>
      <c r="Q103" s="60">
        <f>(Q102*($K$1/12))+Q102 + $Q$6</f>
        <v>59593.813317575572</v>
      </c>
      <c r="R103" s="60">
        <f>(R102*($K$1/12))+R102</f>
        <v>6469.7549682525196</v>
      </c>
      <c r="S103" s="60">
        <f>(S102*($K$1/12))+S102</f>
        <v>5617.045195396604</v>
      </c>
      <c r="T103" s="60">
        <f>(T102*($K$1/12))+T102+$T$6 + ((3%/12)*T$11)</f>
        <v>254299.17456186545</v>
      </c>
      <c r="U103" s="60">
        <f>(U102*$K$1/12) + U102 + ((U$11/12*7%))</f>
        <v>33462.312712990235</v>
      </c>
      <c r="V103" s="60">
        <v>3100</v>
      </c>
      <c r="W103" s="60">
        <f>(W102*($K$1/12))+W102+$W$6</f>
        <v>22879.472439161982</v>
      </c>
      <c r="X103" s="11">
        <v>0</v>
      </c>
      <c r="Y103" s="60">
        <f>(Y102*($K$1/12))+Y102+$Y$6</f>
        <v>33022.345658972787</v>
      </c>
      <c r="Z103" s="60">
        <f>'Mortgage and Loans'!U65</f>
        <v>41499.340000000004</v>
      </c>
      <c r="AA103" s="12">
        <f t="shared" si="212"/>
        <v>479637.00834754191</v>
      </c>
      <c r="AB103" s="56">
        <f t="shared" si="181"/>
        <v>750</v>
      </c>
      <c r="AC103" s="56">
        <f t="shared" si="181"/>
        <v>750</v>
      </c>
      <c r="AD103" s="56">
        <f t="shared" si="181"/>
        <v>750</v>
      </c>
      <c r="AE103" s="56">
        <f t="shared" si="181"/>
        <v>750</v>
      </c>
      <c r="AF103" s="56">
        <f t="shared" si="219"/>
        <v>261.43968463222933</v>
      </c>
      <c r="AG103" s="56">
        <f t="shared" si="181"/>
        <v>750</v>
      </c>
      <c r="AH103" s="56">
        <f>'Mortgage and Loans'!AF60</f>
        <v>21706.087741334213</v>
      </c>
      <c r="AI103" s="56">
        <f>'Mortgage and Loans'!AQ60</f>
        <v>0</v>
      </c>
      <c r="AJ103" s="56">
        <f>'Mortgage and Loans'!BB60</f>
        <v>0</v>
      </c>
      <c r="AK103" s="56">
        <f>'Mortgage and Loans'!BM60</f>
        <v>0</v>
      </c>
      <c r="AL103" s="56">
        <f>'Mortgage and Loans'!T65</f>
        <v>138500.66</v>
      </c>
      <c r="AM103" s="12">
        <f t="shared" si="12"/>
        <v>-164218.18742596643</v>
      </c>
      <c r="AN103" s="75">
        <f t="shared" si="85"/>
        <v>315418.82092157548</v>
      </c>
      <c r="AO103" s="86">
        <f>'Mortgage and Loans'!G66</f>
        <v>2872.1899999999996</v>
      </c>
      <c r="AP103" s="79">
        <f>('Salary Tax Breakdown'!B$16/12)-Data!AO103</f>
        <v>575.3100000000004</v>
      </c>
      <c r="AQ103" s="87"/>
      <c r="AR103" s="20">
        <f t="shared" si="182"/>
        <v>4011.4396846322293</v>
      </c>
      <c r="AS103" s="20">
        <v>750</v>
      </c>
      <c r="AT103" s="20">
        <v>0</v>
      </c>
      <c r="AU103" s="20">
        <f t="shared" si="183"/>
        <v>4761.4396846322288</v>
      </c>
      <c r="AV103" s="20">
        <f t="shared" si="184"/>
        <v>4761.4404449343328</v>
      </c>
      <c r="AW103" s="51">
        <f t="shared" si="213"/>
        <v>0</v>
      </c>
      <c r="AX103" s="51">
        <f t="shared" si="14"/>
        <v>0</v>
      </c>
      <c r="AY103" s="51">
        <f t="shared" si="15"/>
        <v>0</v>
      </c>
      <c r="AZ103" s="51">
        <f t="shared" si="16"/>
        <v>0</v>
      </c>
      <c r="BA103" s="51">
        <f t="shared" si="17"/>
        <v>0</v>
      </c>
      <c r="BB103" s="51">
        <f t="shared" si="18"/>
        <v>0</v>
      </c>
      <c r="BC103" s="51">
        <f t="shared" si="19"/>
        <v>0</v>
      </c>
      <c r="BD103" s="51">
        <f t="shared" si="20"/>
        <v>0</v>
      </c>
      <c r="BE103" s="51">
        <f t="shared" si="21"/>
        <v>0</v>
      </c>
      <c r="BF103" s="51">
        <f t="shared" si="22"/>
        <v>0</v>
      </c>
      <c r="BG103" s="51">
        <f t="shared" si="23"/>
        <v>0</v>
      </c>
      <c r="BH103" s="51">
        <f t="shared" si="24"/>
        <v>0</v>
      </c>
      <c r="BI103" s="51">
        <f t="shared" si="185"/>
        <v>0</v>
      </c>
      <c r="BJ103" s="51">
        <f t="shared" si="186"/>
        <v>0</v>
      </c>
      <c r="BK103" s="51">
        <f t="shared" si="187"/>
        <v>0</v>
      </c>
      <c r="BL103" s="51">
        <f t="shared" si="188"/>
        <v>0</v>
      </c>
      <c r="BM103" s="51">
        <f t="shared" si="189"/>
        <v>0</v>
      </c>
      <c r="BN103" s="51">
        <f t="shared" si="190"/>
        <v>0</v>
      </c>
      <c r="BO103" s="51">
        <f t="shared" si="191"/>
        <v>0</v>
      </c>
      <c r="BP103" s="51">
        <f t="shared" si="192"/>
        <v>0</v>
      </c>
      <c r="BQ103" s="51">
        <f t="shared" si="193"/>
        <v>0</v>
      </c>
      <c r="BR103" s="51">
        <f t="shared" si="194"/>
        <v>0</v>
      </c>
      <c r="BS103" s="51">
        <f t="shared" si="195"/>
        <v>0</v>
      </c>
      <c r="BT103" s="51">
        <f t="shared" si="196"/>
        <v>0</v>
      </c>
      <c r="BU103" s="20">
        <f t="shared" si="197"/>
        <v>4761.4397263663031</v>
      </c>
      <c r="BV103" s="20">
        <f t="shared" si="198"/>
        <v>4761.4396212737201</v>
      </c>
      <c r="BW103" s="20">
        <f t="shared" si="199"/>
        <v>57137.276215586746</v>
      </c>
      <c r="BX103" s="20">
        <f t="shared" si="200"/>
        <v>57137.276716395638</v>
      </c>
      <c r="BY103" s="20">
        <f t="shared" si="201"/>
        <v>57137.275455284645</v>
      </c>
      <c r="BZ103" s="21">
        <f t="shared" si="202"/>
        <v>57137.276129089005</v>
      </c>
      <c r="CA103" s="19">
        <f t="shared" si="216"/>
        <v>1428431.9032272252</v>
      </c>
      <c r="CB103" s="20">
        <f t="shared" si="203"/>
        <v>1428431.9131150197</v>
      </c>
      <c r="CC103" s="20">
        <f t="shared" si="204"/>
        <v>1428431.8878251326</v>
      </c>
      <c r="CD103" s="20">
        <f t="shared" si="217"/>
        <v>0</v>
      </c>
      <c r="CE103" s="20">
        <f t="shared" si="220"/>
        <v>1400000</v>
      </c>
      <c r="CF103" s="20">
        <f t="shared" si="214"/>
        <v>415343.91885421512</v>
      </c>
      <c r="CG103" s="20">
        <f t="shared" si="205"/>
        <v>16613.756754168604</v>
      </c>
      <c r="CH103" s="20">
        <f t="shared" si="215"/>
        <v>1384.4797295140504</v>
      </c>
      <c r="CI103" s="20">
        <f t="shared" si="206"/>
        <v>407711.78174215305</v>
      </c>
      <c r="CJ103" s="24">
        <f t="shared" si="207"/>
        <v>0.29076913995043946</v>
      </c>
      <c r="CK103" s="24">
        <f t="shared" si="208"/>
        <v>1.8753751106884164E-2</v>
      </c>
      <c r="CL103" s="24">
        <f t="shared" si="209"/>
        <v>5.812108239847863E-2</v>
      </c>
      <c r="CM103" s="25">
        <f t="shared" si="210"/>
        <v>0.2730304100316408</v>
      </c>
      <c r="CN103" s="17"/>
      <c r="CO103" s="17"/>
      <c r="CP103" s="17"/>
      <c r="CQ103" s="17"/>
      <c r="CR103" s="17"/>
      <c r="CS103" s="17"/>
      <c r="CT103" s="17"/>
      <c r="CU103" s="17"/>
      <c r="CV103" s="17"/>
      <c r="CW103" s="30">
        <v>0</v>
      </c>
      <c r="CX103" s="17"/>
      <c r="CY103" s="17"/>
      <c r="CZ103" s="17"/>
      <c r="DA103" s="17"/>
      <c r="DB103" s="17"/>
    </row>
    <row r="104" spans="1:106" ht="15.75" thickBot="1" x14ac:dyDescent="0.3">
      <c r="A104" s="5">
        <f t="shared" si="218"/>
        <v>32</v>
      </c>
      <c r="B104" s="5">
        <f t="shared" si="218"/>
        <v>30</v>
      </c>
      <c r="C104" s="1">
        <v>45383</v>
      </c>
      <c r="D104" s="4"/>
      <c r="E104" s="30"/>
      <c r="F104" s="30"/>
      <c r="G104" s="30">
        <f t="shared" si="211"/>
        <v>0</v>
      </c>
      <c r="H104" s="30"/>
      <c r="I104" s="10">
        <v>0</v>
      </c>
      <c r="J104" s="60">
        <v>9000</v>
      </c>
      <c r="K104" s="11">
        <v>550</v>
      </c>
      <c r="L104" s="60">
        <f t="shared" si="72"/>
        <v>9850.6379822978324</v>
      </c>
      <c r="M104" s="11">
        <v>305</v>
      </c>
      <c r="N104" s="60">
        <v>0</v>
      </c>
      <c r="O104" s="11">
        <v>0</v>
      </c>
      <c r="P104" s="11">
        <v>0</v>
      </c>
      <c r="Q104" s="60">
        <f>(Q103*($K$1/12))+Q103 + $Q$6</f>
        <v>60833.283139712439</v>
      </c>
      <c r="R104" s="60">
        <f>(R103*($K$1/12))+R103</f>
        <v>6504.7994743305544</v>
      </c>
      <c r="S104" s="60">
        <f>(S103*($K$1/12))+S103</f>
        <v>5647.4708568716687</v>
      </c>
      <c r="T104" s="60">
        <f>(T103*($K$1/12))+T103+$T$6 + ((3%/12)*T$11)</f>
        <v>258851.62842407555</v>
      </c>
      <c r="U104" s="60">
        <f>(U103*$K$1/12) + U103 + ((U$11/12*7%))</f>
        <v>34051.900240185598</v>
      </c>
      <c r="V104" s="60">
        <v>3100</v>
      </c>
      <c r="W104" s="60">
        <f>(W103*($K$1/12))+W103+$W$6</f>
        <v>23290.90291487411</v>
      </c>
      <c r="X104" s="11">
        <v>0</v>
      </c>
      <c r="Y104" s="60">
        <f>(Y103*($K$1/12))+Y103+$Y$6</f>
        <v>33851.216697958887</v>
      </c>
      <c r="Z104" s="60">
        <f>'Mortgage and Loans'!U66</f>
        <v>41750.080000000002</v>
      </c>
      <c r="AA104" s="12">
        <f t="shared" si="212"/>
        <v>487586.91973030666</v>
      </c>
      <c r="AB104" s="56">
        <f t="shared" si="181"/>
        <v>750</v>
      </c>
      <c r="AC104" s="56">
        <f t="shared" si="181"/>
        <v>750</v>
      </c>
      <c r="AD104" s="56">
        <f t="shared" si="181"/>
        <v>750</v>
      </c>
      <c r="AE104" s="56">
        <f t="shared" si="181"/>
        <v>750</v>
      </c>
      <c r="AF104" s="56">
        <f t="shared" si="219"/>
        <v>261.43962127372072</v>
      </c>
      <c r="AG104" s="56">
        <f t="shared" si="181"/>
        <v>750</v>
      </c>
      <c r="AH104" s="56">
        <f>'Mortgage and Loans'!AF61</f>
        <v>19657.357741334214</v>
      </c>
      <c r="AI104" s="56">
        <f>'Mortgage and Loans'!AQ61</f>
        <v>0</v>
      </c>
      <c r="AJ104" s="56">
        <f>'Mortgage and Loans'!BB61</f>
        <v>0</v>
      </c>
      <c r="AK104" s="56">
        <f>'Mortgage and Loans'!BM61</f>
        <v>0</v>
      </c>
      <c r="AL104" s="56">
        <f>'Mortgage and Loans'!T66</f>
        <v>138249.92000000001</v>
      </c>
      <c r="AM104" s="12">
        <f t="shared" si="12"/>
        <v>-161918.71736260795</v>
      </c>
      <c r="AN104" s="75">
        <f t="shared" si="85"/>
        <v>325668.20236769872</v>
      </c>
      <c r="AO104" s="86">
        <f>'Mortgage and Loans'!G67</f>
        <v>2872.1899999999996</v>
      </c>
      <c r="AP104" s="79">
        <f>('Salary Tax Breakdown'!B$16/12)-Data!AO104</f>
        <v>575.3100000000004</v>
      </c>
      <c r="AQ104" s="87"/>
      <c r="AR104" s="20">
        <f t="shared" si="182"/>
        <v>4011.4396212737206</v>
      </c>
      <c r="AS104" s="20">
        <v>750</v>
      </c>
      <c r="AT104" s="20">
        <v>0</v>
      </c>
      <c r="AU104" s="20">
        <f t="shared" si="183"/>
        <v>4761.4396212737211</v>
      </c>
      <c r="AV104" s="20">
        <f t="shared" si="184"/>
        <v>4761.4401691289168</v>
      </c>
      <c r="AW104" s="51">
        <f t="shared" si="213"/>
        <v>0</v>
      </c>
      <c r="AX104" s="51">
        <f t="shared" si="14"/>
        <v>0</v>
      </c>
      <c r="AY104" s="51">
        <f t="shared" si="15"/>
        <v>0</v>
      </c>
      <c r="AZ104" s="51">
        <f t="shared" si="16"/>
        <v>0</v>
      </c>
      <c r="BA104" s="51">
        <f t="shared" si="17"/>
        <v>0</v>
      </c>
      <c r="BB104" s="51">
        <f t="shared" si="18"/>
        <v>0</v>
      </c>
      <c r="BC104" s="51">
        <f t="shared" si="19"/>
        <v>0</v>
      </c>
      <c r="BD104" s="51">
        <f t="shared" si="20"/>
        <v>0</v>
      </c>
      <c r="BE104" s="51">
        <f t="shared" si="21"/>
        <v>0</v>
      </c>
      <c r="BF104" s="51">
        <f t="shared" si="22"/>
        <v>0</v>
      </c>
      <c r="BG104" s="51">
        <f t="shared" si="23"/>
        <v>0</v>
      </c>
      <c r="BH104" s="51">
        <f t="shared" si="24"/>
        <v>0</v>
      </c>
      <c r="BI104" s="51">
        <f t="shared" si="185"/>
        <v>0</v>
      </c>
      <c r="BJ104" s="51">
        <f t="shared" si="186"/>
        <v>0</v>
      </c>
      <c r="BK104" s="51">
        <f t="shared" si="187"/>
        <v>0</v>
      </c>
      <c r="BL104" s="51">
        <f t="shared" si="188"/>
        <v>0</v>
      </c>
      <c r="BM104" s="51">
        <f t="shared" si="189"/>
        <v>0</v>
      </c>
      <c r="BN104" s="51">
        <f t="shared" si="190"/>
        <v>0</v>
      </c>
      <c r="BO104" s="51">
        <f t="shared" si="191"/>
        <v>0</v>
      </c>
      <c r="BP104" s="51">
        <f t="shared" si="192"/>
        <v>0</v>
      </c>
      <c r="BQ104" s="51">
        <f t="shared" si="193"/>
        <v>0</v>
      </c>
      <c r="BR104" s="51">
        <f t="shared" si="194"/>
        <v>0</v>
      </c>
      <c r="BS104" s="51">
        <f t="shared" si="195"/>
        <v>0</v>
      </c>
      <c r="BT104" s="51">
        <f t="shared" si="196"/>
        <v>0</v>
      </c>
      <c r="BU104" s="20">
        <f t="shared" si="197"/>
        <v>4761.4396813584817</v>
      </c>
      <c r="BV104" s="20">
        <f t="shared" si="198"/>
        <v>4761.4395756191207</v>
      </c>
      <c r="BW104" s="20">
        <f t="shared" si="199"/>
        <v>57137.275455284653</v>
      </c>
      <c r="BX104" s="20">
        <f t="shared" si="200"/>
        <v>57137.276176301777</v>
      </c>
      <c r="BY104" s="20">
        <f t="shared" si="201"/>
        <v>57137.274907429448</v>
      </c>
      <c r="BZ104" s="21">
        <f t="shared" si="202"/>
        <v>57137.27551300529</v>
      </c>
      <c r="CA104" s="19">
        <f t="shared" si="216"/>
        <v>1428431.8878251321</v>
      </c>
      <c r="CB104" s="20">
        <f t="shared" si="203"/>
        <v>1428431.9024260172</v>
      </c>
      <c r="CC104" s="20">
        <f t="shared" si="204"/>
        <v>1428431.8759140109</v>
      </c>
      <c r="CD104" s="20">
        <f t="shared" si="217"/>
        <v>0</v>
      </c>
      <c r="CE104" s="20">
        <f t="shared" si="220"/>
        <v>1400000</v>
      </c>
      <c r="CF104" s="20">
        <f t="shared" si="214"/>
        <v>423031.20174800878</v>
      </c>
      <c r="CG104" s="20">
        <f t="shared" si="205"/>
        <v>16921.248069920352</v>
      </c>
      <c r="CH104" s="20">
        <f t="shared" si="215"/>
        <v>1410.104005826696</v>
      </c>
      <c r="CI104" s="20">
        <f t="shared" si="206"/>
        <v>415357.72389325633</v>
      </c>
      <c r="CJ104" s="24">
        <f t="shared" si="207"/>
        <v>0.29615076576597171</v>
      </c>
      <c r="CK104" s="24">
        <f t="shared" si="208"/>
        <v>1.8508235091054454E-2</v>
      </c>
      <c r="CL104" s="24">
        <f t="shared" si="209"/>
        <v>5.7331182843041277E-2</v>
      </c>
      <c r="CM104" s="25">
        <f t="shared" si="210"/>
        <v>0.26857840679712602</v>
      </c>
      <c r="CN104" s="17"/>
      <c r="CO104" s="17"/>
      <c r="CP104" s="17"/>
      <c r="CQ104" s="17"/>
      <c r="CR104" s="17"/>
      <c r="CS104" s="17"/>
      <c r="CT104" s="17"/>
      <c r="CU104" s="17"/>
      <c r="CV104" s="17"/>
      <c r="CW104" s="30">
        <v>0</v>
      </c>
      <c r="CX104" s="17"/>
      <c r="CY104" s="17"/>
      <c r="CZ104" s="17"/>
      <c r="DA104" s="17"/>
      <c r="DB104" s="17"/>
    </row>
    <row r="105" spans="1:106" ht="15.75" thickBot="1" x14ac:dyDescent="0.3">
      <c r="A105" s="5">
        <f t="shared" si="218"/>
        <v>32</v>
      </c>
      <c r="B105" s="5">
        <f t="shared" si="218"/>
        <v>30</v>
      </c>
      <c r="C105" s="1">
        <v>45413</v>
      </c>
      <c r="D105" s="4"/>
      <c r="E105" s="30"/>
      <c r="F105" s="30"/>
      <c r="G105" s="30">
        <f t="shared" si="211"/>
        <v>0</v>
      </c>
      <c r="H105" s="30"/>
      <c r="I105" s="10">
        <v>0</v>
      </c>
      <c r="J105" s="60">
        <v>9000</v>
      </c>
      <c r="K105" s="11">
        <v>550</v>
      </c>
      <c r="L105" s="60">
        <f t="shared" si="72"/>
        <v>9862.5408365264411</v>
      </c>
      <c r="M105" s="11">
        <v>305</v>
      </c>
      <c r="N105" s="60">
        <v>0</v>
      </c>
      <c r="O105" s="11">
        <v>0</v>
      </c>
      <c r="P105" s="11">
        <v>0</v>
      </c>
      <c r="Q105" s="60">
        <f>(Q104*($K$1/12))+Q104 + $Q$6</f>
        <v>62079.466756719215</v>
      </c>
      <c r="R105" s="60">
        <f>(R104*($K$1/12))+R104</f>
        <v>6540.0338048165113</v>
      </c>
      <c r="S105" s="60">
        <f>(S104*($K$1/12))+S104</f>
        <v>5678.0613240130569</v>
      </c>
      <c r="T105" s="60">
        <f>(T104*($K$1/12))+T104+$T$6 + ((3%/12)*T$11)</f>
        <v>263428.74141137261</v>
      </c>
      <c r="U105" s="60">
        <f>(U104*$K$1/12) + U104 + ((U$11/12*7%))</f>
        <v>34644.681366486606</v>
      </c>
      <c r="V105" s="60">
        <v>3100</v>
      </c>
      <c r="W105" s="60">
        <f>(W104*($K$1/12))+W104+$W$6</f>
        <v>23704.561972329677</v>
      </c>
      <c r="X105" s="11">
        <v>0</v>
      </c>
      <c r="Y105" s="60">
        <f>(Y104*($K$1/12))+Y104+$Y$6</f>
        <v>34684.577455072831</v>
      </c>
      <c r="Z105" s="60">
        <f>'Mortgage and Loans'!U67</f>
        <v>42001.68</v>
      </c>
      <c r="AA105" s="12">
        <f t="shared" si="212"/>
        <v>495579.34492733696</v>
      </c>
      <c r="AB105" s="56">
        <f t="shared" si="181"/>
        <v>750</v>
      </c>
      <c r="AC105" s="56">
        <f t="shared" si="181"/>
        <v>750</v>
      </c>
      <c r="AD105" s="56">
        <f t="shared" si="181"/>
        <v>750</v>
      </c>
      <c r="AE105" s="56">
        <f t="shared" si="181"/>
        <v>750</v>
      </c>
      <c r="AF105" s="56">
        <f t="shared" si="219"/>
        <v>261.43957561912106</v>
      </c>
      <c r="AG105" s="56">
        <f t="shared" si="181"/>
        <v>750</v>
      </c>
      <c r="AH105" s="56">
        <f>'Mortgage and Loans'!AF62</f>
        <v>17599.557741334214</v>
      </c>
      <c r="AI105" s="56">
        <f>'Mortgage and Loans'!AQ62</f>
        <v>0</v>
      </c>
      <c r="AJ105" s="56">
        <f>'Mortgage and Loans'!BB62</f>
        <v>0</v>
      </c>
      <c r="AK105" s="56">
        <f>'Mortgage and Loans'!BM62</f>
        <v>0</v>
      </c>
      <c r="AL105" s="56">
        <f>'Mortgage and Loans'!T67</f>
        <v>137998.32</v>
      </c>
      <c r="AM105" s="12">
        <f t="shared" si="12"/>
        <v>-159609.31731695335</v>
      </c>
      <c r="AN105" s="75">
        <f t="shared" si="85"/>
        <v>335970.02761038358</v>
      </c>
      <c r="AO105" s="86">
        <f>'Mortgage and Loans'!G68</f>
        <v>2872.1899999999996</v>
      </c>
      <c r="AP105" s="79">
        <f>('Salary Tax Breakdown'!B$16/12)-Data!AO105</f>
        <v>575.3100000000004</v>
      </c>
      <c r="AQ105" s="87"/>
      <c r="AR105" s="20">
        <f t="shared" si="182"/>
        <v>4011.4395756191211</v>
      </c>
      <c r="AS105" s="20">
        <v>750</v>
      </c>
      <c r="AT105" s="20">
        <v>0</v>
      </c>
      <c r="AU105" s="20">
        <f t="shared" si="183"/>
        <v>4761.4395756191207</v>
      </c>
      <c r="AV105" s="20">
        <f t="shared" si="184"/>
        <v>4761.4398068970349</v>
      </c>
      <c r="AW105" s="51">
        <f t="shared" si="213"/>
        <v>0</v>
      </c>
      <c r="AX105" s="51">
        <f t="shared" si="14"/>
        <v>0</v>
      </c>
      <c r="AY105" s="51">
        <f t="shared" si="15"/>
        <v>0</v>
      </c>
      <c r="AZ105" s="51">
        <f t="shared" si="16"/>
        <v>0</v>
      </c>
      <c r="BA105" s="51">
        <f t="shared" si="17"/>
        <v>0</v>
      </c>
      <c r="BB105" s="51">
        <f t="shared" si="18"/>
        <v>0</v>
      </c>
      <c r="BC105" s="51">
        <f t="shared" si="19"/>
        <v>0</v>
      </c>
      <c r="BD105" s="51">
        <f t="shared" si="20"/>
        <v>0</v>
      </c>
      <c r="BE105" s="51">
        <f t="shared" si="21"/>
        <v>0</v>
      </c>
      <c r="BF105" s="51">
        <f t="shared" si="22"/>
        <v>0</v>
      </c>
      <c r="BG105" s="51">
        <f t="shared" si="23"/>
        <v>0</v>
      </c>
      <c r="BH105" s="51">
        <f t="shared" si="24"/>
        <v>0</v>
      </c>
      <c r="BI105" s="51">
        <f t="shared" si="185"/>
        <v>0</v>
      </c>
      <c r="BJ105" s="51">
        <f t="shared" si="186"/>
        <v>0</v>
      </c>
      <c r="BK105" s="51">
        <f t="shared" si="187"/>
        <v>0</v>
      </c>
      <c r="BL105" s="51">
        <f t="shared" si="188"/>
        <v>0</v>
      </c>
      <c r="BM105" s="51">
        <f t="shared" si="189"/>
        <v>0</v>
      </c>
      <c r="BN105" s="51">
        <f t="shared" si="190"/>
        <v>0</v>
      </c>
      <c r="BO105" s="51">
        <f t="shared" si="191"/>
        <v>0</v>
      </c>
      <c r="BP105" s="51">
        <f t="shared" si="192"/>
        <v>0</v>
      </c>
      <c r="BQ105" s="51">
        <f t="shared" si="193"/>
        <v>0</v>
      </c>
      <c r="BR105" s="51">
        <f t="shared" si="194"/>
        <v>0</v>
      </c>
      <c r="BS105" s="51">
        <f t="shared" si="195"/>
        <v>0</v>
      </c>
      <c r="BT105" s="51">
        <f t="shared" si="196"/>
        <v>0</v>
      </c>
      <c r="BU105" s="20">
        <f t="shared" si="197"/>
        <v>4761.4396271750238</v>
      </c>
      <c r="BV105" s="20">
        <f t="shared" si="198"/>
        <v>4761.4395563459611</v>
      </c>
      <c r="BW105" s="20">
        <f t="shared" si="199"/>
        <v>57137.274907429448</v>
      </c>
      <c r="BX105" s="20">
        <f t="shared" si="200"/>
        <v>57137.275526100289</v>
      </c>
      <c r="BY105" s="20">
        <f t="shared" si="201"/>
        <v>57137.27467615153</v>
      </c>
      <c r="BZ105" s="21">
        <f t="shared" si="202"/>
        <v>57137.27503656043</v>
      </c>
      <c r="CA105" s="19">
        <f t="shared" si="216"/>
        <v>1428431.8759140107</v>
      </c>
      <c r="CB105" s="20">
        <f t="shared" si="203"/>
        <v>1428431.8889887892</v>
      </c>
      <c r="CC105" s="20">
        <f t="shared" si="204"/>
        <v>1428431.870180744</v>
      </c>
      <c r="CD105" s="20">
        <f t="shared" si="217"/>
        <v>0</v>
      </c>
      <c r="CE105" s="20">
        <f t="shared" si="220"/>
        <v>1400000</v>
      </c>
      <c r="CF105" s="20">
        <f t="shared" si="214"/>
        <v>430760.12409081054</v>
      </c>
      <c r="CG105" s="20">
        <f t="shared" si="205"/>
        <v>17230.404963632423</v>
      </c>
      <c r="CH105" s="20">
        <f t="shared" si="215"/>
        <v>1435.8670803027019</v>
      </c>
      <c r="CI105" s="20">
        <f t="shared" si="206"/>
        <v>423045.08156434476</v>
      </c>
      <c r="CJ105" s="24">
        <f t="shared" si="207"/>
        <v>0.30156154270383367</v>
      </c>
      <c r="CK105" s="24">
        <f t="shared" si="208"/>
        <v>1.8270336350758642E-2</v>
      </c>
      <c r="CL105" s="24">
        <f t="shared" si="209"/>
        <v>5.6566552016406341E-2</v>
      </c>
      <c r="CM105" s="25">
        <f t="shared" si="210"/>
        <v>0.26429210681279092</v>
      </c>
      <c r="CN105" s="17"/>
      <c r="CO105" s="17"/>
      <c r="CP105" s="17"/>
      <c r="CQ105" s="17"/>
      <c r="CR105" s="17"/>
      <c r="CS105" s="17"/>
      <c r="CT105" s="17"/>
      <c r="CU105" s="17"/>
      <c r="CV105" s="17"/>
      <c r="CW105" s="30">
        <v>0</v>
      </c>
      <c r="CX105" s="17"/>
      <c r="CY105" s="17"/>
      <c r="CZ105" s="17"/>
      <c r="DA105" s="17"/>
      <c r="DB105" s="17"/>
    </row>
    <row r="106" spans="1:106" ht="15.75" thickBot="1" x14ac:dyDescent="0.3">
      <c r="A106" s="5">
        <f t="shared" si="218"/>
        <v>32</v>
      </c>
      <c r="B106" s="5">
        <f t="shared" si="218"/>
        <v>30</v>
      </c>
      <c r="C106" s="1">
        <v>45444</v>
      </c>
      <c r="D106" s="4"/>
      <c r="E106" s="30"/>
      <c r="F106" s="30"/>
      <c r="G106" s="30">
        <f t="shared" si="211"/>
        <v>0</v>
      </c>
      <c r="H106" s="30"/>
      <c r="I106" s="10">
        <v>0</v>
      </c>
      <c r="J106" s="60">
        <v>9000</v>
      </c>
      <c r="K106" s="11">
        <v>550</v>
      </c>
      <c r="L106" s="60">
        <f t="shared" si="72"/>
        <v>9874.458073370577</v>
      </c>
      <c r="M106" s="11">
        <v>305</v>
      </c>
      <c r="N106" s="60">
        <v>0</v>
      </c>
      <c r="O106" s="11">
        <v>0</v>
      </c>
      <c r="P106" s="11">
        <v>0</v>
      </c>
      <c r="Q106" s="60">
        <f>(Q105*($K$1/12))+Q105 + $Q$6</f>
        <v>63332.400534984779</v>
      </c>
      <c r="R106" s="60">
        <f>(R105*($K$1/12))+R105</f>
        <v>6575.4589879259338</v>
      </c>
      <c r="S106" s="60">
        <f>(S105*($K$1/12))+S105</f>
        <v>5708.8174895181273</v>
      </c>
      <c r="T106" s="60">
        <f>(T105*($K$1/12))+T105+$T$6 + ((3%/12)*T$11)</f>
        <v>268030.64709401753</v>
      </c>
      <c r="U106" s="60">
        <f>(U105*$K$1/12) + U105 + ((U$11/12*7%))</f>
        <v>35240.673390555079</v>
      </c>
      <c r="V106" s="60">
        <v>3100</v>
      </c>
      <c r="W106" s="60">
        <f>(W105*($K$1/12))+W105+$W$6</f>
        <v>24120.461683013131</v>
      </c>
      <c r="X106" s="11">
        <v>0</v>
      </c>
      <c r="Y106" s="60">
        <f>(Y105*($K$1/12))+Y105+$Y$6</f>
        <v>35522.452249621143</v>
      </c>
      <c r="Z106" s="60">
        <f>'Mortgage and Loans'!U68</f>
        <v>42254.15</v>
      </c>
      <c r="AA106" s="12">
        <f t="shared" si="212"/>
        <v>503614.51950300636</v>
      </c>
      <c r="AB106" s="56">
        <f t="shared" si="181"/>
        <v>750</v>
      </c>
      <c r="AC106" s="56">
        <f t="shared" si="181"/>
        <v>750</v>
      </c>
      <c r="AD106" s="56">
        <f t="shared" si="181"/>
        <v>750</v>
      </c>
      <c r="AE106" s="56">
        <f t="shared" si="181"/>
        <v>750</v>
      </c>
      <c r="AF106" s="56">
        <f t="shared" si="219"/>
        <v>261.43955634596165</v>
      </c>
      <c r="AG106" s="56">
        <f t="shared" si="181"/>
        <v>750</v>
      </c>
      <c r="AH106" s="56">
        <f>'Mortgage and Loans'!AF63</f>
        <v>15532.657741334213</v>
      </c>
      <c r="AI106" s="56">
        <f>'Mortgage and Loans'!AQ63</f>
        <v>0</v>
      </c>
      <c r="AJ106" s="56">
        <f>'Mortgage and Loans'!BB63</f>
        <v>0</v>
      </c>
      <c r="AK106" s="56">
        <f>'Mortgage and Loans'!BM63</f>
        <v>0</v>
      </c>
      <c r="AL106" s="56">
        <f>'Mortgage and Loans'!T68</f>
        <v>137745.85</v>
      </c>
      <c r="AM106" s="12">
        <f t="shared" si="12"/>
        <v>-157289.94729768019</v>
      </c>
      <c r="AN106" s="75">
        <f t="shared" si="85"/>
        <v>346324.57220532617</v>
      </c>
      <c r="AO106" s="86">
        <f>'Mortgage and Loans'!G69</f>
        <v>2872.1899999999996</v>
      </c>
      <c r="AP106" s="79">
        <f>('Salary Tax Breakdown'!B$16/12)-Data!AO106</f>
        <v>575.3100000000004</v>
      </c>
      <c r="AQ106" s="87"/>
      <c r="AR106" s="20">
        <f t="shared" si="182"/>
        <v>4011.4395563459616</v>
      </c>
      <c r="AS106" s="20">
        <v>750</v>
      </c>
      <c r="AT106" s="20">
        <v>0</v>
      </c>
      <c r="AU106" s="20">
        <f t="shared" si="183"/>
        <v>4761.439556345962</v>
      </c>
      <c r="AV106" s="20">
        <f t="shared" si="184"/>
        <v>4761.4394999149499</v>
      </c>
      <c r="AW106" s="51">
        <f t="shared" si="213"/>
        <v>0</v>
      </c>
      <c r="AX106" s="51">
        <f t="shared" si="14"/>
        <v>0</v>
      </c>
      <c r="AY106" s="51">
        <f t="shared" si="15"/>
        <v>0</v>
      </c>
      <c r="AZ106" s="51">
        <f t="shared" si="16"/>
        <v>0</v>
      </c>
      <c r="BA106" s="51">
        <f t="shared" si="17"/>
        <v>0</v>
      </c>
      <c r="BB106" s="51">
        <f t="shared" si="18"/>
        <v>0</v>
      </c>
      <c r="BC106" s="51">
        <f t="shared" si="19"/>
        <v>0</v>
      </c>
      <c r="BD106" s="51">
        <f t="shared" si="20"/>
        <v>0</v>
      </c>
      <c r="BE106" s="51">
        <f t="shared" si="21"/>
        <v>0</v>
      </c>
      <c r="BF106" s="51">
        <f t="shared" si="22"/>
        <v>0</v>
      </c>
      <c r="BG106" s="51">
        <f t="shared" si="23"/>
        <v>0</v>
      </c>
      <c r="BH106" s="51">
        <f t="shared" si="24"/>
        <v>0</v>
      </c>
      <c r="BI106" s="51">
        <f t="shared" si="185"/>
        <v>0</v>
      </c>
      <c r="BJ106" s="51">
        <f t="shared" si="186"/>
        <v>0</v>
      </c>
      <c r="BK106" s="51">
        <f t="shared" si="187"/>
        <v>0</v>
      </c>
      <c r="BL106" s="51">
        <f t="shared" si="188"/>
        <v>0</v>
      </c>
      <c r="BM106" s="51">
        <f t="shared" si="189"/>
        <v>0</v>
      </c>
      <c r="BN106" s="51">
        <f t="shared" si="190"/>
        <v>0</v>
      </c>
      <c r="BO106" s="51">
        <f t="shared" si="191"/>
        <v>0</v>
      </c>
      <c r="BP106" s="51">
        <f t="shared" si="192"/>
        <v>0</v>
      </c>
      <c r="BQ106" s="51">
        <f t="shared" si="193"/>
        <v>0</v>
      </c>
      <c r="BR106" s="51">
        <f t="shared" si="194"/>
        <v>0</v>
      </c>
      <c r="BS106" s="51">
        <f t="shared" si="195"/>
        <v>0</v>
      </c>
      <c r="BT106" s="51">
        <f t="shared" si="196"/>
        <v>0</v>
      </c>
      <c r="BU106" s="20">
        <f t="shared" si="197"/>
        <v>4761.4395844129349</v>
      </c>
      <c r="BV106" s="20">
        <f t="shared" si="198"/>
        <v>4761.4395610485453</v>
      </c>
      <c r="BW106" s="20">
        <f t="shared" si="199"/>
        <v>57137.274676151545</v>
      </c>
      <c r="BX106" s="20">
        <f t="shared" si="200"/>
        <v>57137.275012955215</v>
      </c>
      <c r="BY106" s="20">
        <f t="shared" si="201"/>
        <v>57137.274732582548</v>
      </c>
      <c r="BZ106" s="21">
        <f t="shared" si="202"/>
        <v>57137.274807229776</v>
      </c>
      <c r="CA106" s="19">
        <f t="shared" si="216"/>
        <v>1428431.8701807444</v>
      </c>
      <c r="CB106" s="20">
        <f t="shared" si="203"/>
        <v>1428431.8779732957</v>
      </c>
      <c r="CC106" s="20">
        <f t="shared" si="204"/>
        <v>1428431.8706660494</v>
      </c>
      <c r="CD106" s="20">
        <f t="shared" si="217"/>
        <v>0</v>
      </c>
      <c r="CE106" s="20">
        <f t="shared" si="220"/>
        <v>1400000</v>
      </c>
      <c r="CF106" s="20">
        <f t="shared" si="214"/>
        <v>438530.91142963571</v>
      </c>
      <c r="CG106" s="20">
        <f t="shared" si="205"/>
        <v>17541.23645718543</v>
      </c>
      <c r="CH106" s="20">
        <f t="shared" si="215"/>
        <v>1461.7697047654526</v>
      </c>
      <c r="CI106" s="20">
        <f t="shared" si="206"/>
        <v>430774.07908948505</v>
      </c>
      <c r="CJ106" s="24">
        <f t="shared" si="207"/>
        <v>0.30700162758327487</v>
      </c>
      <c r="CK106" s="24">
        <f t="shared" si="208"/>
        <v>1.8039709119377495E-2</v>
      </c>
      <c r="CL106" s="24">
        <f t="shared" si="209"/>
        <v>5.5826007130151768E-2</v>
      </c>
      <c r="CM106" s="25">
        <f t="shared" si="210"/>
        <v>0.2601624870573182</v>
      </c>
      <c r="CN106" s="17"/>
      <c r="CO106" s="17"/>
      <c r="CP106" s="17"/>
      <c r="CQ106" s="17"/>
      <c r="CR106" s="17"/>
      <c r="CS106" s="17"/>
      <c r="CT106" s="17"/>
      <c r="CU106" s="17"/>
      <c r="CV106" s="17"/>
      <c r="CW106" s="30">
        <v>0</v>
      </c>
      <c r="CX106" s="17"/>
      <c r="CY106" s="17"/>
      <c r="CZ106" s="17"/>
      <c r="DA106" s="17"/>
      <c r="DB106" s="17"/>
    </row>
    <row r="107" spans="1:106" ht="15.75" thickBot="1" x14ac:dyDescent="0.3">
      <c r="A107" s="5">
        <f t="shared" si="218"/>
        <v>32</v>
      </c>
      <c r="B107" s="5">
        <f t="shared" si="218"/>
        <v>30</v>
      </c>
      <c r="C107" s="1">
        <v>45474</v>
      </c>
      <c r="D107" s="4"/>
      <c r="E107" s="30"/>
      <c r="F107" s="30"/>
      <c r="G107" s="30">
        <f t="shared" si="211"/>
        <v>0</v>
      </c>
      <c r="H107" s="30"/>
      <c r="I107" s="10">
        <v>0</v>
      </c>
      <c r="J107" s="60">
        <v>9000</v>
      </c>
      <c r="K107" s="11">
        <v>550</v>
      </c>
      <c r="L107" s="60">
        <f t="shared" si="72"/>
        <v>9886.3897102092324</v>
      </c>
      <c r="M107" s="11">
        <v>305</v>
      </c>
      <c r="N107" s="60">
        <v>0</v>
      </c>
      <c r="O107" s="11">
        <v>0</v>
      </c>
      <c r="P107" s="11">
        <v>0</v>
      </c>
      <c r="Q107" s="60">
        <f>(Q106*($K$1/12))+Q106 + $Q$6</f>
        <v>64592.121037882614</v>
      </c>
      <c r="R107" s="60">
        <f>(R106*($K$1/12))+R106</f>
        <v>6611.0760574438664</v>
      </c>
      <c r="S107" s="60">
        <f>(S106*($K$1/12))+S106</f>
        <v>5739.7402509196836</v>
      </c>
      <c r="T107" s="60">
        <f>(T106*($K$1/12))+T106+$T$6 + ((3%/12)*T$11)</f>
        <v>272657.47976577678</v>
      </c>
      <c r="U107" s="60">
        <f>(U106*$K$1/12) + U106 + ((U$11/12*7%))</f>
        <v>35839.893704753922</v>
      </c>
      <c r="V107" s="60">
        <v>3100</v>
      </c>
      <c r="W107" s="60">
        <f>(W106*($K$1/12))+W106+$W$6</f>
        <v>24538.614183796119</v>
      </c>
      <c r="X107" s="11">
        <v>0</v>
      </c>
      <c r="Y107" s="60">
        <f>(Y106*($K$1/12))+Y106+$Y$6</f>
        <v>36364.865532639924</v>
      </c>
      <c r="Z107" s="60">
        <f>'Mortgage and Loans'!U69</f>
        <v>42507.48</v>
      </c>
      <c r="AA107" s="12">
        <f t="shared" si="212"/>
        <v>511692.66024342214</v>
      </c>
      <c r="AB107" s="56">
        <f t="shared" si="181"/>
        <v>750</v>
      </c>
      <c r="AC107" s="56">
        <f t="shared" si="181"/>
        <v>750</v>
      </c>
      <c r="AD107" s="56">
        <f t="shared" si="181"/>
        <v>750</v>
      </c>
      <c r="AE107" s="56">
        <f t="shared" si="181"/>
        <v>750</v>
      </c>
      <c r="AF107" s="56">
        <f t="shared" si="219"/>
        <v>261.43956104854595</v>
      </c>
      <c r="AG107" s="56">
        <f t="shared" si="181"/>
        <v>750</v>
      </c>
      <c r="AH107" s="56">
        <f>'Mortgage and Loans'!AF64</f>
        <v>13456.607741334214</v>
      </c>
      <c r="AI107" s="56">
        <f>'Mortgage and Loans'!AQ64</f>
        <v>0</v>
      </c>
      <c r="AJ107" s="56">
        <f>'Mortgage and Loans'!BB64</f>
        <v>0</v>
      </c>
      <c r="AK107" s="56">
        <f>'Mortgage and Loans'!BM64</f>
        <v>0</v>
      </c>
      <c r="AL107" s="56">
        <f>'Mortgage and Loans'!T69</f>
        <v>137492.52000000002</v>
      </c>
      <c r="AM107" s="12">
        <f t="shared" si="12"/>
        <v>-154960.56730238278</v>
      </c>
      <c r="AN107" s="75">
        <f t="shared" si="85"/>
        <v>356732.09294103936</v>
      </c>
      <c r="AO107" s="86">
        <f>'Mortgage and Loans'!G70</f>
        <v>2872.1899999999996</v>
      </c>
      <c r="AP107" s="79">
        <f>('Salary Tax Breakdown'!B$16/12)-Data!AO107</f>
        <v>575.3100000000004</v>
      </c>
      <c r="AQ107" s="87"/>
      <c r="AR107" s="20">
        <f t="shared" si="182"/>
        <v>4011.4395610485458</v>
      </c>
      <c r="AS107" s="20">
        <v>750</v>
      </c>
      <c r="AT107" s="20">
        <v>0</v>
      </c>
      <c r="AU107" s="20">
        <f t="shared" si="183"/>
        <v>4761.4395610485462</v>
      </c>
      <c r="AV107" s="20">
        <f t="shared" si="184"/>
        <v>4761.4393183422289</v>
      </c>
      <c r="AW107" s="51">
        <f t="shared" si="213"/>
        <v>0</v>
      </c>
      <c r="AX107" s="51">
        <f t="shared" si="14"/>
        <v>0</v>
      </c>
      <c r="AY107" s="51">
        <f t="shared" si="15"/>
        <v>0</v>
      </c>
      <c r="AZ107" s="51">
        <f t="shared" si="16"/>
        <v>0</v>
      </c>
      <c r="BA107" s="51">
        <f t="shared" si="17"/>
        <v>0</v>
      </c>
      <c r="BB107" s="51">
        <f t="shared" si="18"/>
        <v>0</v>
      </c>
      <c r="BC107" s="51">
        <f t="shared" si="19"/>
        <v>0</v>
      </c>
      <c r="BD107" s="51">
        <f t="shared" si="20"/>
        <v>0</v>
      </c>
      <c r="BE107" s="51">
        <f t="shared" si="21"/>
        <v>0</v>
      </c>
      <c r="BF107" s="51">
        <f t="shared" si="22"/>
        <v>0</v>
      </c>
      <c r="BG107" s="51">
        <f t="shared" si="23"/>
        <v>0</v>
      </c>
      <c r="BH107" s="51">
        <f t="shared" si="24"/>
        <v>0</v>
      </c>
      <c r="BI107" s="51">
        <f t="shared" si="185"/>
        <v>0</v>
      </c>
      <c r="BJ107" s="51">
        <f t="shared" si="186"/>
        <v>0</v>
      </c>
      <c r="BK107" s="51">
        <f t="shared" si="187"/>
        <v>0</v>
      </c>
      <c r="BL107" s="51">
        <f t="shared" si="188"/>
        <v>0</v>
      </c>
      <c r="BM107" s="51">
        <f t="shared" si="189"/>
        <v>0</v>
      </c>
      <c r="BN107" s="51">
        <f t="shared" si="190"/>
        <v>0</v>
      </c>
      <c r="BO107" s="51">
        <f t="shared" si="191"/>
        <v>0</v>
      </c>
      <c r="BP107" s="51">
        <f t="shared" si="192"/>
        <v>0</v>
      </c>
      <c r="BQ107" s="51">
        <f t="shared" si="193"/>
        <v>0</v>
      </c>
      <c r="BR107" s="51">
        <f t="shared" si="194"/>
        <v>0</v>
      </c>
      <c r="BS107" s="51">
        <f t="shared" si="195"/>
        <v>0</v>
      </c>
      <c r="BT107" s="51">
        <f t="shared" si="196"/>
        <v>0</v>
      </c>
      <c r="BU107" s="20">
        <f t="shared" si="197"/>
        <v>4761.4395643378766</v>
      </c>
      <c r="BV107" s="20">
        <f t="shared" si="198"/>
        <v>4761.4395812740722</v>
      </c>
      <c r="BW107" s="20">
        <f t="shared" si="199"/>
        <v>57137.274732582555</v>
      </c>
      <c r="BX107" s="20">
        <f t="shared" si="200"/>
        <v>57137.274772054516</v>
      </c>
      <c r="BY107" s="20">
        <f t="shared" si="201"/>
        <v>57137.274975288863</v>
      </c>
      <c r="BZ107" s="21">
        <f t="shared" si="202"/>
        <v>57137.27482664198</v>
      </c>
      <c r="CA107" s="19">
        <f t="shared" si="216"/>
        <v>1428431.8706660494</v>
      </c>
      <c r="CB107" s="20">
        <f t="shared" si="203"/>
        <v>1428431.8722536014</v>
      </c>
      <c r="CC107" s="20">
        <f t="shared" si="204"/>
        <v>1428431.8754073698</v>
      </c>
      <c r="CD107" s="20">
        <f t="shared" si="217"/>
        <v>0</v>
      </c>
      <c r="CE107" s="20">
        <f t="shared" si="220"/>
        <v>1400000</v>
      </c>
      <c r="CF107" s="20">
        <f t="shared" si="214"/>
        <v>446343.79053321283</v>
      </c>
      <c r="CG107" s="20">
        <f t="shared" si="205"/>
        <v>17853.751621328513</v>
      </c>
      <c r="CH107" s="20">
        <f t="shared" si="215"/>
        <v>1487.8126351107094</v>
      </c>
      <c r="CI107" s="20">
        <f t="shared" si="206"/>
        <v>438544.94201788632</v>
      </c>
      <c r="CJ107" s="24">
        <f t="shared" si="207"/>
        <v>0.31247117850221817</v>
      </c>
      <c r="CK107" s="24">
        <f t="shared" si="208"/>
        <v>1.781602824326952E-2</v>
      </c>
      <c r="CL107" s="24">
        <f t="shared" si="209"/>
        <v>5.5108438074718873E-2</v>
      </c>
      <c r="CM107" s="25">
        <f t="shared" si="210"/>
        <v>0.25618116790689316</v>
      </c>
      <c r="CN107" s="17"/>
      <c r="CO107" s="17"/>
      <c r="CP107" s="17"/>
      <c r="CQ107" s="17"/>
      <c r="CR107" s="17"/>
      <c r="CS107" s="17"/>
      <c r="CT107" s="17"/>
      <c r="CU107" s="17"/>
      <c r="CV107" s="17"/>
      <c r="CW107" s="30">
        <v>0</v>
      </c>
      <c r="CX107" s="17"/>
      <c r="CY107" s="17"/>
      <c r="CZ107" s="17"/>
      <c r="DA107" s="17"/>
      <c r="DB107" s="17"/>
    </row>
    <row r="108" spans="1:106" ht="15.75" thickBot="1" x14ac:dyDescent="0.3">
      <c r="A108" s="5">
        <f t="shared" si="218"/>
        <v>32</v>
      </c>
      <c r="B108" s="5">
        <f t="shared" si="218"/>
        <v>30</v>
      </c>
      <c r="C108" s="1">
        <v>45505</v>
      </c>
      <c r="D108" s="4"/>
      <c r="E108" s="30"/>
      <c r="F108" s="30"/>
      <c r="G108" s="30">
        <f t="shared" si="211"/>
        <v>0</v>
      </c>
      <c r="H108" s="30"/>
      <c r="I108" s="10">
        <v>0</v>
      </c>
      <c r="J108" s="60">
        <v>9000</v>
      </c>
      <c r="K108" s="11">
        <v>550</v>
      </c>
      <c r="L108" s="60">
        <f t="shared" si="72"/>
        <v>9898.3357644424013</v>
      </c>
      <c r="M108" s="11">
        <v>305</v>
      </c>
      <c r="N108" s="60">
        <v>0</v>
      </c>
      <c r="O108" s="11">
        <v>0</v>
      </c>
      <c r="P108" s="11">
        <v>0</v>
      </c>
      <c r="Q108" s="60">
        <f>(Q107*($K$1/12))+Q107 + $Q$6</f>
        <v>65858.665026837814</v>
      </c>
      <c r="R108" s="60">
        <f>(R107*($K$1/12))+R107</f>
        <v>6646.8860527550205</v>
      </c>
      <c r="S108" s="60">
        <f>(S107*($K$1/12))+S107</f>
        <v>5770.8305106121652</v>
      </c>
      <c r="T108" s="60">
        <f>(T107*($K$1/12))+T107+$T$6 + ((3%/12)*T$11)</f>
        <v>277309.37444784143</v>
      </c>
      <c r="U108" s="60">
        <f>(U107*$K$1/12) + U107 + ((U$11/12*7%))</f>
        <v>36442.359795654673</v>
      </c>
      <c r="V108" s="60">
        <v>3100</v>
      </c>
      <c r="W108" s="60">
        <f>(W107*($K$1/12))+W107+$W$6</f>
        <v>24959.031677291681</v>
      </c>
      <c r="X108" s="11">
        <v>0</v>
      </c>
      <c r="Y108" s="60">
        <f>(Y107*($K$1/12))+Y107+$Y$6</f>
        <v>37211.841887608389</v>
      </c>
      <c r="Z108" s="60">
        <f>'Mortgage and Loans'!U70</f>
        <v>42761.69</v>
      </c>
      <c r="AA108" s="12">
        <f t="shared" si="212"/>
        <v>519814.01516304357</v>
      </c>
      <c r="AB108" s="56">
        <f t="shared" si="181"/>
        <v>750</v>
      </c>
      <c r="AC108" s="56">
        <f t="shared" si="181"/>
        <v>750</v>
      </c>
      <c r="AD108" s="56">
        <f t="shared" si="181"/>
        <v>750</v>
      </c>
      <c r="AE108" s="56">
        <f t="shared" si="181"/>
        <v>750</v>
      </c>
      <c r="AF108" s="56">
        <f t="shared" si="219"/>
        <v>261.43958127407234</v>
      </c>
      <c r="AG108" s="56">
        <f t="shared" si="181"/>
        <v>750</v>
      </c>
      <c r="AH108" s="56">
        <f>'Mortgage and Loans'!AF65</f>
        <v>11371.377741334214</v>
      </c>
      <c r="AI108" s="56">
        <f>'Mortgage and Loans'!AQ65</f>
        <v>0</v>
      </c>
      <c r="AJ108" s="56">
        <f>'Mortgage and Loans'!BB65</f>
        <v>0</v>
      </c>
      <c r="AK108" s="56">
        <f>'Mortgage and Loans'!BM65</f>
        <v>0</v>
      </c>
      <c r="AL108" s="56">
        <f>'Mortgage and Loans'!T70</f>
        <v>137238.31000000003</v>
      </c>
      <c r="AM108" s="12">
        <f t="shared" si="12"/>
        <v>-152621.12732260831</v>
      </c>
      <c r="AN108" s="75">
        <f t="shared" si="85"/>
        <v>367192.88784043526</v>
      </c>
      <c r="AO108" s="86">
        <f>'Mortgage and Loans'!G71</f>
        <v>2872.1899999999996</v>
      </c>
      <c r="AP108" s="79">
        <f>('Salary Tax Breakdown'!B$16/12)-Data!AO108</f>
        <v>575.3100000000004</v>
      </c>
      <c r="AQ108" s="87"/>
      <c r="AR108" s="20">
        <f t="shared" si="182"/>
        <v>4011.4395812740722</v>
      </c>
      <c r="AS108" s="20">
        <v>750</v>
      </c>
      <c r="AT108" s="20">
        <v>0</v>
      </c>
      <c r="AU108" s="20">
        <f t="shared" si="183"/>
        <v>4761.4395812740722</v>
      </c>
      <c r="AV108" s="20">
        <f t="shared" si="184"/>
        <v>4761.4392776417562</v>
      </c>
      <c r="AW108" s="51">
        <f t="shared" si="213"/>
        <v>0</v>
      </c>
      <c r="AX108" s="51">
        <f t="shared" si="14"/>
        <v>0</v>
      </c>
      <c r="AY108" s="51">
        <f t="shared" si="15"/>
        <v>0</v>
      </c>
      <c r="AZ108" s="51">
        <f t="shared" si="16"/>
        <v>0</v>
      </c>
      <c r="BA108" s="51">
        <f t="shared" si="17"/>
        <v>0</v>
      </c>
      <c r="BB108" s="51">
        <f t="shared" si="18"/>
        <v>0</v>
      </c>
      <c r="BC108" s="51">
        <f t="shared" si="19"/>
        <v>0</v>
      </c>
      <c r="BD108" s="51">
        <f t="shared" si="20"/>
        <v>0</v>
      </c>
      <c r="BE108" s="51">
        <f t="shared" si="21"/>
        <v>0</v>
      </c>
      <c r="BF108" s="51">
        <f t="shared" si="22"/>
        <v>0</v>
      </c>
      <c r="BG108" s="51">
        <f t="shared" si="23"/>
        <v>0</v>
      </c>
      <c r="BH108" s="51">
        <f t="shared" si="24"/>
        <v>0</v>
      </c>
      <c r="BI108" s="51">
        <f t="shared" si="185"/>
        <v>0</v>
      </c>
      <c r="BJ108" s="51">
        <f t="shared" si="186"/>
        <v>0</v>
      </c>
      <c r="BK108" s="51">
        <f t="shared" si="187"/>
        <v>0</v>
      </c>
      <c r="BL108" s="51">
        <f t="shared" si="188"/>
        <v>0</v>
      </c>
      <c r="BM108" s="51">
        <f t="shared" si="189"/>
        <v>0</v>
      </c>
      <c r="BN108" s="51">
        <f t="shared" si="190"/>
        <v>0</v>
      </c>
      <c r="BO108" s="51">
        <f t="shared" si="191"/>
        <v>0</v>
      </c>
      <c r="BP108" s="51">
        <f t="shared" si="192"/>
        <v>0</v>
      </c>
      <c r="BQ108" s="51">
        <f t="shared" si="193"/>
        <v>0</v>
      </c>
      <c r="BR108" s="51">
        <f t="shared" si="194"/>
        <v>0</v>
      </c>
      <c r="BS108" s="51">
        <f t="shared" si="195"/>
        <v>0</v>
      </c>
      <c r="BT108" s="51">
        <f t="shared" si="196"/>
        <v>0</v>
      </c>
      <c r="BU108" s="20">
        <f t="shared" si="197"/>
        <v>4761.4395662228599</v>
      </c>
      <c r="BV108" s="20">
        <f t="shared" si="198"/>
        <v>4761.4396065767651</v>
      </c>
      <c r="BW108" s="20">
        <f t="shared" si="199"/>
        <v>57137.274975288863</v>
      </c>
      <c r="BX108" s="20">
        <f t="shared" si="200"/>
        <v>57137.274794674318</v>
      </c>
      <c r="BY108" s="20">
        <f t="shared" si="201"/>
        <v>57137.275278921181</v>
      </c>
      <c r="BZ108" s="21">
        <f t="shared" si="202"/>
        <v>57137.275016294792</v>
      </c>
      <c r="CA108" s="19">
        <f t="shared" si="216"/>
        <v>1428431.8754073698</v>
      </c>
      <c r="CB108" s="20">
        <f t="shared" si="203"/>
        <v>1428431.8720847212</v>
      </c>
      <c r="CC108" s="20">
        <f t="shared" si="204"/>
        <v>1428431.8817213017</v>
      </c>
      <c r="CD108" s="20">
        <f t="shared" si="217"/>
        <v>0</v>
      </c>
      <c r="CE108" s="20">
        <f t="shared" si="220"/>
        <v>1400000</v>
      </c>
      <c r="CF108" s="20">
        <f t="shared" si="214"/>
        <v>454198.98939860117</v>
      </c>
      <c r="CG108" s="20">
        <f t="shared" si="205"/>
        <v>18167.959575944049</v>
      </c>
      <c r="CH108" s="20">
        <f t="shared" si="215"/>
        <v>1513.9966313286707</v>
      </c>
      <c r="CI108" s="20">
        <f t="shared" si="206"/>
        <v>446357.89712048322</v>
      </c>
      <c r="CJ108" s="24">
        <f t="shared" si="207"/>
        <v>0.31797035495695125</v>
      </c>
      <c r="CK108" s="24">
        <f t="shared" si="208"/>
        <v>1.7598987668237389E-2</v>
      </c>
      <c r="CL108" s="24">
        <f t="shared" si="209"/>
        <v>5.4412801921399252E-2</v>
      </c>
      <c r="CM108" s="25">
        <f t="shared" si="210"/>
        <v>0.25234035679129152</v>
      </c>
      <c r="CN108" s="17"/>
      <c r="CO108" s="17"/>
      <c r="CP108" s="17"/>
      <c r="CQ108" s="17"/>
      <c r="CR108" s="17"/>
      <c r="CS108" s="17"/>
      <c r="CT108" s="17"/>
      <c r="CU108" s="17"/>
      <c r="CV108" s="17"/>
      <c r="CW108" s="30">
        <v>0</v>
      </c>
      <c r="CX108" s="17"/>
      <c r="CY108" s="17"/>
      <c r="CZ108" s="17"/>
      <c r="DA108" s="17"/>
      <c r="DB108" s="17"/>
    </row>
    <row r="109" spans="1:106" ht="15.75" thickBot="1" x14ac:dyDescent="0.3">
      <c r="A109" s="5">
        <f t="shared" si="218"/>
        <v>32</v>
      </c>
      <c r="B109" s="5">
        <f t="shared" si="218"/>
        <v>30</v>
      </c>
      <c r="C109" s="1">
        <v>45536</v>
      </c>
      <c r="D109" s="4"/>
      <c r="E109" s="30"/>
      <c r="F109" s="30"/>
      <c r="G109" s="30">
        <f t="shared" si="211"/>
        <v>0</v>
      </c>
      <c r="H109" s="30"/>
      <c r="I109" s="10">
        <v>0</v>
      </c>
      <c r="J109" s="60">
        <v>9000</v>
      </c>
      <c r="K109" s="11">
        <v>550</v>
      </c>
      <c r="L109" s="60">
        <f t="shared" si="72"/>
        <v>9910.2962534911021</v>
      </c>
      <c r="M109" s="11">
        <v>305</v>
      </c>
      <c r="N109" s="60">
        <v>0</v>
      </c>
      <c r="O109" s="11">
        <v>0</v>
      </c>
      <c r="P109" s="11">
        <v>0</v>
      </c>
      <c r="Q109" s="60">
        <f>(Q108*($K$1/12))+Q108 + $Q$6</f>
        <v>67132.069462399857</v>
      </c>
      <c r="R109" s="60">
        <f>(R108*($K$1/12))+R108</f>
        <v>6682.89001887411</v>
      </c>
      <c r="S109" s="60">
        <f>(S108*($K$1/12))+S108</f>
        <v>5802.0891758779808</v>
      </c>
      <c r="T109" s="60">
        <f>(T108*($K$1/12))+T108+$T$6 + ((3%/12)*T$11)</f>
        <v>281986.46689276723</v>
      </c>
      <c r="U109" s="60">
        <f>(U108*$K$1/12) + U108 + ((U$11/12*7%))</f>
        <v>37048.089244547802</v>
      </c>
      <c r="V109" s="60">
        <v>3100</v>
      </c>
      <c r="W109" s="60">
        <f>(W108*($K$1/12))+W108+$W$6</f>
        <v>25381.726432210344</v>
      </c>
      <c r="X109" s="11">
        <v>0</v>
      </c>
      <c r="Y109" s="60">
        <f>(Y108*($K$1/12))+Y108+$Y$6</f>
        <v>38063.406031166269</v>
      </c>
      <c r="Z109" s="60">
        <f>'Mortgage and Loans'!U71</f>
        <v>43016.770000000004</v>
      </c>
      <c r="AA109" s="12">
        <f t="shared" si="212"/>
        <v>527978.8035113347</v>
      </c>
      <c r="AB109" s="56">
        <f t="shared" si="181"/>
        <v>750</v>
      </c>
      <c r="AC109" s="56">
        <f t="shared" si="181"/>
        <v>750</v>
      </c>
      <c r="AD109" s="56">
        <f t="shared" si="181"/>
        <v>750</v>
      </c>
      <c r="AE109" s="56">
        <f t="shared" si="181"/>
        <v>750</v>
      </c>
      <c r="AF109" s="56">
        <f t="shared" si="219"/>
        <v>261.43960657676536</v>
      </c>
      <c r="AG109" s="56">
        <f t="shared" si="181"/>
        <v>750</v>
      </c>
      <c r="AH109" s="56">
        <f>'Mortgage and Loans'!AF66</f>
        <v>9276.917741334215</v>
      </c>
      <c r="AI109" s="56">
        <f>'Mortgage and Loans'!AQ66</f>
        <v>0</v>
      </c>
      <c r="AJ109" s="56">
        <f>'Mortgage and Loans'!BB66</f>
        <v>0</v>
      </c>
      <c r="AK109" s="56">
        <f>'Mortgage and Loans'!BM66</f>
        <v>0</v>
      </c>
      <c r="AL109" s="56">
        <f>'Mortgage and Loans'!T71</f>
        <v>136983.23000000004</v>
      </c>
      <c r="AM109" s="12">
        <f t="shared" si="12"/>
        <v>-150271.58734791103</v>
      </c>
      <c r="AN109" s="75">
        <f t="shared" si="85"/>
        <v>377707.21616342367</v>
      </c>
      <c r="AO109" s="86">
        <f>'Mortgage and Loans'!G72</f>
        <v>2872.1899999999996</v>
      </c>
      <c r="AP109" s="79">
        <f>('Salary Tax Breakdown'!B$16/12)-Data!AO109</f>
        <v>575.3100000000004</v>
      </c>
      <c r="AQ109" s="87"/>
      <c r="AR109" s="20">
        <f t="shared" si="182"/>
        <v>4011.4396065767655</v>
      </c>
      <c r="AS109" s="20">
        <v>750</v>
      </c>
      <c r="AT109" s="20">
        <v>0</v>
      </c>
      <c r="AU109" s="20">
        <f t="shared" si="183"/>
        <v>4761.4396065767651</v>
      </c>
      <c r="AV109" s="20">
        <f t="shared" si="184"/>
        <v>4761.4393534604724</v>
      </c>
      <c r="AW109" s="51">
        <f t="shared" si="213"/>
        <v>0</v>
      </c>
      <c r="AX109" s="51">
        <f t="shared" si="14"/>
        <v>0</v>
      </c>
      <c r="AY109" s="51">
        <f t="shared" si="15"/>
        <v>0</v>
      </c>
      <c r="AZ109" s="51">
        <f t="shared" si="16"/>
        <v>0</v>
      </c>
      <c r="BA109" s="51">
        <f t="shared" si="17"/>
        <v>0</v>
      </c>
      <c r="BB109" s="51">
        <f t="shared" si="18"/>
        <v>0</v>
      </c>
      <c r="BC109" s="51">
        <f t="shared" si="19"/>
        <v>0</v>
      </c>
      <c r="BD109" s="51">
        <f t="shared" si="20"/>
        <v>0</v>
      </c>
      <c r="BE109" s="51">
        <f t="shared" si="21"/>
        <v>0</v>
      </c>
      <c r="BF109" s="51">
        <f t="shared" si="22"/>
        <v>0</v>
      </c>
      <c r="BG109" s="51">
        <f t="shared" si="23"/>
        <v>0</v>
      </c>
      <c r="BH109" s="51">
        <f t="shared" si="24"/>
        <v>0</v>
      </c>
      <c r="BI109" s="51">
        <f t="shared" si="185"/>
        <v>0</v>
      </c>
      <c r="BJ109" s="51">
        <f t="shared" si="186"/>
        <v>0</v>
      </c>
      <c r="BK109" s="51">
        <f t="shared" si="187"/>
        <v>0</v>
      </c>
      <c r="BL109" s="51">
        <f t="shared" si="188"/>
        <v>0</v>
      </c>
      <c r="BM109" s="51">
        <f t="shared" si="189"/>
        <v>0</v>
      </c>
      <c r="BN109" s="51">
        <f t="shared" si="190"/>
        <v>0</v>
      </c>
      <c r="BO109" s="51">
        <f t="shared" si="191"/>
        <v>0</v>
      </c>
      <c r="BP109" s="51">
        <f t="shared" si="192"/>
        <v>0</v>
      </c>
      <c r="BQ109" s="51">
        <f t="shared" si="193"/>
        <v>0</v>
      </c>
      <c r="BR109" s="51">
        <f t="shared" si="194"/>
        <v>0</v>
      </c>
      <c r="BS109" s="51">
        <f t="shared" si="195"/>
        <v>0</v>
      </c>
      <c r="BT109" s="51">
        <f t="shared" si="196"/>
        <v>0</v>
      </c>
      <c r="BU109" s="20">
        <f t="shared" si="197"/>
        <v>4761.4395829664609</v>
      </c>
      <c r="BV109" s="20">
        <f t="shared" si="198"/>
        <v>4761.4396276697889</v>
      </c>
      <c r="BW109" s="20">
        <f t="shared" si="199"/>
        <v>57137.275278921181</v>
      </c>
      <c r="BX109" s="20">
        <f t="shared" si="200"/>
        <v>57137.274995597531</v>
      </c>
      <c r="BY109" s="20">
        <f t="shared" si="201"/>
        <v>57137.275532037471</v>
      </c>
      <c r="BZ109" s="21">
        <f t="shared" si="202"/>
        <v>57137.275268852063</v>
      </c>
      <c r="CA109" s="19">
        <f t="shared" si="216"/>
        <v>1428431.8817213015</v>
      </c>
      <c r="CB109" s="20">
        <f t="shared" si="203"/>
        <v>1428431.8759315733</v>
      </c>
      <c r="CC109" s="20">
        <f t="shared" si="204"/>
        <v>1428431.8871674489</v>
      </c>
      <c r="CD109" s="20">
        <f t="shared" si="217"/>
        <v>0</v>
      </c>
      <c r="CE109" s="20">
        <f t="shared" si="220"/>
        <v>1400000</v>
      </c>
      <c r="CF109" s="20">
        <f t="shared" si="214"/>
        <v>462096.7372578436</v>
      </c>
      <c r="CG109" s="20">
        <f t="shared" si="205"/>
        <v>18483.869490313744</v>
      </c>
      <c r="CH109" s="20">
        <f t="shared" si="215"/>
        <v>1540.3224575261454</v>
      </c>
      <c r="CI109" s="20">
        <f t="shared" si="206"/>
        <v>454213.17239655252</v>
      </c>
      <c r="CJ109" s="24">
        <f t="shared" si="207"/>
        <v>0.32349931770913487</v>
      </c>
      <c r="CK109" s="24">
        <f t="shared" si="208"/>
        <v>1.7388299057423562E-2</v>
      </c>
      <c r="CL109" s="24">
        <f t="shared" si="209"/>
        <v>5.373811791597987E-2</v>
      </c>
      <c r="CM109" s="25">
        <f t="shared" si="210"/>
        <v>0.24863279766906318</v>
      </c>
      <c r="CN109" s="17"/>
      <c r="CO109" s="17"/>
      <c r="CP109" s="17"/>
      <c r="CQ109" s="17"/>
      <c r="CR109" s="17"/>
      <c r="CS109" s="17"/>
      <c r="CT109" s="17"/>
      <c r="CU109" s="17"/>
      <c r="CV109" s="17"/>
      <c r="CW109" s="30">
        <v>0</v>
      </c>
      <c r="CX109" s="17"/>
      <c r="CY109" s="17"/>
      <c r="CZ109" s="17"/>
      <c r="DA109" s="17"/>
      <c r="DB109" s="17"/>
    </row>
    <row r="110" spans="1:106" ht="15.75" thickBot="1" x14ac:dyDescent="0.3">
      <c r="A110" s="5">
        <f t="shared" si="218"/>
        <v>32</v>
      </c>
      <c r="B110" s="5">
        <f t="shared" si="218"/>
        <v>31</v>
      </c>
      <c r="C110" s="1">
        <v>45566</v>
      </c>
      <c r="D110" s="4"/>
      <c r="E110" s="30"/>
      <c r="F110" s="30"/>
      <c r="G110" s="30">
        <f t="shared" si="211"/>
        <v>0</v>
      </c>
      <c r="H110" s="30"/>
      <c r="I110" s="10">
        <v>0</v>
      </c>
      <c r="J110" s="60">
        <v>9000</v>
      </c>
      <c r="K110" s="11">
        <v>550</v>
      </c>
      <c r="L110" s="60">
        <f t="shared" si="72"/>
        <v>9922.271194797404</v>
      </c>
      <c r="M110" s="11">
        <v>305</v>
      </c>
      <c r="N110" s="60">
        <v>0</v>
      </c>
      <c r="O110" s="11">
        <v>0</v>
      </c>
      <c r="P110" s="11">
        <v>0</v>
      </c>
      <c r="Q110" s="60">
        <f>(Q109*($K$1/12))+Q109 + $Q$6</f>
        <v>68412.371505321193</v>
      </c>
      <c r="R110" s="60">
        <f>(R109*($K$1/12))+R109</f>
        <v>6719.0890064763444</v>
      </c>
      <c r="S110" s="60">
        <f>(S109*($K$1/12))+S109</f>
        <v>5833.5171589139863</v>
      </c>
      <c r="T110" s="60">
        <f>(T109*($K$1/12))+T109+$T$6 + ((3%/12)*T$11)</f>
        <v>286688.89358843636</v>
      </c>
      <c r="U110" s="60">
        <f>(U109*$K$1/12) + U109 + ((U$11/12*7%))</f>
        <v>37657.099727955771</v>
      </c>
      <c r="V110" s="60">
        <v>3100</v>
      </c>
      <c r="W110" s="60">
        <f>(W109*($K$1/12))+W109+$W$6</f>
        <v>25806.71078371815</v>
      </c>
      <c r="X110" s="11">
        <v>0</v>
      </c>
      <c r="Y110" s="60">
        <f>(Y109*($K$1/12))+Y109+$Y$6</f>
        <v>38919.582813835084</v>
      </c>
      <c r="Z110" s="60">
        <f>'Mortgage and Loans'!U72</f>
        <v>43272.729999999996</v>
      </c>
      <c r="AA110" s="12">
        <f t="shared" si="212"/>
        <v>536187.26577945426</v>
      </c>
      <c r="AB110" s="56">
        <f t="shared" ref="AB110:AG160" si="221">$AC$1/5</f>
        <v>750</v>
      </c>
      <c r="AC110" s="56">
        <f t="shared" si="221"/>
        <v>750</v>
      </c>
      <c r="AD110" s="56">
        <f t="shared" si="221"/>
        <v>750</v>
      </c>
      <c r="AE110" s="56">
        <f t="shared" si="221"/>
        <v>750</v>
      </c>
      <c r="AF110" s="56">
        <f t="shared" si="219"/>
        <v>261.43962766978979</v>
      </c>
      <c r="AG110" s="56">
        <f t="shared" si="221"/>
        <v>750</v>
      </c>
      <c r="AH110" s="56">
        <f>'Mortgage and Loans'!AF67</f>
        <v>7173.1877413342154</v>
      </c>
      <c r="AI110" s="56">
        <f>'Mortgage and Loans'!AQ67</f>
        <v>0</v>
      </c>
      <c r="AJ110" s="56">
        <f>'Mortgage and Loans'!BB67</f>
        <v>0</v>
      </c>
      <c r="AK110" s="56">
        <f>'Mortgage and Loans'!BM67</f>
        <v>0</v>
      </c>
      <c r="AL110" s="56">
        <f>'Mortgage and Loans'!T72</f>
        <v>136727.27000000005</v>
      </c>
      <c r="AM110" s="12">
        <f t="shared" si="12"/>
        <v>-147911.89736900406</v>
      </c>
      <c r="AN110" s="75">
        <f t="shared" si="85"/>
        <v>388275.36841045017</v>
      </c>
      <c r="AO110" s="86">
        <f>'Mortgage and Loans'!G73</f>
        <v>2872.1899999999996</v>
      </c>
      <c r="AP110" s="79">
        <f>('Salary Tax Breakdown'!B$16/12)-Data!AO110</f>
        <v>575.3100000000004</v>
      </c>
      <c r="AQ110" s="87"/>
      <c r="AR110" s="20">
        <f t="shared" si="182"/>
        <v>4011.4396276697898</v>
      </c>
      <c r="AS110" s="20">
        <v>750</v>
      </c>
      <c r="AT110" s="20">
        <v>0</v>
      </c>
      <c r="AU110" s="20">
        <f t="shared" si="183"/>
        <v>4761.4396276697898</v>
      </c>
      <c r="AV110" s="20">
        <f t="shared" si="184"/>
        <v>4761.4394937334237</v>
      </c>
      <c r="AW110" s="51">
        <f t="shared" si="213"/>
        <v>0</v>
      </c>
      <c r="AX110" s="51">
        <f t="shared" si="14"/>
        <v>0</v>
      </c>
      <c r="AY110" s="51">
        <f t="shared" si="15"/>
        <v>0</v>
      </c>
      <c r="AZ110" s="51">
        <f t="shared" si="16"/>
        <v>0</v>
      </c>
      <c r="BA110" s="51">
        <f t="shared" si="17"/>
        <v>0</v>
      </c>
      <c r="BB110" s="51">
        <f t="shared" si="18"/>
        <v>0</v>
      </c>
      <c r="BC110" s="51">
        <f t="shared" si="19"/>
        <v>0</v>
      </c>
      <c r="BD110" s="51">
        <f t="shared" si="20"/>
        <v>0</v>
      </c>
      <c r="BE110" s="51">
        <f t="shared" si="21"/>
        <v>0</v>
      </c>
      <c r="BF110" s="51">
        <f t="shared" si="22"/>
        <v>0</v>
      </c>
      <c r="BG110" s="51">
        <f t="shared" si="23"/>
        <v>0</v>
      </c>
      <c r="BH110" s="51">
        <f t="shared" si="24"/>
        <v>0</v>
      </c>
      <c r="BI110" s="51">
        <f t="shared" si="185"/>
        <v>0</v>
      </c>
      <c r="BJ110" s="51">
        <f t="shared" si="186"/>
        <v>0</v>
      </c>
      <c r="BK110" s="51">
        <f t="shared" si="187"/>
        <v>0</v>
      </c>
      <c r="BL110" s="51">
        <f t="shared" si="188"/>
        <v>0</v>
      </c>
      <c r="BM110" s="51">
        <f t="shared" si="189"/>
        <v>0</v>
      </c>
      <c r="BN110" s="51">
        <f t="shared" si="190"/>
        <v>0</v>
      </c>
      <c r="BO110" s="51">
        <f t="shared" si="191"/>
        <v>0</v>
      </c>
      <c r="BP110" s="51">
        <f t="shared" si="192"/>
        <v>0</v>
      </c>
      <c r="BQ110" s="51">
        <f t="shared" si="193"/>
        <v>0</v>
      </c>
      <c r="BR110" s="51">
        <f t="shared" si="194"/>
        <v>0</v>
      </c>
      <c r="BS110" s="51">
        <f t="shared" si="195"/>
        <v>0</v>
      </c>
      <c r="BT110" s="51">
        <f t="shared" si="196"/>
        <v>0</v>
      </c>
      <c r="BU110" s="20">
        <f t="shared" si="197"/>
        <v>4761.439605173543</v>
      </c>
      <c r="BV110" s="20">
        <f t="shared" si="198"/>
        <v>4761.4396388311534</v>
      </c>
      <c r="BW110" s="20">
        <f t="shared" si="199"/>
        <v>57137.275532037478</v>
      </c>
      <c r="BX110" s="20">
        <f t="shared" si="200"/>
        <v>57137.275262082519</v>
      </c>
      <c r="BY110" s="20">
        <f t="shared" si="201"/>
        <v>57137.275665973837</v>
      </c>
      <c r="BZ110" s="21">
        <f t="shared" si="202"/>
        <v>57137.275486697945</v>
      </c>
      <c r="CA110" s="19">
        <f t="shared" si="216"/>
        <v>1428431.8871674486</v>
      </c>
      <c r="CB110" s="20">
        <f t="shared" si="203"/>
        <v>1428431.8814320399</v>
      </c>
      <c r="CC110" s="20">
        <f t="shared" si="204"/>
        <v>1428431.8902493473</v>
      </c>
      <c r="CD110" s="20">
        <f t="shared" si="217"/>
        <v>0</v>
      </c>
      <c r="CE110" s="20">
        <f t="shared" si="220"/>
        <v>1400000</v>
      </c>
      <c r="CF110" s="20">
        <f t="shared" si="214"/>
        <v>470037.26458465686</v>
      </c>
      <c r="CG110" s="20">
        <f t="shared" si="205"/>
        <v>18801.490583386276</v>
      </c>
      <c r="CH110" s="20">
        <f t="shared" si="215"/>
        <v>1566.7908819488564</v>
      </c>
      <c r="CI110" s="20">
        <f t="shared" si="206"/>
        <v>462110.99708036723</v>
      </c>
      <c r="CJ110" s="24">
        <f t="shared" si="207"/>
        <v>0.32905822860340556</v>
      </c>
      <c r="CK110" s="24">
        <f t="shared" si="208"/>
        <v>1.7183690527515137E-2</v>
      </c>
      <c r="CL110" s="24">
        <f t="shared" si="209"/>
        <v>5.3083462913507212E-2</v>
      </c>
      <c r="CM110" s="25">
        <f t="shared" si="210"/>
        <v>0.24505172563252678</v>
      </c>
      <c r="CN110" s="17"/>
      <c r="CO110" s="17"/>
      <c r="CP110" s="17"/>
      <c r="CQ110" s="17"/>
      <c r="CR110" s="17"/>
      <c r="CS110" s="17"/>
      <c r="CT110" s="17"/>
      <c r="CU110" s="17"/>
      <c r="CV110" s="17"/>
      <c r="CW110" s="30">
        <v>0</v>
      </c>
      <c r="CX110" s="17"/>
      <c r="CY110" s="17"/>
      <c r="CZ110" s="17"/>
      <c r="DA110" s="17"/>
      <c r="DB110" s="17"/>
    </row>
    <row r="111" spans="1:106" ht="15.75" thickBot="1" x14ac:dyDescent="0.3">
      <c r="A111" s="5">
        <f t="shared" si="218"/>
        <v>32</v>
      </c>
      <c r="B111" s="5">
        <f t="shared" si="218"/>
        <v>31</v>
      </c>
      <c r="C111" s="1">
        <v>45597</v>
      </c>
      <c r="D111" s="4"/>
      <c r="E111" s="30"/>
      <c r="F111" s="30"/>
      <c r="G111" s="30">
        <f t="shared" si="211"/>
        <v>0</v>
      </c>
      <c r="H111" s="30"/>
      <c r="I111" s="10">
        <v>0</v>
      </c>
      <c r="J111" s="60">
        <v>9000</v>
      </c>
      <c r="K111" s="11">
        <v>550</v>
      </c>
      <c r="L111" s="60">
        <f t="shared" si="72"/>
        <v>9934.2606058244492</v>
      </c>
      <c r="M111" s="11">
        <v>305</v>
      </c>
      <c r="N111" s="60">
        <v>0</v>
      </c>
      <c r="O111" s="11">
        <v>0</v>
      </c>
      <c r="P111" s="11">
        <v>0</v>
      </c>
      <c r="Q111" s="60">
        <f>(Q110*($K$1/12))+Q110 + $Q$6</f>
        <v>69699.608517641682</v>
      </c>
      <c r="R111" s="60">
        <f>(R110*($K$1/12))+R110</f>
        <v>6755.484071928091</v>
      </c>
      <c r="S111" s="60">
        <f>(S110*($K$1/12))+S110</f>
        <v>5865.1153768581034</v>
      </c>
      <c r="T111" s="60">
        <f>(T110*($K$1/12))+T110+$T$6 + ((3%/12)*T$11)</f>
        <v>291416.7917620404</v>
      </c>
      <c r="U111" s="60">
        <f>(U110*$K$1/12) + U110 + ((U$11/12*7%))</f>
        <v>38269.409018148865</v>
      </c>
      <c r="V111" s="60">
        <v>3100</v>
      </c>
      <c r="W111" s="60">
        <f>(W110*($K$1/12))+W110+$W$6</f>
        <v>26233.997133796624</v>
      </c>
      <c r="X111" s="11">
        <v>0</v>
      </c>
      <c r="Y111" s="60">
        <f>(Y110*($K$1/12))+Y110+$Y$6</f>
        <v>39780.397220743354</v>
      </c>
      <c r="Z111" s="60">
        <f>'Mortgage and Loans'!U73</f>
        <v>43529.57</v>
      </c>
      <c r="AA111" s="12">
        <f t="shared" si="212"/>
        <v>544439.63370698155</v>
      </c>
      <c r="AB111" s="56">
        <f t="shared" si="221"/>
        <v>750</v>
      </c>
      <c r="AC111" s="56">
        <f t="shared" si="221"/>
        <v>750</v>
      </c>
      <c r="AD111" s="56">
        <f t="shared" si="221"/>
        <v>750</v>
      </c>
      <c r="AE111" s="56">
        <f t="shared" si="221"/>
        <v>750</v>
      </c>
      <c r="AF111" s="56">
        <f t="shared" si="219"/>
        <v>261.43963883115362</v>
      </c>
      <c r="AG111" s="56">
        <f t="shared" si="221"/>
        <v>750</v>
      </c>
      <c r="AH111" s="56">
        <f>'Mortgage and Loans'!AF68</f>
        <v>5060.1477413342154</v>
      </c>
      <c r="AI111" s="56">
        <f>'Mortgage and Loans'!AQ68</f>
        <v>0</v>
      </c>
      <c r="AJ111" s="56">
        <f>'Mortgage and Loans'!BB68</f>
        <v>0</v>
      </c>
      <c r="AK111" s="56">
        <f>'Mortgage and Loans'!BM68</f>
        <v>0</v>
      </c>
      <c r="AL111" s="56">
        <f>'Mortgage and Loans'!T73</f>
        <v>136470.43000000005</v>
      </c>
      <c r="AM111" s="12">
        <f t="shared" si="12"/>
        <v>-145542.01738016543</v>
      </c>
      <c r="AN111" s="75">
        <f t="shared" si="85"/>
        <v>398897.61632681615</v>
      </c>
      <c r="AO111" s="86">
        <f>'Mortgage and Loans'!G74</f>
        <v>2872.1899999999996</v>
      </c>
      <c r="AP111" s="79">
        <f>('Salary Tax Breakdown'!B$16/12)-Data!AO111</f>
        <v>575.3100000000004</v>
      </c>
      <c r="AQ111" s="87"/>
      <c r="AR111" s="20">
        <f t="shared" si="182"/>
        <v>4011.4396388311534</v>
      </c>
      <c r="AS111" s="20">
        <v>750</v>
      </c>
      <c r="AT111" s="20">
        <v>0</v>
      </c>
      <c r="AU111" s="20">
        <f t="shared" si="183"/>
        <v>4761.4396388311534</v>
      </c>
      <c r="AV111" s="20">
        <f t="shared" si="184"/>
        <v>4761.4396331679936</v>
      </c>
      <c r="AW111" s="51">
        <f t="shared" si="213"/>
        <v>0</v>
      </c>
      <c r="AX111" s="51">
        <f t="shared" si="14"/>
        <v>0</v>
      </c>
      <c r="AY111" s="51">
        <f t="shared" si="15"/>
        <v>0</v>
      </c>
      <c r="AZ111" s="51">
        <f t="shared" si="16"/>
        <v>0</v>
      </c>
      <c r="BA111" s="51">
        <f t="shared" si="17"/>
        <v>0</v>
      </c>
      <c r="BB111" s="51">
        <f t="shared" si="18"/>
        <v>0</v>
      </c>
      <c r="BC111" s="51">
        <f t="shared" si="19"/>
        <v>0</v>
      </c>
      <c r="BD111" s="51">
        <f t="shared" si="20"/>
        <v>0</v>
      </c>
      <c r="BE111" s="51">
        <f t="shared" si="21"/>
        <v>0</v>
      </c>
      <c r="BF111" s="51">
        <f t="shared" si="22"/>
        <v>0</v>
      </c>
      <c r="BG111" s="51">
        <f t="shared" si="23"/>
        <v>0</v>
      </c>
      <c r="BH111" s="51">
        <f t="shared" si="24"/>
        <v>0</v>
      </c>
      <c r="BI111" s="51">
        <f t="shared" si="185"/>
        <v>0</v>
      </c>
      <c r="BJ111" s="51">
        <f t="shared" si="186"/>
        <v>0</v>
      </c>
      <c r="BK111" s="51">
        <f t="shared" si="187"/>
        <v>0</v>
      </c>
      <c r="BL111" s="51">
        <f t="shared" si="188"/>
        <v>0</v>
      </c>
      <c r="BM111" s="51">
        <f t="shared" si="189"/>
        <v>0</v>
      </c>
      <c r="BN111" s="51">
        <f t="shared" si="190"/>
        <v>0</v>
      </c>
      <c r="BO111" s="51">
        <f t="shared" si="191"/>
        <v>0</v>
      </c>
      <c r="BP111" s="51">
        <f t="shared" si="192"/>
        <v>0</v>
      </c>
      <c r="BQ111" s="51">
        <f t="shared" si="193"/>
        <v>0</v>
      </c>
      <c r="BR111" s="51">
        <f t="shared" si="194"/>
        <v>0</v>
      </c>
      <c r="BS111" s="51">
        <f t="shared" si="195"/>
        <v>0</v>
      </c>
      <c r="BT111" s="51">
        <f t="shared" si="196"/>
        <v>0</v>
      </c>
      <c r="BU111" s="20">
        <f t="shared" si="197"/>
        <v>4761.4396243592355</v>
      </c>
      <c r="BV111" s="20">
        <f t="shared" si="198"/>
        <v>4761.4396393030829</v>
      </c>
      <c r="BW111" s="20">
        <f t="shared" si="199"/>
        <v>57137.275665973837</v>
      </c>
      <c r="BX111" s="20">
        <f t="shared" si="200"/>
        <v>57137.27549231083</v>
      </c>
      <c r="BY111" s="20">
        <f t="shared" si="201"/>
        <v>57137.275671636991</v>
      </c>
      <c r="BZ111" s="21">
        <f t="shared" si="202"/>
        <v>57137.275609973884</v>
      </c>
      <c r="CA111" s="19">
        <f t="shared" si="216"/>
        <v>1428431.8902493471</v>
      </c>
      <c r="CB111" s="20">
        <f t="shared" si="203"/>
        <v>1428431.8863793658</v>
      </c>
      <c r="CC111" s="20">
        <f t="shared" si="204"/>
        <v>1428431.8906824517</v>
      </c>
      <c r="CD111" s="20">
        <f t="shared" si="217"/>
        <v>0</v>
      </c>
      <c r="CE111" s="20">
        <f t="shared" si="220"/>
        <v>1400000</v>
      </c>
      <c r="CF111" s="20">
        <f t="shared" si="214"/>
        <v>478020.80310115707</v>
      </c>
      <c r="CG111" s="20">
        <f t="shared" si="205"/>
        <v>19120.832124046283</v>
      </c>
      <c r="CH111" s="20">
        <f t="shared" si="215"/>
        <v>1593.402677003857</v>
      </c>
      <c r="CI111" s="20">
        <f t="shared" si="206"/>
        <v>470051.60164788581</v>
      </c>
      <c r="CJ111" s="24">
        <f t="shared" si="207"/>
        <v>0.33464725035842791</v>
      </c>
      <c r="CK111" s="24">
        <f t="shared" si="208"/>
        <v>1.6984905491599207E-2</v>
      </c>
      <c r="CL111" s="24">
        <f t="shared" si="209"/>
        <v>5.2447967209478037E-2</v>
      </c>
      <c r="CM111" s="25">
        <f t="shared" si="210"/>
        <v>0.2415908260450419</v>
      </c>
      <c r="CN111" s="17"/>
      <c r="CO111" s="17"/>
      <c r="CP111" s="17"/>
      <c r="CQ111" s="17"/>
      <c r="CR111" s="17"/>
      <c r="CS111" s="17"/>
      <c r="CT111" s="17"/>
      <c r="CU111" s="17"/>
      <c r="CV111" s="17"/>
      <c r="CW111" s="30">
        <v>0</v>
      </c>
      <c r="CX111" s="17"/>
      <c r="CY111" s="17"/>
      <c r="CZ111" s="17"/>
      <c r="DA111" s="17"/>
      <c r="DB111" s="17"/>
    </row>
    <row r="112" spans="1:106" ht="15.75" thickBot="1" x14ac:dyDescent="0.3">
      <c r="A112" s="5">
        <f t="shared" si="218"/>
        <v>33</v>
      </c>
      <c r="B112" s="5">
        <f t="shared" si="218"/>
        <v>31</v>
      </c>
      <c r="C112" s="1">
        <v>45627</v>
      </c>
      <c r="D112" s="4"/>
      <c r="E112" s="30"/>
      <c r="F112" s="30"/>
      <c r="G112" s="30">
        <f t="shared" si="211"/>
        <v>0</v>
      </c>
      <c r="H112" s="30"/>
      <c r="I112" s="10">
        <v>0</v>
      </c>
      <c r="J112" s="60">
        <v>9000</v>
      </c>
      <c r="K112" s="11">
        <v>550</v>
      </c>
      <c r="L112" s="60">
        <f t="shared" si="72"/>
        <v>9946.2645040564857</v>
      </c>
      <c r="M112" s="11">
        <v>305</v>
      </c>
      <c r="N112" s="60">
        <v>0</v>
      </c>
      <c r="O112" s="11">
        <v>0</v>
      </c>
      <c r="P112" s="11">
        <v>0</v>
      </c>
      <c r="Q112" s="60">
        <f>(Q111*($K$1/12))+Q111 + $Q$6</f>
        <v>70993.818063778905</v>
      </c>
      <c r="R112" s="60">
        <f>(R111*($K$1/12))+R111</f>
        <v>6792.0762773177012</v>
      </c>
      <c r="S112" s="60">
        <f>(S111*($K$1/12))+S111</f>
        <v>5896.8847518160846</v>
      </c>
      <c r="T112" s="60">
        <f>(T111*($K$1/12))+T111+$T$6 + ((3%/12)*T$11)</f>
        <v>296170.29938408476</v>
      </c>
      <c r="U112" s="60">
        <f>(U111*$K$1/12) + U111 + ((U$11/12*7%))</f>
        <v>38885.034983663842</v>
      </c>
      <c r="V112" s="60">
        <v>3100</v>
      </c>
      <c r="W112" s="60">
        <f>(W111*($K$1/12))+W111+$W$6</f>
        <v>26663.59795160469</v>
      </c>
      <c r="X112" s="11">
        <v>0</v>
      </c>
      <c r="Y112" s="60">
        <f>(Y111*($K$1/12))+Y111+$Y$6</f>
        <v>40645.874372355713</v>
      </c>
      <c r="Z112" s="60">
        <f>'Mortgage and Loans'!U74</f>
        <v>43787.29</v>
      </c>
      <c r="AA112" s="12">
        <f t="shared" si="212"/>
        <v>552736.14028867811</v>
      </c>
      <c r="AB112" s="56">
        <f t="shared" si="221"/>
        <v>750</v>
      </c>
      <c r="AC112" s="56">
        <f t="shared" si="221"/>
        <v>750</v>
      </c>
      <c r="AD112" s="56">
        <f t="shared" si="221"/>
        <v>750</v>
      </c>
      <c r="AE112" s="56">
        <f t="shared" si="221"/>
        <v>750</v>
      </c>
      <c r="AF112" s="56">
        <f t="shared" si="219"/>
        <v>261.4396393030836</v>
      </c>
      <c r="AG112" s="56">
        <f t="shared" si="221"/>
        <v>750</v>
      </c>
      <c r="AH112" s="56">
        <f>'Mortgage and Loans'!AF69</f>
        <v>2937.7577413342151</v>
      </c>
      <c r="AI112" s="56">
        <f>'Mortgage and Loans'!AQ69</f>
        <v>0</v>
      </c>
      <c r="AJ112" s="56">
        <f>'Mortgage and Loans'!BB69</f>
        <v>0</v>
      </c>
      <c r="AK112" s="56">
        <f>'Mortgage and Loans'!BM69</f>
        <v>0</v>
      </c>
      <c r="AL112" s="56">
        <f>'Mortgage and Loans'!T74</f>
        <v>136212.71000000005</v>
      </c>
      <c r="AM112" s="12">
        <f t="shared" si="12"/>
        <v>-143161.90738063736</v>
      </c>
      <c r="AN112" s="75">
        <f t="shared" si="85"/>
        <v>409574.23290804075</v>
      </c>
      <c r="AO112" s="86">
        <f>'Mortgage and Loans'!G75</f>
        <v>2872.1899999999996</v>
      </c>
      <c r="AP112" s="79">
        <f>('Salary Tax Breakdown'!B$16/12)-Data!AO112</f>
        <v>575.3100000000004</v>
      </c>
      <c r="AQ112" s="87"/>
      <c r="AR112" s="20">
        <f t="shared" si="182"/>
        <v>4011.4396393030838</v>
      </c>
      <c r="AS112" s="20">
        <v>750</v>
      </c>
      <c r="AT112" s="20">
        <v>0</v>
      </c>
      <c r="AU112" s="20">
        <f t="shared" si="183"/>
        <v>4761.4396393030838</v>
      </c>
      <c r="AV112" s="20">
        <f t="shared" si="184"/>
        <v>4761.4397238989641</v>
      </c>
      <c r="AW112" s="51">
        <f t="shared" si="213"/>
        <v>0</v>
      </c>
      <c r="AX112" s="51">
        <f t="shared" si="14"/>
        <v>0</v>
      </c>
      <c r="AY112" s="51">
        <f t="shared" si="15"/>
        <v>0</v>
      </c>
      <c r="AZ112" s="51">
        <f t="shared" si="16"/>
        <v>0</v>
      </c>
      <c r="BA112" s="51">
        <f t="shared" si="17"/>
        <v>0</v>
      </c>
      <c r="BB112" s="51">
        <f t="shared" si="18"/>
        <v>0</v>
      </c>
      <c r="BC112" s="51">
        <f t="shared" si="19"/>
        <v>0</v>
      </c>
      <c r="BD112" s="51">
        <f t="shared" si="20"/>
        <v>0</v>
      </c>
      <c r="BE112" s="51">
        <f t="shared" si="21"/>
        <v>0</v>
      </c>
      <c r="BF112" s="51">
        <f t="shared" si="22"/>
        <v>0</v>
      </c>
      <c r="BG112" s="51">
        <f t="shared" si="23"/>
        <v>0</v>
      </c>
      <c r="BH112" s="51">
        <f t="shared" si="24"/>
        <v>0</v>
      </c>
      <c r="BI112" s="51">
        <f t="shared" si="185"/>
        <v>0</v>
      </c>
      <c r="BJ112" s="51">
        <f t="shared" si="186"/>
        <v>0</v>
      </c>
      <c r="BK112" s="51">
        <f t="shared" si="187"/>
        <v>0</v>
      </c>
      <c r="BL112" s="51">
        <f t="shared" si="188"/>
        <v>0</v>
      </c>
      <c r="BM112" s="51">
        <f t="shared" si="189"/>
        <v>0</v>
      </c>
      <c r="BN112" s="51">
        <f t="shared" si="190"/>
        <v>0</v>
      </c>
      <c r="BO112" s="51">
        <f t="shared" si="191"/>
        <v>0</v>
      </c>
      <c r="BP112" s="51">
        <f t="shared" si="192"/>
        <v>0</v>
      </c>
      <c r="BQ112" s="51">
        <f t="shared" si="193"/>
        <v>0</v>
      </c>
      <c r="BR112" s="51">
        <f t="shared" si="194"/>
        <v>0</v>
      </c>
      <c r="BS112" s="51">
        <f t="shared" si="195"/>
        <v>0</v>
      </c>
      <c r="BT112" s="51">
        <f t="shared" si="196"/>
        <v>0</v>
      </c>
      <c r="BU112" s="20">
        <f t="shared" si="197"/>
        <v>4761.4396352680087</v>
      </c>
      <c r="BV112" s="20">
        <f t="shared" si="198"/>
        <v>4761.4396322534258</v>
      </c>
      <c r="BW112" s="20">
        <f t="shared" si="199"/>
        <v>57137.275671637006</v>
      </c>
      <c r="BX112" s="20">
        <f t="shared" si="200"/>
        <v>57137.275623216105</v>
      </c>
      <c r="BY112" s="20">
        <f t="shared" si="201"/>
        <v>57137.275587041106</v>
      </c>
      <c r="BZ112" s="21">
        <f t="shared" si="202"/>
        <v>57137.27562729807</v>
      </c>
      <c r="CA112" s="19">
        <f t="shared" si="216"/>
        <v>1428431.8906824517</v>
      </c>
      <c r="CB112" s="20">
        <f t="shared" si="203"/>
        <v>1428431.8893664156</v>
      </c>
      <c r="CC112" s="20">
        <f t="shared" si="204"/>
        <v>1428431.889096576</v>
      </c>
      <c r="CD112" s="20">
        <f t="shared" si="217"/>
        <v>0</v>
      </c>
      <c r="CE112" s="20">
        <f t="shared" si="220"/>
        <v>1400000</v>
      </c>
      <c r="CF112" s="20">
        <f t="shared" si="214"/>
        <v>486047.58578462165</v>
      </c>
      <c r="CG112" s="20">
        <f t="shared" si="205"/>
        <v>19441.903431384868</v>
      </c>
      <c r="CH112" s="20">
        <f t="shared" si="215"/>
        <v>1620.1586192820723</v>
      </c>
      <c r="CI112" s="20">
        <f t="shared" si="206"/>
        <v>478035.21782347857</v>
      </c>
      <c r="CJ112" s="24">
        <f t="shared" si="207"/>
        <v>0.34026654641560072</v>
      </c>
      <c r="CK112" s="24">
        <f t="shared" si="208"/>
        <v>1.6791701598321409E-2</v>
      </c>
      <c r="CL112" s="24">
        <f t="shared" si="209"/>
        <v>5.1830810727871046E-2</v>
      </c>
      <c r="CM112" s="25">
        <f t="shared" si="210"/>
        <v>0.23824419769128372</v>
      </c>
      <c r="CN112" s="17"/>
      <c r="CO112" s="17"/>
      <c r="CP112" s="17"/>
      <c r="CQ112" s="17"/>
      <c r="CR112" s="17"/>
      <c r="CS112" s="17"/>
      <c r="CT112" s="17"/>
      <c r="CU112" s="17"/>
      <c r="CV112" s="17"/>
      <c r="CW112" s="30">
        <v>0</v>
      </c>
      <c r="CX112" s="17"/>
      <c r="CY112" s="17"/>
      <c r="CZ112" s="17"/>
      <c r="DA112" s="17"/>
      <c r="DB112" s="17"/>
    </row>
    <row r="113" spans="1:106" ht="15.75" thickBot="1" x14ac:dyDescent="0.3">
      <c r="A113" s="5">
        <f t="shared" si="218"/>
        <v>33</v>
      </c>
      <c r="B113" s="5">
        <f t="shared" si="218"/>
        <v>31</v>
      </c>
      <c r="C113" s="1">
        <v>45658</v>
      </c>
      <c r="D113" s="4"/>
      <c r="E113" s="30"/>
      <c r="F113" s="30"/>
      <c r="G113" s="30">
        <f t="shared" si="211"/>
        <v>0</v>
      </c>
      <c r="H113" s="30"/>
      <c r="I113" s="10">
        <v>0</v>
      </c>
      <c r="J113" s="60">
        <v>9000</v>
      </c>
      <c r="K113" s="11">
        <v>550</v>
      </c>
      <c r="L113" s="60">
        <f t="shared" si="72"/>
        <v>9958.2829069988857</v>
      </c>
      <c r="M113" s="11">
        <v>305</v>
      </c>
      <c r="N113" s="60">
        <v>0</v>
      </c>
      <c r="O113" s="11">
        <v>0</v>
      </c>
      <c r="P113" s="11">
        <v>0</v>
      </c>
      <c r="Q113" s="60">
        <f>(Q112*($K$1/12))+Q112 + $Q$6</f>
        <v>72295.037911624371</v>
      </c>
      <c r="R113" s="60">
        <f>(R112*($K$1/12))+R112</f>
        <v>6828.8666904865058</v>
      </c>
      <c r="S113" s="60">
        <f>(S112*($K$1/12))+S112</f>
        <v>5928.8262108884219</v>
      </c>
      <c r="T113" s="60">
        <f>(T112*($K$1/12))+T112+$T$6 + ((3%/12)*T$11)</f>
        <v>300949.55517241522</v>
      </c>
      <c r="U113" s="60">
        <f>(U112*$K$1/12) + U112 + ((U$11/12*7%))</f>
        <v>39503.995589825354</v>
      </c>
      <c r="V113" s="60">
        <v>3100</v>
      </c>
      <c r="W113" s="60">
        <f>(W112*($K$1/12))+W112+$W$6</f>
        <v>27095.52577384255</v>
      </c>
      <c r="X113" s="11">
        <v>0</v>
      </c>
      <c r="Y113" s="60">
        <f>(Y112*($K$1/12))+Y112+$Y$6</f>
        <v>41516.039525205975</v>
      </c>
      <c r="Z113" s="60">
        <f>'Mortgage and Loans'!U75</f>
        <v>44045.9</v>
      </c>
      <c r="AA113" s="12">
        <f t="shared" si="212"/>
        <v>561077.02978128719</v>
      </c>
      <c r="AB113" s="56">
        <f t="shared" si="221"/>
        <v>750</v>
      </c>
      <c r="AC113" s="56">
        <f t="shared" si="221"/>
        <v>750</v>
      </c>
      <c r="AD113" s="56">
        <f t="shared" si="221"/>
        <v>750</v>
      </c>
      <c r="AE113" s="56">
        <f t="shared" si="221"/>
        <v>750</v>
      </c>
      <c r="AF113" s="56">
        <f t="shared" si="219"/>
        <v>261.43963225342696</v>
      </c>
      <c r="AG113" s="56">
        <f t="shared" si="221"/>
        <v>750</v>
      </c>
      <c r="AH113" s="56">
        <f>'Mortgage and Loans'!AF70</f>
        <v>805.97774133421535</v>
      </c>
      <c r="AI113" s="56">
        <f>'Mortgage and Loans'!AQ70</f>
        <v>0</v>
      </c>
      <c r="AJ113" s="56">
        <f>'Mortgage and Loans'!BB70</f>
        <v>0</v>
      </c>
      <c r="AK113" s="56">
        <f>'Mortgage and Loans'!BM70</f>
        <v>0</v>
      </c>
      <c r="AL113" s="56">
        <f>'Mortgage and Loans'!T75</f>
        <v>135954.10000000006</v>
      </c>
      <c r="AM113" s="12">
        <f t="shared" si="12"/>
        <v>-140771.5173735877</v>
      </c>
      <c r="AN113" s="75">
        <f t="shared" si="85"/>
        <v>420305.51240769948</v>
      </c>
      <c r="AO113" s="86">
        <f>'Mortgage and Loans'!G76</f>
        <v>2872.1899999999996</v>
      </c>
      <c r="AP113" s="79">
        <f>('Salary Tax Breakdown'!B$16/12)-Data!AO113</f>
        <v>575.3100000000004</v>
      </c>
      <c r="AQ113" s="87"/>
      <c r="AR113" s="20">
        <f t="shared" si="182"/>
        <v>4011.4396322534271</v>
      </c>
      <c r="AS113" s="20">
        <v>750</v>
      </c>
      <c r="AT113" s="20">
        <v>0</v>
      </c>
      <c r="AU113" s="20">
        <f t="shared" si="183"/>
        <v>4761.4396322534267</v>
      </c>
      <c r="AV113" s="20">
        <f t="shared" si="184"/>
        <v>4761.4397562971835</v>
      </c>
      <c r="AW113" s="51">
        <f t="shared" si="213"/>
        <v>0</v>
      </c>
      <c r="AX113" s="51">
        <f t="shared" si="14"/>
        <v>0</v>
      </c>
      <c r="AY113" s="51">
        <f t="shared" si="15"/>
        <v>0</v>
      </c>
      <c r="AZ113" s="51">
        <f t="shared" si="16"/>
        <v>0</v>
      </c>
      <c r="BA113" s="51">
        <f t="shared" si="17"/>
        <v>0</v>
      </c>
      <c r="BB113" s="51">
        <f t="shared" si="18"/>
        <v>0</v>
      </c>
      <c r="BC113" s="51">
        <f t="shared" si="19"/>
        <v>0</v>
      </c>
      <c r="BD113" s="51">
        <f t="shared" si="20"/>
        <v>0</v>
      </c>
      <c r="BE113" s="51">
        <f t="shared" si="21"/>
        <v>0</v>
      </c>
      <c r="BF113" s="51">
        <f t="shared" si="22"/>
        <v>0</v>
      </c>
      <c r="BG113" s="51">
        <f t="shared" si="23"/>
        <v>0</v>
      </c>
      <c r="BH113" s="51">
        <f t="shared" si="24"/>
        <v>0</v>
      </c>
      <c r="BI113" s="51">
        <f t="shared" si="185"/>
        <v>0</v>
      </c>
      <c r="BJ113" s="51">
        <f t="shared" si="186"/>
        <v>0</v>
      </c>
      <c r="BK113" s="51">
        <f t="shared" si="187"/>
        <v>0</v>
      </c>
      <c r="BL113" s="51">
        <f t="shared" si="188"/>
        <v>0</v>
      </c>
      <c r="BM113" s="51">
        <f t="shared" si="189"/>
        <v>0</v>
      </c>
      <c r="BN113" s="51">
        <f t="shared" si="190"/>
        <v>0</v>
      </c>
      <c r="BO113" s="51">
        <f t="shared" si="191"/>
        <v>0</v>
      </c>
      <c r="BP113" s="51">
        <f t="shared" si="192"/>
        <v>0</v>
      </c>
      <c r="BQ113" s="51">
        <f t="shared" si="193"/>
        <v>0</v>
      </c>
      <c r="BR113" s="51">
        <f t="shared" si="194"/>
        <v>0</v>
      </c>
      <c r="BS113" s="51">
        <f t="shared" si="195"/>
        <v>0</v>
      </c>
      <c r="BT113" s="51">
        <f t="shared" si="196"/>
        <v>0</v>
      </c>
      <c r="BU113" s="20">
        <f t="shared" si="197"/>
        <v>4761.439636795888</v>
      </c>
      <c r="BV113" s="20">
        <f t="shared" si="198"/>
        <v>4761.4396219164473</v>
      </c>
      <c r="BW113" s="20">
        <f t="shared" si="199"/>
        <v>57137.27558704112</v>
      </c>
      <c r="BX113" s="20">
        <f t="shared" si="200"/>
        <v>57137.275641550659</v>
      </c>
      <c r="BY113" s="20">
        <f t="shared" si="201"/>
        <v>57137.275462997364</v>
      </c>
      <c r="BZ113" s="21">
        <f t="shared" si="202"/>
        <v>57137.275563863048</v>
      </c>
      <c r="CA113" s="19">
        <f t="shared" si="216"/>
        <v>1428431.8890965763</v>
      </c>
      <c r="CB113" s="20">
        <f t="shared" si="203"/>
        <v>1428431.8900094584</v>
      </c>
      <c r="CC113" s="20">
        <f t="shared" si="204"/>
        <v>1428431.8865302792</v>
      </c>
      <c r="CD113" s="20">
        <f t="shared" si="217"/>
        <v>0</v>
      </c>
      <c r="CE113" s="20">
        <f t="shared" si="220"/>
        <v>1400000</v>
      </c>
      <c r="CF113" s="20">
        <f t="shared" si="214"/>
        <v>494117.8468742884</v>
      </c>
      <c r="CG113" s="20">
        <f t="shared" si="205"/>
        <v>19764.713874971538</v>
      </c>
      <c r="CH113" s="20">
        <f t="shared" si="215"/>
        <v>1647.0594895809616</v>
      </c>
      <c r="CI113" s="20">
        <f t="shared" si="206"/>
        <v>486062.07858668902</v>
      </c>
      <c r="CJ113" s="24">
        <f t="shared" si="207"/>
        <v>0.34591628087427856</v>
      </c>
      <c r="CK113" s="24">
        <f t="shared" si="208"/>
        <v>1.6603849758124005E-2</v>
      </c>
      <c r="CL113" s="24">
        <f t="shared" si="209"/>
        <v>5.1231219530881389E-2</v>
      </c>
      <c r="CM113" s="25">
        <f t="shared" si="210"/>
        <v>0.23500631948812808</v>
      </c>
      <c r="CN113" s="17"/>
      <c r="CO113" s="17"/>
      <c r="CP113" s="17"/>
      <c r="CQ113" s="17"/>
      <c r="CR113" s="17"/>
      <c r="CS113" s="17"/>
      <c r="CT113" s="17"/>
      <c r="CU113" s="17"/>
      <c r="CV113" s="17"/>
      <c r="CW113" s="30">
        <v>0</v>
      </c>
      <c r="CX113" s="17"/>
      <c r="CY113" s="17"/>
      <c r="CZ113" s="17"/>
      <c r="DA113" s="17"/>
      <c r="DB113" s="17"/>
    </row>
    <row r="114" spans="1:106" ht="16.5" thickTop="1" thickBot="1" x14ac:dyDescent="0.3">
      <c r="A114" s="5">
        <f t="shared" si="218"/>
        <v>33</v>
      </c>
      <c r="B114" s="5">
        <f t="shared" si="218"/>
        <v>31</v>
      </c>
      <c r="C114" s="1">
        <v>45689</v>
      </c>
      <c r="D114" s="4"/>
      <c r="E114" s="30"/>
      <c r="F114" s="30"/>
      <c r="G114" s="30">
        <f t="shared" si="211"/>
        <v>0</v>
      </c>
      <c r="H114" s="30"/>
      <c r="I114" s="10">
        <v>0</v>
      </c>
      <c r="J114" s="60">
        <v>9000</v>
      </c>
      <c r="K114" s="11">
        <v>550</v>
      </c>
      <c r="L114" s="60">
        <f t="shared" si="72"/>
        <v>9970.3158321781757</v>
      </c>
      <c r="M114" s="11">
        <v>305</v>
      </c>
      <c r="N114" s="60">
        <v>0</v>
      </c>
      <c r="O114" s="11">
        <v>0</v>
      </c>
      <c r="P114" s="11">
        <v>0</v>
      </c>
      <c r="Q114" s="60">
        <f>(Q113*($K$1/12))+Q113 + $Q$6</f>
        <v>73603.306033645669</v>
      </c>
      <c r="R114" s="60">
        <f>(R113*($K$1/12))+R113</f>
        <v>6865.8563850599749</v>
      </c>
      <c r="S114" s="60">
        <f>(S113*($K$1/12))+S113</f>
        <v>5960.9406861974012</v>
      </c>
      <c r="T114" s="60">
        <f>(T113*($K$1/12))+T113+$T$6 + ((3%/12)*T$11)</f>
        <v>305754.69859626581</v>
      </c>
      <c r="U114" s="60">
        <f>(U113*$K$1/12) + U113 + ((U$11/12*7%))</f>
        <v>40126.308899270247</v>
      </c>
      <c r="V114" s="60">
        <v>3100</v>
      </c>
      <c r="W114" s="60">
        <f>(W113*($K$1/12))+W113+$W$6</f>
        <v>27529.79320511753</v>
      </c>
      <c r="X114" s="11">
        <v>0</v>
      </c>
      <c r="Y114" s="102">
        <f>(Y113*($K$1/12))+Y113+$Y$7</f>
        <v>43690.918072634173</v>
      </c>
      <c r="Z114" s="60">
        <f>'Mortgage and Loans'!U76</f>
        <v>44305.4</v>
      </c>
      <c r="AA114" s="12">
        <f t="shared" si="212"/>
        <v>570762.53771036898</v>
      </c>
      <c r="AB114" s="56">
        <f t="shared" si="221"/>
        <v>750</v>
      </c>
      <c r="AC114" s="56">
        <f t="shared" si="221"/>
        <v>750</v>
      </c>
      <c r="AD114" s="56">
        <f t="shared" si="221"/>
        <v>750</v>
      </c>
      <c r="AE114" s="56">
        <f t="shared" si="221"/>
        <v>750</v>
      </c>
      <c r="AF114" s="56">
        <f t="shared" si="219"/>
        <v>261.43962191644721</v>
      </c>
      <c r="AG114" s="56">
        <f t="shared" si="221"/>
        <v>750</v>
      </c>
      <c r="AH114" s="56">
        <f>'Mortgage and Loans'!AF71</f>
        <v>-2.2586657845522495E-3</v>
      </c>
      <c r="AI114" s="56">
        <f>'Mortgage and Loans'!AQ71</f>
        <v>0</v>
      </c>
      <c r="AJ114" s="56">
        <f>'Mortgage and Loans'!BB71</f>
        <v>0</v>
      </c>
      <c r="AK114" s="56">
        <f>'Mortgage and Loans'!BM71</f>
        <v>0</v>
      </c>
      <c r="AL114" s="56">
        <f>'Mortgage and Loans'!T76</f>
        <v>135694.60000000006</v>
      </c>
      <c r="AM114" s="12">
        <f t="shared" si="12"/>
        <v>-139706.03736325074</v>
      </c>
      <c r="AN114" s="75">
        <f t="shared" si="85"/>
        <v>431056.50034711824</v>
      </c>
      <c r="AO114" s="86">
        <f>'Mortgage and Loans'!G77</f>
        <v>1536.96</v>
      </c>
      <c r="AP114" s="79">
        <f>('Salary Tax Breakdown'!B$16/12)-Data!AO114</f>
        <v>1910.54</v>
      </c>
      <c r="AQ114" s="87"/>
      <c r="AR114" s="20">
        <f t="shared" si="182"/>
        <v>4011.4396219164473</v>
      </c>
      <c r="AS114" s="20">
        <v>750</v>
      </c>
      <c r="AT114" s="20">
        <v>0</v>
      </c>
      <c r="AU114" s="20">
        <f t="shared" si="183"/>
        <v>4761.4396219164473</v>
      </c>
      <c r="AV114" s="20">
        <f t="shared" si="184"/>
        <v>4761.4397381694962</v>
      </c>
      <c r="AW114" s="51">
        <f t="shared" si="213"/>
        <v>0</v>
      </c>
      <c r="AX114" s="51">
        <f t="shared" si="14"/>
        <v>0</v>
      </c>
      <c r="AY114" s="51">
        <f t="shared" si="15"/>
        <v>0</v>
      </c>
      <c r="AZ114" s="51">
        <f t="shared" si="16"/>
        <v>0</v>
      </c>
      <c r="BA114" s="51">
        <f t="shared" si="17"/>
        <v>0</v>
      </c>
      <c r="BB114" s="51">
        <f t="shared" si="18"/>
        <v>0</v>
      </c>
      <c r="BC114" s="51">
        <f t="shared" si="19"/>
        <v>0</v>
      </c>
      <c r="BD114" s="51">
        <f t="shared" si="20"/>
        <v>0</v>
      </c>
      <c r="BE114" s="51">
        <f t="shared" si="21"/>
        <v>0</v>
      </c>
      <c r="BF114" s="51">
        <f t="shared" si="22"/>
        <v>0</v>
      </c>
      <c r="BG114" s="51">
        <f t="shared" si="23"/>
        <v>0</v>
      </c>
      <c r="BH114" s="51">
        <f t="shared" si="24"/>
        <v>0</v>
      </c>
      <c r="BI114" s="51">
        <f t="shared" si="185"/>
        <v>0</v>
      </c>
      <c r="BJ114" s="51">
        <f t="shared" si="186"/>
        <v>0</v>
      </c>
      <c r="BK114" s="51">
        <f t="shared" si="187"/>
        <v>0</v>
      </c>
      <c r="BL114" s="51">
        <f t="shared" si="188"/>
        <v>0</v>
      </c>
      <c r="BM114" s="51">
        <f t="shared" si="189"/>
        <v>0</v>
      </c>
      <c r="BN114" s="51">
        <f t="shared" si="190"/>
        <v>0</v>
      </c>
      <c r="BO114" s="51">
        <f t="shared" si="191"/>
        <v>0</v>
      </c>
      <c r="BP114" s="51">
        <f t="shared" si="192"/>
        <v>0</v>
      </c>
      <c r="BQ114" s="51">
        <f t="shared" si="193"/>
        <v>0</v>
      </c>
      <c r="BR114" s="51">
        <f t="shared" si="194"/>
        <v>0</v>
      </c>
      <c r="BS114" s="51">
        <f t="shared" si="195"/>
        <v>0</v>
      </c>
      <c r="BT114" s="51">
        <f t="shared" si="196"/>
        <v>0</v>
      </c>
      <c r="BU114" s="20">
        <f t="shared" si="197"/>
        <v>4761.4396311576529</v>
      </c>
      <c r="BV114" s="20">
        <f t="shared" si="198"/>
        <v>4761.4396122286926</v>
      </c>
      <c r="BW114" s="20">
        <f t="shared" si="199"/>
        <v>57137.275462997364</v>
      </c>
      <c r="BX114" s="20">
        <f t="shared" si="200"/>
        <v>57137.275573891835</v>
      </c>
      <c r="BY114" s="20">
        <f t="shared" si="201"/>
        <v>57137.275346744311</v>
      </c>
      <c r="BZ114" s="21">
        <f t="shared" si="202"/>
        <v>57137.275461211168</v>
      </c>
      <c r="CA114" s="19">
        <f t="shared" si="216"/>
        <v>1428431.8865302792</v>
      </c>
      <c r="CB114" s="20">
        <f t="shared" si="203"/>
        <v>1428431.8887697691</v>
      </c>
      <c r="CC114" s="20">
        <f t="shared" si="204"/>
        <v>1428431.8840556613</v>
      </c>
      <c r="CD114" s="20">
        <f t="shared" si="217"/>
        <v>0</v>
      </c>
      <c r="CE114" s="20">
        <f t="shared" si="220"/>
        <v>1400000</v>
      </c>
      <c r="CF114" s="20">
        <f t="shared" si="214"/>
        <v>503531.82187819085</v>
      </c>
      <c r="CG114" s="20">
        <f t="shared" si="205"/>
        <v>20141.272875127634</v>
      </c>
      <c r="CH114" s="20">
        <f t="shared" si="215"/>
        <v>1678.4394062606361</v>
      </c>
      <c r="CI114" s="20">
        <f t="shared" si="206"/>
        <v>494565.75151236699</v>
      </c>
      <c r="CJ114" s="24">
        <f t="shared" si="207"/>
        <v>0.35250670741595913</v>
      </c>
      <c r="CK114" s="24">
        <f t="shared" si="208"/>
        <v>1.9052084565359808E-2</v>
      </c>
      <c r="CL114" s="24">
        <f t="shared" si="209"/>
        <v>5.3368009533332442E-2</v>
      </c>
      <c r="CM114" s="25">
        <f t="shared" si="210"/>
        <v>0.23506065468637219</v>
      </c>
      <c r="CN114" s="17"/>
      <c r="CO114" s="17"/>
      <c r="CP114" s="17"/>
      <c r="CQ114" s="17"/>
      <c r="CR114" s="17"/>
      <c r="CS114" s="17"/>
      <c r="CT114" s="17"/>
      <c r="CU114" s="17"/>
      <c r="CV114" s="17"/>
      <c r="CW114" s="30">
        <v>0</v>
      </c>
      <c r="CX114" s="17"/>
      <c r="CY114" s="17"/>
      <c r="CZ114" s="17"/>
      <c r="DA114" s="17"/>
      <c r="DB114" s="17"/>
    </row>
    <row r="115" spans="1:106" ht="16.5" thickTop="1" thickBot="1" x14ac:dyDescent="0.3">
      <c r="A115" s="5">
        <f t="shared" si="218"/>
        <v>33</v>
      </c>
      <c r="B115" s="5">
        <f t="shared" si="218"/>
        <v>31</v>
      </c>
      <c r="C115" s="1">
        <v>45717</v>
      </c>
      <c r="D115" s="4"/>
      <c r="E115" s="30"/>
      <c r="F115" s="30"/>
      <c r="G115" s="30">
        <f t="shared" si="211"/>
        <v>0</v>
      </c>
      <c r="H115" s="30"/>
      <c r="I115" s="10">
        <v>0</v>
      </c>
      <c r="J115" s="60">
        <v>9000</v>
      </c>
      <c r="K115" s="11">
        <v>550</v>
      </c>
      <c r="L115" s="60">
        <f t="shared" si="72"/>
        <v>9982.3632971420575</v>
      </c>
      <c r="M115" s="11">
        <v>305</v>
      </c>
      <c r="N115" s="60">
        <v>0</v>
      </c>
      <c r="O115" s="11">
        <v>0</v>
      </c>
      <c r="P115" s="11">
        <v>0</v>
      </c>
      <c r="Q115" s="60">
        <f>(Q114*($K$1/12))+Q114 + $Q$6</f>
        <v>74918.660607994578</v>
      </c>
      <c r="R115" s="60">
        <f>(R114*($K$1/12))+R114</f>
        <v>6903.04644047905</v>
      </c>
      <c r="S115" s="60">
        <f>(S114*($K$1/12))+S114</f>
        <v>5993.2291149143039</v>
      </c>
      <c r="T115" s="60">
        <f>(T114*($K$1/12))+T114+$T$6 + ((3%/12)*T$11)</f>
        <v>310585.86988032889</v>
      </c>
      <c r="U115" s="60">
        <f>(U114*$K$1/12) + U114 + ((U$11/12*7%))</f>
        <v>40751.99307247463</v>
      </c>
      <c r="V115" s="60">
        <v>3100</v>
      </c>
      <c r="W115" s="60">
        <f>(W114*($K$1/12))+W114+$W$6</f>
        <v>27966.412918311918</v>
      </c>
      <c r="X115" s="11">
        <v>0</v>
      </c>
      <c r="Y115" s="60">
        <f>(Y114*($K$1/12))+Y114+$Y$7</f>
        <v>45877.577212194272</v>
      </c>
      <c r="Z115" s="60">
        <f>'Mortgage and Loans'!U77</f>
        <v>44565.79</v>
      </c>
      <c r="AA115" s="12">
        <f t="shared" si="212"/>
        <v>580499.94254383969</v>
      </c>
      <c r="AB115" s="56">
        <f t="shared" si="221"/>
        <v>750</v>
      </c>
      <c r="AC115" s="56">
        <f t="shared" si="221"/>
        <v>750</v>
      </c>
      <c r="AD115" s="56">
        <f t="shared" si="221"/>
        <v>750</v>
      </c>
      <c r="AE115" s="56">
        <f t="shared" si="221"/>
        <v>750</v>
      </c>
      <c r="AF115" s="56">
        <f t="shared" si="219"/>
        <v>261.43961222869314</v>
      </c>
      <c r="AG115" s="56">
        <f t="shared" si="221"/>
        <v>750</v>
      </c>
      <c r="AH115" s="56">
        <f>'Mortgage and Loans'!AF72</f>
        <v>0</v>
      </c>
      <c r="AI115" s="56">
        <f>'Mortgage and Loans'!AQ72</f>
        <v>0</v>
      </c>
      <c r="AJ115" s="56">
        <f>'Mortgage and Loans'!BB72</f>
        <v>0</v>
      </c>
      <c r="AK115" s="56">
        <f>'Mortgage and Loans'!BM72</f>
        <v>0</v>
      </c>
      <c r="AL115" s="56">
        <f>'Mortgage and Loans'!T77</f>
        <v>135434.21000000005</v>
      </c>
      <c r="AM115" s="12">
        <f t="shared" si="12"/>
        <v>-139445.64961222874</v>
      </c>
      <c r="AN115" s="75">
        <f t="shared" si="85"/>
        <v>441054.29293161095</v>
      </c>
      <c r="AO115" s="86">
        <f>'Mortgage and Loans'!G78</f>
        <v>1454.82</v>
      </c>
      <c r="AP115" s="79">
        <f>('Salary Tax Breakdown'!B$16/12)-Data!AO115</f>
        <v>1992.68</v>
      </c>
      <c r="AQ115" s="87"/>
      <c r="AR115" s="20">
        <f t="shared" si="182"/>
        <v>4011.439612228693</v>
      </c>
      <c r="AS115" s="20">
        <v>750</v>
      </c>
      <c r="AT115" s="20">
        <v>0</v>
      </c>
      <c r="AU115" s="20">
        <f t="shared" si="183"/>
        <v>4761.4396122286926</v>
      </c>
      <c r="AV115" s="20">
        <f t="shared" si="184"/>
        <v>4761.4396846322288</v>
      </c>
      <c r="AW115" s="51">
        <f t="shared" si="213"/>
        <v>0</v>
      </c>
      <c r="AX115" s="51">
        <f t="shared" si="14"/>
        <v>0</v>
      </c>
      <c r="AY115" s="51">
        <f t="shared" si="15"/>
        <v>0</v>
      </c>
      <c r="AZ115" s="51">
        <f t="shared" si="16"/>
        <v>0</v>
      </c>
      <c r="BA115" s="51">
        <f t="shared" si="17"/>
        <v>0</v>
      </c>
      <c r="BB115" s="51">
        <f t="shared" si="18"/>
        <v>0</v>
      </c>
      <c r="BC115" s="51">
        <f t="shared" si="19"/>
        <v>0</v>
      </c>
      <c r="BD115" s="51">
        <f t="shared" si="20"/>
        <v>0</v>
      </c>
      <c r="BE115" s="51">
        <f t="shared" si="21"/>
        <v>0</v>
      </c>
      <c r="BF115" s="51">
        <f t="shared" si="22"/>
        <v>0</v>
      </c>
      <c r="BG115" s="51">
        <f t="shared" si="23"/>
        <v>0</v>
      </c>
      <c r="BH115" s="51">
        <f t="shared" si="24"/>
        <v>0</v>
      </c>
      <c r="BI115" s="51">
        <f t="shared" si="185"/>
        <v>0</v>
      </c>
      <c r="BJ115" s="51">
        <f t="shared" si="186"/>
        <v>0</v>
      </c>
      <c r="BK115" s="51">
        <f t="shared" si="187"/>
        <v>0</v>
      </c>
      <c r="BL115" s="51">
        <f t="shared" si="188"/>
        <v>0</v>
      </c>
      <c r="BM115" s="51">
        <f t="shared" si="189"/>
        <v>0</v>
      </c>
      <c r="BN115" s="51">
        <f t="shared" si="190"/>
        <v>0</v>
      </c>
      <c r="BO115" s="51">
        <f t="shared" si="191"/>
        <v>0</v>
      </c>
      <c r="BP115" s="51">
        <f t="shared" si="192"/>
        <v>0</v>
      </c>
      <c r="BQ115" s="51">
        <f t="shared" si="193"/>
        <v>0</v>
      </c>
      <c r="BR115" s="51">
        <f t="shared" si="194"/>
        <v>0</v>
      </c>
      <c r="BS115" s="51">
        <f t="shared" si="195"/>
        <v>0</v>
      </c>
      <c r="BT115" s="51">
        <f t="shared" si="196"/>
        <v>0</v>
      </c>
      <c r="BU115" s="20">
        <f t="shared" si="197"/>
        <v>4761.4396221328561</v>
      </c>
      <c r="BV115" s="20">
        <f t="shared" si="198"/>
        <v>4761.4396061950656</v>
      </c>
      <c r="BW115" s="20">
        <f t="shared" si="199"/>
        <v>57137.275346744311</v>
      </c>
      <c r="BX115" s="20">
        <f t="shared" si="200"/>
        <v>57137.27546559427</v>
      </c>
      <c r="BY115" s="20">
        <f t="shared" si="201"/>
        <v>57137.275274340791</v>
      </c>
      <c r="BZ115" s="21">
        <f t="shared" si="202"/>
        <v>57137.27536222645</v>
      </c>
      <c r="CA115" s="19">
        <f t="shared" si="216"/>
        <v>1428431.8840556613</v>
      </c>
      <c r="CB115" s="20">
        <f t="shared" si="203"/>
        <v>1428431.8865608389</v>
      </c>
      <c r="CC115" s="20">
        <f t="shared" si="204"/>
        <v>1428431.8824580312</v>
      </c>
      <c r="CD115" s="20">
        <f t="shared" si="217"/>
        <v>0</v>
      </c>
      <c r="CE115" s="20">
        <f t="shared" si="220"/>
        <v>1400000</v>
      </c>
      <c r="CF115" s="20">
        <f t="shared" si="214"/>
        <v>512996.78924669762</v>
      </c>
      <c r="CG115" s="20">
        <f t="shared" si="205"/>
        <v>20519.871569867904</v>
      </c>
      <c r="CH115" s="20">
        <f t="shared" si="215"/>
        <v>1709.989297488992</v>
      </c>
      <c r="CI115" s="20">
        <f t="shared" si="206"/>
        <v>503548.81933305896</v>
      </c>
      <c r="CJ115" s="24">
        <f t="shared" si="207"/>
        <v>0.35913283235493521</v>
      </c>
      <c r="CK115" s="24">
        <f t="shared" si="208"/>
        <v>1.8797158307099871E-2</v>
      </c>
      <c r="CL115" s="24">
        <f t="shared" si="209"/>
        <v>5.544560707687117E-2</v>
      </c>
      <c r="CM115" s="25">
        <f t="shared" si="210"/>
        <v>0.23511327832094361</v>
      </c>
      <c r="CN115" s="17"/>
      <c r="CO115" s="17"/>
      <c r="CP115" s="17"/>
      <c r="CQ115" s="17"/>
      <c r="CR115" s="17"/>
      <c r="CS115" s="17"/>
      <c r="CT115" s="17"/>
      <c r="CU115" s="17"/>
      <c r="CV115" s="17"/>
      <c r="CW115" s="30">
        <v>0</v>
      </c>
      <c r="CX115" s="17"/>
      <c r="CY115" s="17"/>
      <c r="CZ115" s="17"/>
      <c r="DA115" s="17"/>
      <c r="DB115" s="17"/>
    </row>
    <row r="116" spans="1:106" ht="15.75" thickBot="1" x14ac:dyDescent="0.3">
      <c r="A116" s="5">
        <f t="shared" si="218"/>
        <v>33</v>
      </c>
      <c r="B116" s="5">
        <f t="shared" si="218"/>
        <v>31</v>
      </c>
      <c r="C116" s="1">
        <v>45748</v>
      </c>
      <c r="D116" s="4"/>
      <c r="E116" s="30"/>
      <c r="F116" s="30"/>
      <c r="G116" s="30">
        <f t="shared" si="211"/>
        <v>0</v>
      </c>
      <c r="H116" s="30"/>
      <c r="I116" s="10">
        <v>0</v>
      </c>
      <c r="J116" s="60">
        <v>9000</v>
      </c>
      <c r="K116" s="11">
        <v>550</v>
      </c>
      <c r="L116" s="60">
        <f t="shared" si="72"/>
        <v>9994.4253194594367</v>
      </c>
      <c r="M116" s="11">
        <v>305</v>
      </c>
      <c r="N116" s="60">
        <v>0</v>
      </c>
      <c r="O116" s="11">
        <v>0</v>
      </c>
      <c r="P116" s="11">
        <v>0</v>
      </c>
      <c r="Q116" s="60">
        <f>(Q115*($K$1/12))+Q115 + $Q$6</f>
        <v>76241.14001962122</v>
      </c>
      <c r="R116" s="60">
        <f>(R115*($K$1/12))+R115</f>
        <v>6940.4379420316445</v>
      </c>
      <c r="S116" s="60">
        <f>(S115*($K$1/12))+S115</f>
        <v>6025.6924392867568</v>
      </c>
      <c r="T116" s="60">
        <f>(T115*($K$1/12))+T115+$T$6 + ((3%/12)*T$11)</f>
        <v>315443.21000884735</v>
      </c>
      <c r="U116" s="60">
        <f>(U115*$K$1/12) + U115 + ((U$11/12*7%))</f>
        <v>41381.066368283871</v>
      </c>
      <c r="V116" s="60">
        <v>3100</v>
      </c>
      <c r="W116" s="60">
        <f>(W115*($K$1/12))+W115+$W$6</f>
        <v>28405.397654952776</v>
      </c>
      <c r="X116" s="11">
        <v>0</v>
      </c>
      <c r="Y116" s="60">
        <f>(Y115*($K$1/12))+Y115+$Y$7</f>
        <v>48076.080755426992</v>
      </c>
      <c r="Z116" s="60">
        <f>'Mortgage and Loans'!U78</f>
        <v>45554.49</v>
      </c>
      <c r="AA116" s="12">
        <f t="shared" si="212"/>
        <v>591016.94050790998</v>
      </c>
      <c r="AB116" s="56">
        <f t="shared" si="221"/>
        <v>750</v>
      </c>
      <c r="AC116" s="56">
        <f t="shared" si="221"/>
        <v>750</v>
      </c>
      <c r="AD116" s="56">
        <f t="shared" si="221"/>
        <v>750</v>
      </c>
      <c r="AE116" s="56">
        <f t="shared" si="221"/>
        <v>750</v>
      </c>
      <c r="AF116" s="56">
        <f t="shared" si="219"/>
        <v>261.43960619506515</v>
      </c>
      <c r="AG116" s="56">
        <f t="shared" si="221"/>
        <v>750</v>
      </c>
      <c r="AH116" s="56">
        <f>'Mortgage and Loans'!AF73</f>
        <v>0</v>
      </c>
      <c r="AI116" s="56">
        <f>'Mortgage and Loans'!AQ73</f>
        <v>0</v>
      </c>
      <c r="AJ116" s="56">
        <f>'Mortgage and Loans'!BB73</f>
        <v>0</v>
      </c>
      <c r="AK116" s="56">
        <f>'Mortgage and Loans'!BM73</f>
        <v>0</v>
      </c>
      <c r="AL116" s="56">
        <f>'Mortgage and Loans'!T78</f>
        <v>134445.51000000004</v>
      </c>
      <c r="AM116" s="12">
        <f t="shared" si="12"/>
        <v>-138456.94960619509</v>
      </c>
      <c r="AN116" s="75">
        <f t="shared" si="85"/>
        <v>452559.99090171489</v>
      </c>
      <c r="AO116" s="86">
        <f>'Mortgage and Loans'!G79</f>
        <v>1454.82</v>
      </c>
      <c r="AP116" s="79">
        <f>('Salary Tax Breakdown'!B$16/12)-Data!AO116</f>
        <v>1992.68</v>
      </c>
      <c r="AQ116" s="87"/>
      <c r="AR116" s="20">
        <f t="shared" si="182"/>
        <v>4011.4396061950652</v>
      </c>
      <c r="AS116" s="20">
        <v>750</v>
      </c>
      <c r="AT116" s="20">
        <v>0</v>
      </c>
      <c r="AU116" s="20">
        <f t="shared" si="183"/>
        <v>4761.4396061950647</v>
      </c>
      <c r="AV116" s="20">
        <f t="shared" si="184"/>
        <v>4761.4396212737211</v>
      </c>
      <c r="AW116" s="51">
        <f t="shared" si="213"/>
        <v>0</v>
      </c>
      <c r="AX116" s="51">
        <f t="shared" si="14"/>
        <v>0</v>
      </c>
      <c r="AY116" s="51">
        <f t="shared" si="15"/>
        <v>0</v>
      </c>
      <c r="AZ116" s="51">
        <f t="shared" si="16"/>
        <v>0</v>
      </c>
      <c r="BA116" s="51">
        <f t="shared" si="17"/>
        <v>0</v>
      </c>
      <c r="BB116" s="51">
        <f t="shared" si="18"/>
        <v>0</v>
      </c>
      <c r="BC116" s="51">
        <f t="shared" si="19"/>
        <v>0</v>
      </c>
      <c r="BD116" s="51">
        <f t="shared" si="20"/>
        <v>0</v>
      </c>
      <c r="BE116" s="51">
        <f t="shared" si="21"/>
        <v>0</v>
      </c>
      <c r="BF116" s="51">
        <f t="shared" si="22"/>
        <v>0</v>
      </c>
      <c r="BG116" s="51">
        <f t="shared" si="23"/>
        <v>0</v>
      </c>
      <c r="BH116" s="51">
        <f t="shared" si="24"/>
        <v>0</v>
      </c>
      <c r="BI116" s="51">
        <f t="shared" si="185"/>
        <v>0</v>
      </c>
      <c r="BJ116" s="51">
        <f t="shared" si="186"/>
        <v>0</v>
      </c>
      <c r="BK116" s="51">
        <f t="shared" si="187"/>
        <v>0</v>
      </c>
      <c r="BL116" s="51">
        <f t="shared" si="188"/>
        <v>0</v>
      </c>
      <c r="BM116" s="51">
        <f t="shared" si="189"/>
        <v>0</v>
      </c>
      <c r="BN116" s="51">
        <f t="shared" si="190"/>
        <v>0</v>
      </c>
      <c r="BO116" s="51">
        <f t="shared" si="191"/>
        <v>0</v>
      </c>
      <c r="BP116" s="51">
        <f t="shared" si="192"/>
        <v>0</v>
      </c>
      <c r="BQ116" s="51">
        <f t="shared" si="193"/>
        <v>0</v>
      </c>
      <c r="BR116" s="51">
        <f t="shared" si="194"/>
        <v>0</v>
      </c>
      <c r="BS116" s="51">
        <f t="shared" si="195"/>
        <v>0</v>
      </c>
      <c r="BT116" s="51">
        <f t="shared" si="196"/>
        <v>0</v>
      </c>
      <c r="BU116" s="20">
        <f t="shared" si="197"/>
        <v>4761.4396134467352</v>
      </c>
      <c r="BV116" s="20">
        <f t="shared" si="198"/>
        <v>4761.4396049385105</v>
      </c>
      <c r="BW116" s="20">
        <f t="shared" si="199"/>
        <v>57137.275274340776</v>
      </c>
      <c r="BX116" s="20">
        <f t="shared" si="200"/>
        <v>57137.275361360822</v>
      </c>
      <c r="BY116" s="20">
        <f t="shared" si="201"/>
        <v>57137.275259262125</v>
      </c>
      <c r="BZ116" s="21">
        <f t="shared" si="202"/>
        <v>57137.275298321241</v>
      </c>
      <c r="CA116" s="19">
        <f t="shared" si="216"/>
        <v>1428431.8824580309</v>
      </c>
      <c r="CB116" s="20">
        <f t="shared" si="203"/>
        <v>1428431.8843479904</v>
      </c>
      <c r="CC116" s="20">
        <f t="shared" si="204"/>
        <v>1428431.8820107726</v>
      </c>
      <c r="CD116" s="20">
        <f t="shared" si="217"/>
        <v>0</v>
      </c>
      <c r="CE116" s="20">
        <f t="shared" si="220"/>
        <v>1400000</v>
      </c>
      <c r="CF116" s="20">
        <f t="shared" si="214"/>
        <v>522513.02518845064</v>
      </c>
      <c r="CG116" s="20">
        <f t="shared" si="205"/>
        <v>20900.521007538027</v>
      </c>
      <c r="CH116" s="20">
        <f t="shared" si="215"/>
        <v>1741.7100839615023</v>
      </c>
      <c r="CI116" s="20">
        <f t="shared" si="206"/>
        <v>513013.87877111306</v>
      </c>
      <c r="CJ116" s="24">
        <f t="shared" si="207"/>
        <v>0.36579484882259711</v>
      </c>
      <c r="CK116" s="24">
        <f t="shared" si="208"/>
        <v>1.8550283629897562E-2</v>
      </c>
      <c r="CL116" s="24">
        <f t="shared" si="209"/>
        <v>5.7466409063719651E-2</v>
      </c>
      <c r="CM116" s="25">
        <f t="shared" si="210"/>
        <v>0.23516426927700049</v>
      </c>
      <c r="CN116" s="17"/>
      <c r="CO116" s="17"/>
      <c r="CP116" s="17"/>
      <c r="CQ116" s="17"/>
      <c r="CR116" s="17"/>
      <c r="CS116" s="17"/>
      <c r="CT116" s="17"/>
      <c r="CU116" s="17"/>
      <c r="CV116" s="17"/>
      <c r="CW116" s="30">
        <v>0</v>
      </c>
      <c r="CX116" s="17"/>
      <c r="CY116" s="17"/>
      <c r="CZ116" s="17"/>
      <c r="DA116" s="17"/>
      <c r="DB116" s="17"/>
    </row>
    <row r="117" spans="1:106" ht="15.75" thickBot="1" x14ac:dyDescent="0.3">
      <c r="A117" s="5">
        <f t="shared" si="218"/>
        <v>33</v>
      </c>
      <c r="B117" s="5">
        <f t="shared" si="218"/>
        <v>31</v>
      </c>
      <c r="C117" s="1">
        <v>45778</v>
      </c>
      <c r="D117" s="4"/>
      <c r="E117" s="30"/>
      <c r="F117" s="30"/>
      <c r="G117" s="30">
        <f t="shared" si="211"/>
        <v>0</v>
      </c>
      <c r="H117" s="30"/>
      <c r="I117" s="10">
        <v>0</v>
      </c>
      <c r="J117" s="60">
        <v>9000</v>
      </c>
      <c r="K117" s="11">
        <v>550</v>
      </c>
      <c r="L117" s="60">
        <f t="shared" si="72"/>
        <v>10006.50191672045</v>
      </c>
      <c r="M117" s="11">
        <v>305</v>
      </c>
      <c r="N117" s="60">
        <v>0</v>
      </c>
      <c r="O117" s="11">
        <v>0</v>
      </c>
      <c r="P117" s="11">
        <v>0</v>
      </c>
      <c r="Q117" s="60">
        <f>(Q116*($K$1/12))+Q116 + $Q$6</f>
        <v>77570.782861394167</v>
      </c>
      <c r="R117" s="60">
        <f>(R116*($K$1/12))+R116</f>
        <v>6978.031980884316</v>
      </c>
      <c r="S117" s="60">
        <f>(S116*($K$1/12))+S116</f>
        <v>6058.3316066662264</v>
      </c>
      <c r="T117" s="60">
        <f>(T116*($K$1/12))+T116+$T$6 + ((3%/12)*T$11)</f>
        <v>320326.86072972859</v>
      </c>
      <c r="U117" s="60">
        <f>(U116*$K$1/12) + U116 + ((U$11/12*7%))</f>
        <v>42013.547144445409</v>
      </c>
      <c r="V117" s="60">
        <v>3100</v>
      </c>
      <c r="W117" s="60">
        <f>(W116*($K$1/12))+W116+$W$6</f>
        <v>28846.76022558377</v>
      </c>
      <c r="X117" s="11">
        <v>0</v>
      </c>
      <c r="Y117" s="60">
        <f>(Y116*($K$1/12))+Y116+$Y$7</f>
        <v>50286.49285951889</v>
      </c>
      <c r="Z117" s="60">
        <f>'Mortgage and Loans'!U79</f>
        <v>46546.59</v>
      </c>
      <c r="AA117" s="12">
        <f t="shared" si="212"/>
        <v>601588.8993249418</v>
      </c>
      <c r="AB117" s="56">
        <f t="shared" si="221"/>
        <v>750</v>
      </c>
      <c r="AC117" s="56">
        <f t="shared" si="221"/>
        <v>750</v>
      </c>
      <c r="AD117" s="56">
        <f t="shared" si="221"/>
        <v>750</v>
      </c>
      <c r="AE117" s="56">
        <f t="shared" si="221"/>
        <v>750</v>
      </c>
      <c r="AF117" s="56">
        <f t="shared" si="219"/>
        <v>261.43960493851051</v>
      </c>
      <c r="AG117" s="56">
        <f t="shared" si="221"/>
        <v>750</v>
      </c>
      <c r="AH117" s="56">
        <f>'Mortgage and Loans'!AF74</f>
        <v>0</v>
      </c>
      <c r="AI117" s="56">
        <f>'Mortgage and Loans'!AQ74</f>
        <v>0</v>
      </c>
      <c r="AJ117" s="56">
        <f>'Mortgage and Loans'!BB74</f>
        <v>0</v>
      </c>
      <c r="AK117" s="56">
        <f>'Mortgage and Loans'!BM74</f>
        <v>0</v>
      </c>
      <c r="AL117" s="56">
        <f>'Mortgage and Loans'!T79</f>
        <v>133453.41000000003</v>
      </c>
      <c r="AM117" s="12">
        <f t="shared" si="12"/>
        <v>-137464.84960493853</v>
      </c>
      <c r="AN117" s="75">
        <f t="shared" si="85"/>
        <v>464124.04972000327</v>
      </c>
      <c r="AO117" s="86">
        <f>'Mortgage and Loans'!G80</f>
        <v>1454.82</v>
      </c>
      <c r="AP117" s="79">
        <f>('Salary Tax Breakdown'!B$16/12)-Data!AO117</f>
        <v>1992.68</v>
      </c>
      <c r="AQ117" s="87"/>
      <c r="AR117" s="20">
        <f t="shared" si="182"/>
        <v>4011.4396049385105</v>
      </c>
      <c r="AS117" s="20">
        <v>750</v>
      </c>
      <c r="AT117" s="20">
        <v>0</v>
      </c>
      <c r="AU117" s="20">
        <f t="shared" si="183"/>
        <v>4761.4396049385105</v>
      </c>
      <c r="AV117" s="20">
        <f t="shared" si="184"/>
        <v>4761.4395756191207</v>
      </c>
      <c r="AW117" s="51">
        <f t="shared" si="213"/>
        <v>0</v>
      </c>
      <c r="AX117" s="51">
        <f t="shared" si="14"/>
        <v>0</v>
      </c>
      <c r="AY117" s="51">
        <f t="shared" si="15"/>
        <v>0</v>
      </c>
      <c r="AZ117" s="51">
        <f t="shared" si="16"/>
        <v>0</v>
      </c>
      <c r="BA117" s="51">
        <f t="shared" si="17"/>
        <v>0</v>
      </c>
      <c r="BB117" s="51">
        <f t="shared" si="18"/>
        <v>0</v>
      </c>
      <c r="BC117" s="51">
        <f t="shared" si="19"/>
        <v>0</v>
      </c>
      <c r="BD117" s="51">
        <f t="shared" si="20"/>
        <v>0</v>
      </c>
      <c r="BE117" s="51">
        <f t="shared" si="21"/>
        <v>0</v>
      </c>
      <c r="BF117" s="51">
        <f t="shared" si="22"/>
        <v>0</v>
      </c>
      <c r="BG117" s="51">
        <f t="shared" si="23"/>
        <v>0</v>
      </c>
      <c r="BH117" s="51">
        <f t="shared" si="24"/>
        <v>0</v>
      </c>
      <c r="BI117" s="51">
        <f t="shared" si="185"/>
        <v>0</v>
      </c>
      <c r="BJ117" s="51">
        <f t="shared" si="186"/>
        <v>0</v>
      </c>
      <c r="BK117" s="51">
        <f t="shared" si="187"/>
        <v>0</v>
      </c>
      <c r="BL117" s="51">
        <f t="shared" si="188"/>
        <v>0</v>
      </c>
      <c r="BM117" s="51">
        <f t="shared" si="189"/>
        <v>0</v>
      </c>
      <c r="BN117" s="51">
        <f t="shared" si="190"/>
        <v>0</v>
      </c>
      <c r="BO117" s="51">
        <f t="shared" si="191"/>
        <v>0</v>
      </c>
      <c r="BP117" s="51">
        <f t="shared" si="192"/>
        <v>0</v>
      </c>
      <c r="BQ117" s="51">
        <f t="shared" si="193"/>
        <v>0</v>
      </c>
      <c r="BR117" s="51">
        <f t="shared" si="194"/>
        <v>0</v>
      </c>
      <c r="BS117" s="51">
        <f t="shared" si="195"/>
        <v>0</v>
      </c>
      <c r="BT117" s="51">
        <f t="shared" si="196"/>
        <v>0</v>
      </c>
      <c r="BU117" s="20">
        <f t="shared" si="197"/>
        <v>4761.4396077874226</v>
      </c>
      <c r="BV117" s="20">
        <f t="shared" si="198"/>
        <v>4761.4396073817925</v>
      </c>
      <c r="BW117" s="20">
        <f t="shared" si="199"/>
        <v>57137.275259262125</v>
      </c>
      <c r="BX117" s="20">
        <f t="shared" si="200"/>
        <v>57137.275293449071</v>
      </c>
      <c r="BY117" s="20">
        <f t="shared" si="201"/>
        <v>57137.275288581513</v>
      </c>
      <c r="BZ117" s="21">
        <f t="shared" si="202"/>
        <v>57137.275280430906</v>
      </c>
      <c r="CA117" s="19">
        <f t="shared" si="216"/>
        <v>1428431.8820107726</v>
      </c>
      <c r="CB117" s="20">
        <f t="shared" si="203"/>
        <v>1428431.8828414883</v>
      </c>
      <c r="CC117" s="20">
        <f t="shared" si="204"/>
        <v>1428431.8825188361</v>
      </c>
      <c r="CD117" s="20">
        <f t="shared" si="217"/>
        <v>0</v>
      </c>
      <c r="CE117" s="20">
        <f t="shared" si="220"/>
        <v>1400000</v>
      </c>
      <c r="CF117" s="20">
        <f t="shared" si="214"/>
        <v>532080.80740822142</v>
      </c>
      <c r="CG117" s="20">
        <f t="shared" si="205"/>
        <v>21283.232296328857</v>
      </c>
      <c r="CH117" s="20">
        <f t="shared" si="215"/>
        <v>1773.6026913607382</v>
      </c>
      <c r="CI117" s="20">
        <f t="shared" si="206"/>
        <v>522530.20728112321</v>
      </c>
      <c r="CJ117" s="24">
        <f t="shared" si="207"/>
        <v>0.37249295104628094</v>
      </c>
      <c r="CK117" s="24">
        <f t="shared" si="208"/>
        <v>1.8311088448599029E-2</v>
      </c>
      <c r="CL117" s="24">
        <f t="shared" si="209"/>
        <v>5.6697480257636698E-2</v>
      </c>
      <c r="CM117" s="25">
        <f t="shared" si="210"/>
        <v>0.23521370166578137</v>
      </c>
      <c r="CN117" s="17"/>
      <c r="CO117" s="17"/>
      <c r="CP117" s="17"/>
      <c r="CQ117" s="17"/>
      <c r="CR117" s="17"/>
      <c r="CS117" s="17"/>
      <c r="CT117" s="17"/>
      <c r="CU117" s="17"/>
      <c r="CV117" s="17"/>
      <c r="CW117" s="30">
        <v>0</v>
      </c>
      <c r="CX117" s="17"/>
      <c r="CY117" s="17"/>
      <c r="CZ117" s="17"/>
      <c r="DA117" s="17"/>
      <c r="DB117" s="17"/>
    </row>
    <row r="118" spans="1:106" ht="15.75" thickBot="1" x14ac:dyDescent="0.3">
      <c r="A118" s="5">
        <f t="shared" si="218"/>
        <v>33</v>
      </c>
      <c r="B118" s="5">
        <f t="shared" si="218"/>
        <v>31</v>
      </c>
      <c r="C118" s="1">
        <v>45809</v>
      </c>
      <c r="D118" s="4"/>
      <c r="E118" s="30"/>
      <c r="F118" s="30"/>
      <c r="G118" s="30">
        <f t="shared" si="211"/>
        <v>0</v>
      </c>
      <c r="H118" s="30"/>
      <c r="I118" s="10">
        <v>0</v>
      </c>
      <c r="J118" s="60">
        <v>9000</v>
      </c>
      <c r="K118" s="11">
        <v>550</v>
      </c>
      <c r="L118" s="60">
        <f t="shared" si="72"/>
        <v>10018.593106536486</v>
      </c>
      <c r="M118" s="11">
        <v>305</v>
      </c>
      <c r="N118" s="60">
        <v>0</v>
      </c>
      <c r="O118" s="11">
        <v>0</v>
      </c>
      <c r="P118" s="11">
        <v>0</v>
      </c>
      <c r="Q118" s="60">
        <f>(Q117*($K$1/12))+Q117 + $Q$6</f>
        <v>78907.627935226716</v>
      </c>
      <c r="R118" s="60">
        <f>(R117*($K$1/12))+R117</f>
        <v>7015.8296541141062</v>
      </c>
      <c r="S118" s="60">
        <f>(S117*($K$1/12))+S117</f>
        <v>6091.1475695356685</v>
      </c>
      <c r="T118" s="60">
        <f>(T117*($K$1/12))+T117+$T$6 + ((3%/12)*T$11)</f>
        <v>325236.9645586813</v>
      </c>
      <c r="U118" s="60">
        <f>(U117*$K$1/12) + U117 + ((U$11/12*7%))</f>
        <v>42649.453858144494</v>
      </c>
      <c r="V118" s="60">
        <v>3100</v>
      </c>
      <c r="W118" s="60">
        <f>(W117*($K$1/12))+W117+$W$6</f>
        <v>29290.513510139015</v>
      </c>
      <c r="X118" s="11">
        <v>0</v>
      </c>
      <c r="Y118" s="60">
        <f>(Y117*($K$1/12))+Y117+$Y$7</f>
        <v>52508.878029174615</v>
      </c>
      <c r="Z118" s="60">
        <f>'Mortgage and Loans'!U80</f>
        <v>47542.11</v>
      </c>
      <c r="AA118" s="12">
        <f t="shared" si="212"/>
        <v>612216.11822155234</v>
      </c>
      <c r="AB118" s="56">
        <f t="shared" si="221"/>
        <v>750</v>
      </c>
      <c r="AC118" s="56">
        <f t="shared" si="221"/>
        <v>750</v>
      </c>
      <c r="AD118" s="56">
        <f t="shared" si="221"/>
        <v>750</v>
      </c>
      <c r="AE118" s="56">
        <f t="shared" si="221"/>
        <v>750</v>
      </c>
      <c r="AF118" s="56">
        <f t="shared" si="219"/>
        <v>261.43960738179294</v>
      </c>
      <c r="AG118" s="56">
        <f t="shared" si="221"/>
        <v>750</v>
      </c>
      <c r="AH118" s="56">
        <f>'Mortgage and Loans'!AF75</f>
        <v>0</v>
      </c>
      <c r="AI118" s="56">
        <f>'Mortgage and Loans'!AQ75</f>
        <v>0</v>
      </c>
      <c r="AJ118" s="56">
        <f>'Mortgage and Loans'!BB75</f>
        <v>0</v>
      </c>
      <c r="AK118" s="56">
        <f>'Mortgage and Loans'!BM75</f>
        <v>0</v>
      </c>
      <c r="AL118" s="56">
        <f>'Mortgage and Loans'!T80</f>
        <v>132457.89000000004</v>
      </c>
      <c r="AM118" s="12">
        <f t="shared" si="12"/>
        <v>-136469.32960738183</v>
      </c>
      <c r="AN118" s="75">
        <f t="shared" si="85"/>
        <v>475746.78861417051</v>
      </c>
      <c r="AO118" s="86">
        <f>'Mortgage and Loans'!G81</f>
        <v>1454.82</v>
      </c>
      <c r="AP118" s="79">
        <f>('Salary Tax Breakdown'!B$16/12)-Data!AO118</f>
        <v>1992.68</v>
      </c>
      <c r="AQ118" s="87"/>
      <c r="AR118" s="20">
        <f t="shared" si="182"/>
        <v>4011.4396073817929</v>
      </c>
      <c r="AS118" s="20">
        <v>750</v>
      </c>
      <c r="AT118" s="20">
        <v>0</v>
      </c>
      <c r="AU118" s="20">
        <f t="shared" si="183"/>
        <v>4761.4396073817934</v>
      </c>
      <c r="AV118" s="20">
        <f t="shared" si="184"/>
        <v>4761.439556345962</v>
      </c>
      <c r="AW118" s="51">
        <f t="shared" si="213"/>
        <v>0</v>
      </c>
      <c r="AX118" s="51">
        <f t="shared" si="14"/>
        <v>0</v>
      </c>
      <c r="AY118" s="51">
        <f t="shared" si="15"/>
        <v>0</v>
      </c>
      <c r="AZ118" s="51">
        <f t="shared" si="16"/>
        <v>0</v>
      </c>
      <c r="BA118" s="51">
        <f t="shared" si="17"/>
        <v>0</v>
      </c>
      <c r="BB118" s="51">
        <f t="shared" si="18"/>
        <v>0</v>
      </c>
      <c r="BC118" s="51">
        <f t="shared" si="19"/>
        <v>0</v>
      </c>
      <c r="BD118" s="51">
        <f t="shared" si="20"/>
        <v>0</v>
      </c>
      <c r="BE118" s="51">
        <f t="shared" si="21"/>
        <v>0</v>
      </c>
      <c r="BF118" s="51">
        <f t="shared" si="22"/>
        <v>0</v>
      </c>
      <c r="BG118" s="51">
        <f t="shared" si="23"/>
        <v>0</v>
      </c>
      <c r="BH118" s="51">
        <f t="shared" si="24"/>
        <v>0</v>
      </c>
      <c r="BI118" s="51">
        <f t="shared" si="185"/>
        <v>0</v>
      </c>
      <c r="BJ118" s="51">
        <f t="shared" si="186"/>
        <v>0</v>
      </c>
      <c r="BK118" s="51">
        <f t="shared" si="187"/>
        <v>0</v>
      </c>
      <c r="BL118" s="51">
        <f t="shared" si="188"/>
        <v>0</v>
      </c>
      <c r="BM118" s="51">
        <f t="shared" si="189"/>
        <v>0</v>
      </c>
      <c r="BN118" s="51">
        <f t="shared" si="190"/>
        <v>0</v>
      </c>
      <c r="BO118" s="51">
        <f t="shared" si="191"/>
        <v>0</v>
      </c>
      <c r="BP118" s="51">
        <f t="shared" si="192"/>
        <v>0</v>
      </c>
      <c r="BQ118" s="51">
        <f t="shared" si="193"/>
        <v>0</v>
      </c>
      <c r="BR118" s="51">
        <f t="shared" si="194"/>
        <v>0</v>
      </c>
      <c r="BS118" s="51">
        <f t="shared" si="195"/>
        <v>0</v>
      </c>
      <c r="BT118" s="51">
        <f t="shared" si="196"/>
        <v>0</v>
      </c>
      <c r="BU118" s="20">
        <f t="shared" si="197"/>
        <v>4761.4396061717898</v>
      </c>
      <c r="BV118" s="20">
        <f t="shared" si="198"/>
        <v>4761.4396116347789</v>
      </c>
      <c r="BW118" s="20">
        <f t="shared" si="199"/>
        <v>57137.275288581521</v>
      </c>
      <c r="BX118" s="20">
        <f t="shared" si="200"/>
        <v>57137.275274061481</v>
      </c>
      <c r="BY118" s="20">
        <f t="shared" si="201"/>
        <v>57137.27533961735</v>
      </c>
      <c r="BZ118" s="21">
        <f t="shared" si="202"/>
        <v>57137.275300753456</v>
      </c>
      <c r="CA118" s="19">
        <f t="shared" si="216"/>
        <v>1428431.8825188363</v>
      </c>
      <c r="CB118" s="20">
        <f t="shared" si="203"/>
        <v>1428431.8823292132</v>
      </c>
      <c r="CC118" s="20">
        <f t="shared" si="204"/>
        <v>1428431.8835470106</v>
      </c>
      <c r="CD118" s="20">
        <f t="shared" si="217"/>
        <v>0</v>
      </c>
      <c r="CE118" s="20">
        <f t="shared" si="220"/>
        <v>1400000</v>
      </c>
      <c r="CF118" s="20">
        <f t="shared" si="214"/>
        <v>541700.41511501593</v>
      </c>
      <c r="CG118" s="20">
        <f t="shared" si="205"/>
        <v>21668.016604600638</v>
      </c>
      <c r="CH118" s="20">
        <f t="shared" si="215"/>
        <v>1805.6680503833866</v>
      </c>
      <c r="CI118" s="20">
        <f t="shared" si="206"/>
        <v>532098.0825705626</v>
      </c>
      <c r="CJ118" s="24">
        <f t="shared" si="207"/>
        <v>0.37922733440513429</v>
      </c>
      <c r="CK118" s="24">
        <f t="shared" si="208"/>
        <v>1.8079223254925992E-2</v>
      </c>
      <c r="CL118" s="24">
        <f t="shared" si="209"/>
        <v>5.5952837269152733E-2</v>
      </c>
      <c r="CM118" s="25">
        <f t="shared" si="210"/>
        <v>0.23526164518036316</v>
      </c>
      <c r="CN118" s="17"/>
      <c r="CO118" s="17"/>
      <c r="CP118" s="17"/>
      <c r="CQ118" s="17"/>
      <c r="CR118" s="17"/>
      <c r="CS118" s="17"/>
      <c r="CT118" s="17"/>
      <c r="CU118" s="17"/>
      <c r="CV118" s="17"/>
      <c r="CW118" s="30">
        <v>0</v>
      </c>
      <c r="CX118" s="17"/>
      <c r="CY118" s="17"/>
      <c r="CZ118" s="17"/>
      <c r="DA118" s="17"/>
      <c r="DB118" s="17"/>
    </row>
    <row r="119" spans="1:106" ht="15.75" thickBot="1" x14ac:dyDescent="0.3">
      <c r="A119" s="5">
        <f t="shared" si="218"/>
        <v>33</v>
      </c>
      <c r="B119" s="5">
        <f t="shared" si="218"/>
        <v>31</v>
      </c>
      <c r="C119" s="1">
        <v>45839</v>
      </c>
      <c r="D119" s="4"/>
      <c r="E119" s="30"/>
      <c r="F119" s="30"/>
      <c r="G119" s="30">
        <f t="shared" si="211"/>
        <v>0</v>
      </c>
      <c r="H119" s="30"/>
      <c r="I119" s="10">
        <v>0</v>
      </c>
      <c r="J119" s="60">
        <v>9000</v>
      </c>
      <c r="K119" s="11">
        <v>550</v>
      </c>
      <c r="L119" s="60">
        <f t="shared" si="72"/>
        <v>10030.698906540216</v>
      </c>
      <c r="M119" s="11">
        <v>305</v>
      </c>
      <c r="N119" s="60">
        <v>0</v>
      </c>
      <c r="O119" s="11">
        <v>0</v>
      </c>
      <c r="P119" s="11">
        <v>0</v>
      </c>
      <c r="Q119" s="60">
        <f>(Q118*($K$1/12))+Q118 + $Q$6</f>
        <v>80251.714253209197</v>
      </c>
      <c r="R119" s="60">
        <f>(R118*($K$1/12))+R118</f>
        <v>7053.8320647405581</v>
      </c>
      <c r="S119" s="60">
        <f>(S118*($K$1/12))+S118</f>
        <v>6124.1412855373201</v>
      </c>
      <c r="T119" s="60">
        <f>(T118*($K$1/12))+T118+$T$6 + ((3%/12)*T$11)</f>
        <v>330173.66478337417</v>
      </c>
      <c r="U119" s="60">
        <f>(U118*$K$1/12) + U118 + ((U$11/12*7%))</f>
        <v>43288.80506654278</v>
      </c>
      <c r="V119" s="60">
        <v>3100</v>
      </c>
      <c r="W119" s="60">
        <f>(W118*($K$1/12))+W118+$W$6</f>
        <v>29736.670458318935</v>
      </c>
      <c r="X119" s="11">
        <v>0</v>
      </c>
      <c r="Y119" s="60">
        <f>(Y118*($K$1/12))+Y118+$Y$7</f>
        <v>54743.301118499308</v>
      </c>
      <c r="Z119" s="60">
        <f>'Mortgage and Loans'!U81</f>
        <v>48541.05</v>
      </c>
      <c r="AA119" s="12">
        <f t="shared" si="212"/>
        <v>622898.87793676252</v>
      </c>
      <c r="AB119" s="56">
        <f t="shared" si="221"/>
        <v>750</v>
      </c>
      <c r="AC119" s="56">
        <f t="shared" si="221"/>
        <v>750</v>
      </c>
      <c r="AD119" s="56">
        <f t="shared" si="221"/>
        <v>750</v>
      </c>
      <c r="AE119" s="56">
        <f t="shared" si="221"/>
        <v>750</v>
      </c>
      <c r="AF119" s="56">
        <f t="shared" si="219"/>
        <v>261.43961163477883</v>
      </c>
      <c r="AG119" s="56">
        <f t="shared" si="221"/>
        <v>750</v>
      </c>
      <c r="AH119" s="56">
        <f>'Mortgage and Loans'!AF76</f>
        <v>0</v>
      </c>
      <c r="AI119" s="56">
        <f>'Mortgage and Loans'!AQ76</f>
        <v>0</v>
      </c>
      <c r="AJ119" s="56">
        <f>'Mortgage and Loans'!BB76</f>
        <v>0</v>
      </c>
      <c r="AK119" s="56">
        <f>'Mortgage and Loans'!BM76</f>
        <v>0</v>
      </c>
      <c r="AL119" s="56">
        <f>'Mortgage and Loans'!T81</f>
        <v>131458.95000000004</v>
      </c>
      <c r="AM119" s="12">
        <f t="shared" si="12"/>
        <v>-135470.38961163483</v>
      </c>
      <c r="AN119" s="75">
        <f t="shared" si="85"/>
        <v>487428.48832512769</v>
      </c>
      <c r="AO119" s="86">
        <f>'Mortgage and Loans'!G82</f>
        <v>1454.82</v>
      </c>
      <c r="AP119" s="79">
        <f>('Salary Tax Breakdown'!B$16/12)-Data!AO119</f>
        <v>1992.68</v>
      </c>
      <c r="AQ119" s="87"/>
      <c r="AR119" s="20">
        <f t="shared" si="182"/>
        <v>4011.4396116347789</v>
      </c>
      <c r="AS119" s="20">
        <v>750</v>
      </c>
      <c r="AT119" s="20">
        <v>0</v>
      </c>
      <c r="AU119" s="20">
        <f t="shared" si="183"/>
        <v>4761.4396116347789</v>
      </c>
      <c r="AV119" s="20">
        <f t="shared" si="184"/>
        <v>4761.4395610485462</v>
      </c>
      <c r="AW119" s="51">
        <f t="shared" si="213"/>
        <v>0</v>
      </c>
      <c r="AX119" s="51">
        <f t="shared" si="14"/>
        <v>0</v>
      </c>
      <c r="AY119" s="51">
        <f t="shared" si="15"/>
        <v>0</v>
      </c>
      <c r="AZ119" s="51">
        <f t="shared" si="16"/>
        <v>0</v>
      </c>
      <c r="BA119" s="51">
        <f t="shared" si="17"/>
        <v>0</v>
      </c>
      <c r="BB119" s="51">
        <f t="shared" si="18"/>
        <v>0</v>
      </c>
      <c r="BC119" s="51">
        <f t="shared" si="19"/>
        <v>0</v>
      </c>
      <c r="BD119" s="51">
        <f t="shared" si="20"/>
        <v>0</v>
      </c>
      <c r="BE119" s="51">
        <f t="shared" si="21"/>
        <v>0</v>
      </c>
      <c r="BF119" s="51">
        <f t="shared" si="22"/>
        <v>0</v>
      </c>
      <c r="BG119" s="51">
        <f t="shared" si="23"/>
        <v>0</v>
      </c>
      <c r="BH119" s="51">
        <f t="shared" si="24"/>
        <v>0</v>
      </c>
      <c r="BI119" s="51">
        <f t="shared" si="185"/>
        <v>0</v>
      </c>
      <c r="BJ119" s="51">
        <f t="shared" si="186"/>
        <v>0</v>
      </c>
      <c r="BK119" s="51">
        <f t="shared" si="187"/>
        <v>0</v>
      </c>
      <c r="BL119" s="51">
        <f t="shared" si="188"/>
        <v>0</v>
      </c>
      <c r="BM119" s="51">
        <f t="shared" si="189"/>
        <v>0</v>
      </c>
      <c r="BN119" s="51">
        <f t="shared" si="190"/>
        <v>0</v>
      </c>
      <c r="BO119" s="51">
        <f t="shared" si="191"/>
        <v>0</v>
      </c>
      <c r="BP119" s="51">
        <f t="shared" si="192"/>
        <v>0</v>
      </c>
      <c r="BQ119" s="51">
        <f t="shared" si="193"/>
        <v>0</v>
      </c>
      <c r="BR119" s="51">
        <f t="shared" si="194"/>
        <v>0</v>
      </c>
      <c r="BS119" s="51">
        <f t="shared" si="195"/>
        <v>0</v>
      </c>
      <c r="BT119" s="51">
        <f t="shared" si="196"/>
        <v>0</v>
      </c>
      <c r="BU119" s="20">
        <f t="shared" si="197"/>
        <v>4761.4396079850276</v>
      </c>
      <c r="BV119" s="20">
        <f t="shared" si="198"/>
        <v>4761.4396158502977</v>
      </c>
      <c r="BW119" s="20">
        <f t="shared" si="199"/>
        <v>57137.27533961735</v>
      </c>
      <c r="BX119" s="20">
        <f t="shared" si="200"/>
        <v>57137.275295820335</v>
      </c>
      <c r="BY119" s="20">
        <f t="shared" si="201"/>
        <v>57137.275390203577</v>
      </c>
      <c r="BZ119" s="21">
        <f t="shared" si="202"/>
        <v>57137.27534188042</v>
      </c>
      <c r="CA119" s="19">
        <f t="shared" si="216"/>
        <v>1428431.8835470104</v>
      </c>
      <c r="CB119" s="20">
        <f t="shared" si="203"/>
        <v>1428431.8826922067</v>
      </c>
      <c r="CC119" s="20">
        <f t="shared" si="204"/>
        <v>1428431.8846204241</v>
      </c>
      <c r="CD119" s="20">
        <f t="shared" si="217"/>
        <v>0</v>
      </c>
      <c r="CE119" s="20">
        <f t="shared" si="220"/>
        <v>1400000</v>
      </c>
      <c r="CF119" s="20">
        <f t="shared" si="214"/>
        <v>551372.12903022231</v>
      </c>
      <c r="CG119" s="20">
        <f t="shared" si="205"/>
        <v>22054.885161208891</v>
      </c>
      <c r="CH119" s="20">
        <f t="shared" si="215"/>
        <v>1837.9070967674077</v>
      </c>
      <c r="CI119" s="20">
        <f t="shared" si="206"/>
        <v>541717.78385115322</v>
      </c>
      <c r="CJ119" s="24">
        <f t="shared" si="207"/>
        <v>0.38599819544144826</v>
      </c>
      <c r="CK119" s="24">
        <f t="shared" si="208"/>
        <v>1.7854359430669514E-2</v>
      </c>
      <c r="CL119" s="24">
        <f t="shared" si="209"/>
        <v>5.5231357785508368E-2</v>
      </c>
      <c r="CM119" s="25">
        <f t="shared" si="210"/>
        <v>0.2353081654200681</v>
      </c>
      <c r="CN119" s="17"/>
      <c r="CO119" s="17"/>
      <c r="CP119" s="17"/>
      <c r="CQ119" s="17"/>
      <c r="CR119" s="17"/>
      <c r="CS119" s="17"/>
      <c r="CT119" s="17"/>
      <c r="CU119" s="17"/>
      <c r="CV119" s="17"/>
      <c r="CW119" s="30">
        <v>0</v>
      </c>
      <c r="CX119" s="17"/>
      <c r="CY119" s="17"/>
      <c r="CZ119" s="17"/>
      <c r="DA119" s="17"/>
      <c r="DB119" s="17"/>
    </row>
    <row r="120" spans="1:106" ht="15.75" thickBot="1" x14ac:dyDescent="0.3">
      <c r="A120" s="5">
        <f t="shared" si="218"/>
        <v>33</v>
      </c>
      <c r="B120" s="5">
        <f t="shared" si="218"/>
        <v>31</v>
      </c>
      <c r="C120" s="1">
        <v>45870</v>
      </c>
      <c r="D120" s="4"/>
      <c r="E120" s="30"/>
      <c r="F120" s="30"/>
      <c r="G120" s="30">
        <f t="shared" si="211"/>
        <v>0</v>
      </c>
      <c r="H120" s="30"/>
      <c r="I120" s="10">
        <v>0</v>
      </c>
      <c r="J120" s="60">
        <v>9000</v>
      </c>
      <c r="K120" s="11">
        <v>550</v>
      </c>
      <c r="L120" s="60">
        <f t="shared" si="72"/>
        <v>10042.819334385618</v>
      </c>
      <c r="M120" s="11">
        <v>305</v>
      </c>
      <c r="N120" s="60">
        <v>0</v>
      </c>
      <c r="O120" s="11">
        <v>0</v>
      </c>
      <c r="P120" s="11">
        <v>0</v>
      </c>
      <c r="Q120" s="60">
        <f>(Q119*($K$1/12))+Q119 + $Q$6</f>
        <v>81603.081038747405</v>
      </c>
      <c r="R120" s="60">
        <f>(R119*($K$1/12))+R119</f>
        <v>7092.0403217579023</v>
      </c>
      <c r="S120" s="60">
        <f>(S119*($K$1/12))+S119</f>
        <v>6157.3137175006468</v>
      </c>
      <c r="T120" s="60">
        <f>(T119*($K$1/12))+T119+$T$6 + ((3%/12)*T$11)</f>
        <v>335137.10546761745</v>
      </c>
      <c r="U120" s="60">
        <f>(U119*$K$1/12) + U119 + ((U$11/12*7%))</f>
        <v>43931.619427319893</v>
      </c>
      <c r="V120" s="60">
        <v>3100</v>
      </c>
      <c r="W120" s="60">
        <f>(W119*($K$1/12))+W119+$W$6</f>
        <v>30185.244089968164</v>
      </c>
      <c r="X120" s="11">
        <v>0</v>
      </c>
      <c r="Y120" s="60">
        <f>(Y119*($K$1/12))+Y119+$Y$7</f>
        <v>56989.827332891182</v>
      </c>
      <c r="Z120" s="60">
        <f>'Mortgage and Loans'!U82</f>
        <v>49543.43</v>
      </c>
      <c r="AA120" s="12">
        <f t="shared" si="212"/>
        <v>633637.48073018831</v>
      </c>
      <c r="AB120" s="56">
        <f t="shared" si="221"/>
        <v>750</v>
      </c>
      <c r="AC120" s="56">
        <f t="shared" si="221"/>
        <v>750</v>
      </c>
      <c r="AD120" s="56">
        <f t="shared" si="221"/>
        <v>750</v>
      </c>
      <c r="AE120" s="56">
        <f t="shared" si="221"/>
        <v>750</v>
      </c>
      <c r="AF120" s="56">
        <f t="shared" si="219"/>
        <v>261.43961585029825</v>
      </c>
      <c r="AG120" s="56">
        <f t="shared" si="221"/>
        <v>750</v>
      </c>
      <c r="AH120" s="56">
        <f>'Mortgage and Loans'!AF77</f>
        <v>0</v>
      </c>
      <c r="AI120" s="56">
        <f>'Mortgage and Loans'!AQ77</f>
        <v>0</v>
      </c>
      <c r="AJ120" s="56">
        <f>'Mortgage and Loans'!BB77</f>
        <v>0</v>
      </c>
      <c r="AK120" s="56">
        <f>'Mortgage and Loans'!BM77</f>
        <v>0</v>
      </c>
      <c r="AL120" s="56">
        <f>'Mortgage and Loans'!T82</f>
        <v>130456.57000000004</v>
      </c>
      <c r="AM120" s="12">
        <f t="shared" si="12"/>
        <v>-134468.00961585034</v>
      </c>
      <c r="AN120" s="75">
        <f t="shared" si="85"/>
        <v>499169.47111433797</v>
      </c>
      <c r="AO120" s="86">
        <f>'Mortgage and Loans'!G83</f>
        <v>1454.82</v>
      </c>
      <c r="AP120" s="79">
        <f>('Salary Tax Breakdown'!B$16/12)-Data!AO120</f>
        <v>1992.68</v>
      </c>
      <c r="AQ120" s="87"/>
      <c r="AR120" s="20">
        <f t="shared" si="182"/>
        <v>4011.4396158502982</v>
      </c>
      <c r="AS120" s="20">
        <v>750</v>
      </c>
      <c r="AT120" s="20">
        <v>0</v>
      </c>
      <c r="AU120" s="20">
        <f t="shared" si="183"/>
        <v>4761.4396158502987</v>
      </c>
      <c r="AV120" s="20">
        <f t="shared" si="184"/>
        <v>4761.4395812740722</v>
      </c>
      <c r="AW120" s="51">
        <f t="shared" si="213"/>
        <v>0</v>
      </c>
      <c r="AX120" s="51">
        <f t="shared" si="14"/>
        <v>0</v>
      </c>
      <c r="AY120" s="51">
        <f t="shared" si="15"/>
        <v>0</v>
      </c>
      <c r="AZ120" s="51">
        <f t="shared" si="16"/>
        <v>0</v>
      </c>
      <c r="BA120" s="51">
        <f t="shared" si="17"/>
        <v>0</v>
      </c>
      <c r="BB120" s="51">
        <f t="shared" si="18"/>
        <v>0</v>
      </c>
      <c r="BC120" s="51">
        <f t="shared" si="19"/>
        <v>0</v>
      </c>
      <c r="BD120" s="51">
        <f t="shared" si="20"/>
        <v>0</v>
      </c>
      <c r="BE120" s="51">
        <f t="shared" si="21"/>
        <v>0</v>
      </c>
      <c r="BF120" s="51">
        <f t="shared" si="22"/>
        <v>0</v>
      </c>
      <c r="BG120" s="51">
        <f t="shared" si="23"/>
        <v>0</v>
      </c>
      <c r="BH120" s="51">
        <f t="shared" si="24"/>
        <v>0</v>
      </c>
      <c r="BI120" s="51">
        <f t="shared" si="185"/>
        <v>0</v>
      </c>
      <c r="BJ120" s="51">
        <f t="shared" si="186"/>
        <v>0</v>
      </c>
      <c r="BK120" s="51">
        <f t="shared" si="187"/>
        <v>0</v>
      </c>
      <c r="BL120" s="51">
        <f t="shared" si="188"/>
        <v>0</v>
      </c>
      <c r="BM120" s="51">
        <f t="shared" si="189"/>
        <v>0</v>
      </c>
      <c r="BN120" s="51">
        <f t="shared" si="190"/>
        <v>0</v>
      </c>
      <c r="BO120" s="51">
        <f t="shared" si="191"/>
        <v>0</v>
      </c>
      <c r="BP120" s="51">
        <f t="shared" si="192"/>
        <v>0</v>
      </c>
      <c r="BQ120" s="51">
        <f t="shared" si="193"/>
        <v>0</v>
      </c>
      <c r="BR120" s="51">
        <f t="shared" si="194"/>
        <v>0</v>
      </c>
      <c r="BS120" s="51">
        <f t="shared" si="195"/>
        <v>0</v>
      </c>
      <c r="BT120" s="51">
        <f t="shared" si="196"/>
        <v>0</v>
      </c>
      <c r="BU120" s="20">
        <f t="shared" si="197"/>
        <v>4761.4396116222906</v>
      </c>
      <c r="BV120" s="20">
        <f t="shared" si="198"/>
        <v>4761.4396187316506</v>
      </c>
      <c r="BW120" s="20">
        <f t="shared" si="199"/>
        <v>57137.275390203584</v>
      </c>
      <c r="BX120" s="20">
        <f t="shared" si="200"/>
        <v>57137.275339467487</v>
      </c>
      <c r="BY120" s="20">
        <f t="shared" si="201"/>
        <v>57137.275424779808</v>
      </c>
      <c r="BZ120" s="21">
        <f t="shared" si="202"/>
        <v>57137.27538481696</v>
      </c>
      <c r="CA120" s="19">
        <f t="shared" si="216"/>
        <v>1428431.8846204239</v>
      </c>
      <c r="CB120" s="20">
        <f t="shared" si="203"/>
        <v>1428431.8835620901</v>
      </c>
      <c r="CC120" s="20">
        <f t="shared" si="204"/>
        <v>1428431.8853881781</v>
      </c>
      <c r="CD120" s="20">
        <f t="shared" si="217"/>
        <v>0</v>
      </c>
      <c r="CE120" s="20">
        <f t="shared" si="220"/>
        <v>1400000</v>
      </c>
      <c r="CF120" s="20">
        <f t="shared" si="214"/>
        <v>561096.23139580258</v>
      </c>
      <c r="CG120" s="20">
        <f t="shared" si="205"/>
        <v>22443.849255832105</v>
      </c>
      <c r="CH120" s="20">
        <f t="shared" si="215"/>
        <v>1870.3207713193422</v>
      </c>
      <c r="CI120" s="20">
        <f t="shared" si="206"/>
        <v>551389.59184701357</v>
      </c>
      <c r="CJ120" s="24">
        <f t="shared" si="207"/>
        <v>0.39280573183272355</v>
      </c>
      <c r="CK120" s="24">
        <f t="shared" si="208"/>
        <v>1.7636187709892868E-2</v>
      </c>
      <c r="CL120" s="24">
        <f t="shared" si="209"/>
        <v>5.4531987592102787E-2</v>
      </c>
      <c r="CM120" s="25">
        <f t="shared" si="210"/>
        <v>0.23535332418670199</v>
      </c>
      <c r="CN120" s="17"/>
      <c r="CO120" s="17"/>
      <c r="CP120" s="17"/>
      <c r="CQ120" s="17"/>
      <c r="CR120" s="17"/>
      <c r="CS120" s="17"/>
      <c r="CT120" s="17"/>
      <c r="CU120" s="17"/>
      <c r="CV120" s="17"/>
      <c r="CW120" s="30">
        <v>0</v>
      </c>
      <c r="CX120" s="17"/>
      <c r="CY120" s="17"/>
      <c r="CZ120" s="17"/>
      <c r="DA120" s="17"/>
      <c r="DB120" s="17"/>
    </row>
    <row r="121" spans="1:106" ht="15.75" thickBot="1" x14ac:dyDescent="0.3">
      <c r="A121" s="5">
        <f t="shared" si="218"/>
        <v>33</v>
      </c>
      <c r="B121" s="5">
        <f t="shared" si="218"/>
        <v>31</v>
      </c>
      <c r="C121" s="1">
        <v>45901</v>
      </c>
      <c r="D121" s="4"/>
      <c r="E121" s="30"/>
      <c r="F121" s="30"/>
      <c r="G121" s="30">
        <f t="shared" si="211"/>
        <v>0</v>
      </c>
      <c r="H121" s="30"/>
      <c r="I121" s="10">
        <v>0</v>
      </c>
      <c r="J121" s="60">
        <v>9000</v>
      </c>
      <c r="K121" s="11">
        <v>550</v>
      </c>
      <c r="L121" s="60">
        <f t="shared" si="72"/>
        <v>10054.954407748</v>
      </c>
      <c r="M121" s="11">
        <v>305</v>
      </c>
      <c r="N121" s="60">
        <v>0</v>
      </c>
      <c r="O121" s="11">
        <v>0</v>
      </c>
      <c r="P121" s="11">
        <v>0</v>
      </c>
      <c r="Q121" s="60">
        <f>(Q120*($K$1/12))+Q120 + $Q$6</f>
        <v>82961.76772770728</v>
      </c>
      <c r="R121" s="60">
        <f>(R120*($K$1/12))+R120</f>
        <v>7130.4555401674243</v>
      </c>
      <c r="S121" s="60">
        <f>(S120*($K$1/12))+S120</f>
        <v>6190.6658334704416</v>
      </c>
      <c r="T121" s="60">
        <f>(T120*($K$1/12))+T120+$T$6 + ((3%/12)*T$11)</f>
        <v>340127.43145556707</v>
      </c>
      <c r="U121" s="60">
        <f>(U120*$K$1/12) + U120 + ((U$11/12*7%))</f>
        <v>44577.915699217876</v>
      </c>
      <c r="V121" s="60">
        <v>3100</v>
      </c>
      <c r="W121" s="60">
        <f>(W120*($K$1/12))+W120+$W$6</f>
        <v>30636.247495455493</v>
      </c>
      <c r="X121" s="11">
        <v>0</v>
      </c>
      <c r="Y121" s="60">
        <f>(Y120*($K$1/12))+Y120+$Y$7</f>
        <v>59248.522230944342</v>
      </c>
      <c r="Z121" s="60">
        <f>'Mortgage and Loans'!U83</f>
        <v>50549.26</v>
      </c>
      <c r="AA121" s="12">
        <f t="shared" si="212"/>
        <v>644432.22039027791</v>
      </c>
      <c r="AB121" s="56">
        <f t="shared" si="221"/>
        <v>750</v>
      </c>
      <c r="AC121" s="56">
        <f t="shared" si="221"/>
        <v>750</v>
      </c>
      <c r="AD121" s="56">
        <f t="shared" si="221"/>
        <v>750</v>
      </c>
      <c r="AE121" s="56">
        <f t="shared" si="221"/>
        <v>750</v>
      </c>
      <c r="AF121" s="56">
        <f t="shared" si="219"/>
        <v>261.43961873165046</v>
      </c>
      <c r="AG121" s="56">
        <f t="shared" si="221"/>
        <v>750</v>
      </c>
      <c r="AH121" s="56">
        <f>'Mortgage and Loans'!AF78</f>
        <v>0</v>
      </c>
      <c r="AI121" s="56">
        <f>'Mortgage and Loans'!AQ78</f>
        <v>0</v>
      </c>
      <c r="AJ121" s="56">
        <f>'Mortgage and Loans'!BB78</f>
        <v>0</v>
      </c>
      <c r="AK121" s="56">
        <f>'Mortgage and Loans'!BM78</f>
        <v>0</v>
      </c>
      <c r="AL121" s="56">
        <f>'Mortgage and Loans'!T83</f>
        <v>129450.74000000003</v>
      </c>
      <c r="AM121" s="12">
        <f t="shared" si="12"/>
        <v>-133462.17961873169</v>
      </c>
      <c r="AN121" s="75">
        <f t="shared" si="85"/>
        <v>510970.04077154619</v>
      </c>
      <c r="AO121" s="86">
        <f>'Mortgage and Loans'!G84</f>
        <v>1454.82</v>
      </c>
      <c r="AP121" s="79">
        <f>('Salary Tax Breakdown'!B$16/12)-Data!AO121</f>
        <v>1992.68</v>
      </c>
      <c r="AQ121" s="87"/>
      <c r="AR121" s="20">
        <f t="shared" si="182"/>
        <v>4011.4396187316506</v>
      </c>
      <c r="AS121" s="20">
        <v>750</v>
      </c>
      <c r="AT121" s="20">
        <v>0</v>
      </c>
      <c r="AU121" s="20">
        <f t="shared" si="183"/>
        <v>4761.4396187316506</v>
      </c>
      <c r="AV121" s="20">
        <f t="shared" si="184"/>
        <v>4761.4396065767651</v>
      </c>
      <c r="AW121" s="51">
        <f t="shared" si="213"/>
        <v>0</v>
      </c>
      <c r="AX121" s="51">
        <f t="shared" si="14"/>
        <v>0</v>
      </c>
      <c r="AY121" s="51">
        <f t="shared" si="15"/>
        <v>0</v>
      </c>
      <c r="AZ121" s="51">
        <f t="shared" si="16"/>
        <v>0</v>
      </c>
      <c r="BA121" s="51">
        <f t="shared" si="17"/>
        <v>0</v>
      </c>
      <c r="BB121" s="51">
        <f t="shared" si="18"/>
        <v>0</v>
      </c>
      <c r="BC121" s="51">
        <f t="shared" si="19"/>
        <v>0</v>
      </c>
      <c r="BD121" s="51">
        <f t="shared" si="20"/>
        <v>0</v>
      </c>
      <c r="BE121" s="51">
        <f t="shared" si="21"/>
        <v>0</v>
      </c>
      <c r="BF121" s="51">
        <f t="shared" si="22"/>
        <v>0</v>
      </c>
      <c r="BG121" s="51">
        <f t="shared" si="23"/>
        <v>0</v>
      </c>
      <c r="BH121" s="51">
        <f t="shared" si="24"/>
        <v>0</v>
      </c>
      <c r="BI121" s="51">
        <f t="shared" si="185"/>
        <v>0</v>
      </c>
      <c r="BJ121" s="51">
        <f t="shared" si="186"/>
        <v>0</v>
      </c>
      <c r="BK121" s="51">
        <f t="shared" si="187"/>
        <v>0</v>
      </c>
      <c r="BL121" s="51">
        <f t="shared" si="188"/>
        <v>0</v>
      </c>
      <c r="BM121" s="51">
        <f t="shared" si="189"/>
        <v>0</v>
      </c>
      <c r="BN121" s="51">
        <f t="shared" si="190"/>
        <v>0</v>
      </c>
      <c r="BO121" s="51">
        <f t="shared" si="191"/>
        <v>0</v>
      </c>
      <c r="BP121" s="51">
        <f t="shared" si="192"/>
        <v>0</v>
      </c>
      <c r="BQ121" s="51">
        <f t="shared" si="193"/>
        <v>0</v>
      </c>
      <c r="BR121" s="51">
        <f t="shared" si="194"/>
        <v>0</v>
      </c>
      <c r="BS121" s="51">
        <f t="shared" si="195"/>
        <v>0</v>
      </c>
      <c r="BT121" s="51">
        <f t="shared" si="196"/>
        <v>0</v>
      </c>
      <c r="BU121" s="20">
        <f t="shared" si="197"/>
        <v>4761.4396154055767</v>
      </c>
      <c r="BV121" s="20">
        <f t="shared" si="198"/>
        <v>4761.4396197445576</v>
      </c>
      <c r="BW121" s="20">
        <f t="shared" si="199"/>
        <v>57137.275424779808</v>
      </c>
      <c r="BX121" s="20">
        <f t="shared" si="200"/>
        <v>57137.275384866924</v>
      </c>
      <c r="BY121" s="20">
        <f t="shared" si="201"/>
        <v>57137.275436934695</v>
      </c>
      <c r="BZ121" s="21">
        <f t="shared" si="202"/>
        <v>57137.27541552714</v>
      </c>
      <c r="CA121" s="19">
        <f t="shared" si="216"/>
        <v>1428431.8853881785</v>
      </c>
      <c r="CB121" s="20">
        <f t="shared" si="203"/>
        <v>1428431.8845185377</v>
      </c>
      <c r="CC121" s="20">
        <f t="shared" si="204"/>
        <v>1428431.8856937515</v>
      </c>
      <c r="CD121" s="20">
        <f t="shared" si="217"/>
        <v>0</v>
      </c>
      <c r="CE121" s="20">
        <f t="shared" si="220"/>
        <v>1400000</v>
      </c>
      <c r="CF121" s="20">
        <f t="shared" si="214"/>
        <v>570873.00598252984</v>
      </c>
      <c r="CG121" s="20">
        <f t="shared" si="205"/>
        <v>22834.920239301195</v>
      </c>
      <c r="CH121" s="20">
        <f t="shared" si="215"/>
        <v>1902.9100199417662</v>
      </c>
      <c r="CI121" s="20">
        <f t="shared" si="206"/>
        <v>561113.78880285157</v>
      </c>
      <c r="CJ121" s="24">
        <f t="shared" si="207"/>
        <v>0.39965014234819207</v>
      </c>
      <c r="CK121" s="24">
        <f t="shared" si="208"/>
        <v>1.7424416775008833E-2</v>
      </c>
      <c r="CL121" s="24">
        <f t="shared" si="209"/>
        <v>5.3853735484621829E-2</v>
      </c>
      <c r="CM121" s="25">
        <f t="shared" si="210"/>
        <v>0.23539717975543847</v>
      </c>
      <c r="CN121" s="17"/>
      <c r="CO121" s="17"/>
      <c r="CP121" s="17"/>
      <c r="CQ121" s="17"/>
      <c r="CR121" s="17"/>
      <c r="CS121" s="17"/>
      <c r="CT121" s="17"/>
      <c r="CU121" s="17"/>
      <c r="CV121" s="17"/>
      <c r="CW121" s="30">
        <v>0</v>
      </c>
      <c r="CX121" s="17"/>
      <c r="CY121" s="17"/>
      <c r="CZ121" s="17"/>
      <c r="DA121" s="17"/>
      <c r="DB121" s="17"/>
    </row>
    <row r="122" spans="1:106" ht="15.75" thickBot="1" x14ac:dyDescent="0.3">
      <c r="A122" s="5">
        <f t="shared" si="218"/>
        <v>33</v>
      </c>
      <c r="B122" s="5">
        <f t="shared" si="218"/>
        <v>32</v>
      </c>
      <c r="C122" s="1">
        <v>45931</v>
      </c>
      <c r="D122" s="4"/>
      <c r="E122" s="30"/>
      <c r="F122" s="30"/>
      <c r="G122" s="30">
        <f t="shared" si="211"/>
        <v>0</v>
      </c>
      <c r="H122" s="30"/>
      <c r="I122" s="10">
        <v>0</v>
      </c>
      <c r="J122" s="60">
        <v>9000</v>
      </c>
      <c r="K122" s="11">
        <v>550</v>
      </c>
      <c r="L122" s="60">
        <f t="shared" si="72"/>
        <v>10067.104144324028</v>
      </c>
      <c r="M122" s="11">
        <v>305</v>
      </c>
      <c r="N122" s="60">
        <v>0</v>
      </c>
      <c r="O122" s="11">
        <v>0</v>
      </c>
      <c r="P122" s="11">
        <v>0</v>
      </c>
      <c r="Q122" s="60">
        <f>(Q121*($K$1/12))+Q121 + $Q$6</f>
        <v>84327.813969565686</v>
      </c>
      <c r="R122" s="60">
        <f>(R121*($K$1/12))+R121</f>
        <v>7169.0788410099976</v>
      </c>
      <c r="S122" s="60">
        <f>(S121*($K$1/12))+S121</f>
        <v>6224.1986067350736</v>
      </c>
      <c r="T122" s="60">
        <f>(T121*($K$1/12))+T121+$T$6 + ((3%/12)*T$11)</f>
        <v>345144.78837595141</v>
      </c>
      <c r="U122" s="60">
        <f>(U121*$K$1/12) + U121 + ((U$11/12*7%))</f>
        <v>45227.712742588643</v>
      </c>
      <c r="V122" s="60">
        <v>3100</v>
      </c>
      <c r="W122" s="60">
        <f>(W121*($K$1/12))+W121+$W$6</f>
        <v>31089.693836055878</v>
      </c>
      <c r="X122" s="11">
        <v>0</v>
      </c>
      <c r="Y122" s="60">
        <f>(Y121*($K$1/12))+Y121+$Y$7</f>
        <v>61519.451726361956</v>
      </c>
      <c r="Z122" s="60">
        <f>'Mortgage and Loans'!U84</f>
        <v>51558.55</v>
      </c>
      <c r="AA122" s="12">
        <f t="shared" si="212"/>
        <v>655283.39224259276</v>
      </c>
      <c r="AB122" s="56">
        <f t="shared" si="221"/>
        <v>750</v>
      </c>
      <c r="AC122" s="56">
        <f t="shared" si="221"/>
        <v>750</v>
      </c>
      <c r="AD122" s="56">
        <f t="shared" si="221"/>
        <v>750</v>
      </c>
      <c r="AE122" s="56">
        <f t="shared" si="221"/>
        <v>750</v>
      </c>
      <c r="AF122" s="56">
        <f t="shared" si="219"/>
        <v>261.43961974455755</v>
      </c>
      <c r="AG122" s="56">
        <f t="shared" si="221"/>
        <v>750</v>
      </c>
      <c r="AH122" s="56">
        <f>'Mortgage and Loans'!AF79</f>
        <v>0</v>
      </c>
      <c r="AI122" s="56">
        <f>'Mortgage and Loans'!AQ79</f>
        <v>0</v>
      </c>
      <c r="AJ122" s="56">
        <f>'Mortgage and Loans'!BB79</f>
        <v>0</v>
      </c>
      <c r="AK122" s="56">
        <f>'Mortgage and Loans'!BM79</f>
        <v>0</v>
      </c>
      <c r="AL122" s="56">
        <f>'Mortgage and Loans'!T84</f>
        <v>128441.45000000003</v>
      </c>
      <c r="AM122" s="12">
        <f t="shared" si="12"/>
        <v>-132452.88961974459</v>
      </c>
      <c r="AN122" s="75">
        <f t="shared" si="85"/>
        <v>522830.50262284814</v>
      </c>
      <c r="AO122" s="86">
        <f>'Mortgage and Loans'!G85</f>
        <v>1454.82</v>
      </c>
      <c r="AP122" s="79">
        <f>('Salary Tax Breakdown'!B$16/12)-Data!AO122</f>
        <v>1992.68</v>
      </c>
      <c r="AQ122" s="87"/>
      <c r="AR122" s="20">
        <f t="shared" si="182"/>
        <v>4011.4396197445576</v>
      </c>
      <c r="AS122" s="20">
        <v>750</v>
      </c>
      <c r="AT122" s="20">
        <v>0</v>
      </c>
      <c r="AU122" s="20">
        <f t="shared" si="183"/>
        <v>4761.4396197445576</v>
      </c>
      <c r="AV122" s="20">
        <f t="shared" si="184"/>
        <v>4761.4396276697898</v>
      </c>
      <c r="AW122" s="51">
        <f t="shared" si="213"/>
        <v>0</v>
      </c>
      <c r="AX122" s="51">
        <f t="shared" si="14"/>
        <v>0</v>
      </c>
      <c r="AY122" s="51">
        <f t="shared" si="15"/>
        <v>0</v>
      </c>
      <c r="AZ122" s="51">
        <f t="shared" si="16"/>
        <v>0</v>
      </c>
      <c r="BA122" s="51">
        <f t="shared" si="17"/>
        <v>0</v>
      </c>
      <c r="BB122" s="51">
        <f t="shared" si="18"/>
        <v>0</v>
      </c>
      <c r="BC122" s="51">
        <f t="shared" si="19"/>
        <v>0</v>
      </c>
      <c r="BD122" s="51">
        <f t="shared" si="20"/>
        <v>0</v>
      </c>
      <c r="BE122" s="51">
        <f t="shared" si="21"/>
        <v>0</v>
      </c>
      <c r="BF122" s="51">
        <f t="shared" si="22"/>
        <v>0</v>
      </c>
      <c r="BG122" s="51">
        <f t="shared" si="23"/>
        <v>0</v>
      </c>
      <c r="BH122" s="51">
        <f t="shared" si="24"/>
        <v>0</v>
      </c>
      <c r="BI122" s="51">
        <f t="shared" si="185"/>
        <v>0</v>
      </c>
      <c r="BJ122" s="51">
        <f t="shared" si="186"/>
        <v>0</v>
      </c>
      <c r="BK122" s="51">
        <f t="shared" si="187"/>
        <v>0</v>
      </c>
      <c r="BL122" s="51">
        <f t="shared" si="188"/>
        <v>0</v>
      </c>
      <c r="BM122" s="51">
        <f t="shared" si="189"/>
        <v>0</v>
      </c>
      <c r="BN122" s="51">
        <f t="shared" si="190"/>
        <v>0</v>
      </c>
      <c r="BO122" s="51">
        <f t="shared" si="191"/>
        <v>0</v>
      </c>
      <c r="BP122" s="51">
        <f t="shared" si="192"/>
        <v>0</v>
      </c>
      <c r="BQ122" s="51">
        <f t="shared" si="193"/>
        <v>0</v>
      </c>
      <c r="BR122" s="51">
        <f t="shared" si="194"/>
        <v>0</v>
      </c>
      <c r="BS122" s="51">
        <f t="shared" si="195"/>
        <v>0</v>
      </c>
      <c r="BT122" s="51">
        <f t="shared" si="196"/>
        <v>0</v>
      </c>
      <c r="BU122" s="20">
        <f t="shared" si="197"/>
        <v>4761.439618108835</v>
      </c>
      <c r="BV122" s="20">
        <f t="shared" si="198"/>
        <v>4761.4396190841217</v>
      </c>
      <c r="BW122" s="20">
        <f t="shared" si="199"/>
        <v>57137.275436934695</v>
      </c>
      <c r="BX122" s="20">
        <f t="shared" si="200"/>
        <v>57137.275417306024</v>
      </c>
      <c r="BY122" s="20">
        <f t="shared" si="201"/>
        <v>57137.27542900946</v>
      </c>
      <c r="BZ122" s="21">
        <f t="shared" si="202"/>
        <v>57137.275427750057</v>
      </c>
      <c r="CA122" s="19">
        <f t="shared" si="216"/>
        <v>1428431.8856937515</v>
      </c>
      <c r="CB122" s="20">
        <f t="shared" si="203"/>
        <v>1428431.8852341177</v>
      </c>
      <c r="CC122" s="20">
        <f t="shared" si="204"/>
        <v>1428431.8855709434</v>
      </c>
      <c r="CD122" s="20">
        <f t="shared" si="217"/>
        <v>0</v>
      </c>
      <c r="CE122" s="20">
        <f t="shared" si="220"/>
        <v>1400000</v>
      </c>
      <c r="CF122" s="20">
        <f t="shared" si="214"/>
        <v>580702.73809826863</v>
      </c>
      <c r="CG122" s="20">
        <f t="shared" si="205"/>
        <v>23228.109523930747</v>
      </c>
      <c r="CH122" s="20">
        <f t="shared" si="215"/>
        <v>1935.6757936608956</v>
      </c>
      <c r="CI122" s="20">
        <f t="shared" si="206"/>
        <v>570890.65849220031</v>
      </c>
      <c r="CJ122" s="24">
        <f t="shared" si="207"/>
        <v>0.40653162681473776</v>
      </c>
      <c r="CK122" s="24">
        <f t="shared" si="208"/>
        <v>1.721877197332327E-2</v>
      </c>
      <c r="CL122" s="24">
        <f t="shared" si="209"/>
        <v>5.3195668630611231E-2</v>
      </c>
      <c r="CM122" s="25">
        <f t="shared" si="210"/>
        <v>0.23543978712283603</v>
      </c>
      <c r="CN122" s="17"/>
      <c r="CO122" s="17"/>
      <c r="CP122" s="17"/>
      <c r="CQ122" s="17"/>
      <c r="CR122" s="17"/>
      <c r="CS122" s="17"/>
      <c r="CT122" s="17"/>
      <c r="CU122" s="17"/>
      <c r="CV122" s="17"/>
      <c r="CW122" s="30">
        <v>0</v>
      </c>
      <c r="CX122" s="17"/>
      <c r="CY122" s="17"/>
      <c r="CZ122" s="17"/>
      <c r="DA122" s="17"/>
      <c r="DB122" s="17"/>
    </row>
    <row r="123" spans="1:106" ht="15.75" thickBot="1" x14ac:dyDescent="0.3">
      <c r="A123" s="5">
        <f t="shared" si="218"/>
        <v>33</v>
      </c>
      <c r="B123" s="5">
        <f t="shared" si="218"/>
        <v>32</v>
      </c>
      <c r="C123" s="1">
        <v>45962</v>
      </c>
      <c r="D123" s="4"/>
      <c r="E123" s="30"/>
      <c r="F123" s="30"/>
      <c r="G123" s="30">
        <f t="shared" ref="G123:G186" si="222">IF(F123=0,IF(F387=1,1,0),0)</f>
        <v>0</v>
      </c>
      <c r="H123" s="30"/>
      <c r="I123" s="10">
        <v>0</v>
      </c>
      <c r="J123" s="60">
        <v>9000</v>
      </c>
      <c r="K123" s="11">
        <v>550</v>
      </c>
      <c r="L123" s="60">
        <f t="shared" si="72"/>
        <v>10079.268561831752</v>
      </c>
      <c r="M123" s="11">
        <v>305</v>
      </c>
      <c r="N123" s="60">
        <v>0</v>
      </c>
      <c r="O123" s="11">
        <v>0</v>
      </c>
      <c r="P123" s="11">
        <v>0</v>
      </c>
      <c r="Q123" s="60">
        <f>(Q122*($K$1/12))+Q122 + $Q$6</f>
        <v>85701.259628567495</v>
      </c>
      <c r="R123" s="60">
        <f>(R122*($K$1/12))+R122</f>
        <v>7207.9113513988013</v>
      </c>
      <c r="S123" s="60">
        <f>(S122*($K$1/12))+S122</f>
        <v>6257.9130158548887</v>
      </c>
      <c r="T123" s="60">
        <f>(T122*($K$1/12))+T122+$T$6 + ((3%/12)*T$11)</f>
        <v>350189.32264632115</v>
      </c>
      <c r="U123" s="60">
        <f>(U122*$K$1/12) + U122 + ((U$11/12*7%))</f>
        <v>45881.029519944335</v>
      </c>
      <c r="V123" s="60">
        <v>3100</v>
      </c>
      <c r="W123" s="60">
        <f>(W122*($K$1/12))+W122+$W$6</f>
        <v>31545.596344334514</v>
      </c>
      <c r="X123" s="11">
        <v>0</v>
      </c>
      <c r="Y123" s="60">
        <f>(Y122*($K$1/12))+Y122+$Y$7</f>
        <v>63802.682089879752</v>
      </c>
      <c r="Z123" s="60">
        <f>'Mortgage and Loans'!U85</f>
        <v>52571.320000000007</v>
      </c>
      <c r="AA123" s="12">
        <f t="shared" si="212"/>
        <v>666191.30315813259</v>
      </c>
      <c r="AB123" s="56">
        <f t="shared" si="221"/>
        <v>750</v>
      </c>
      <c r="AC123" s="56">
        <f t="shared" si="221"/>
        <v>750</v>
      </c>
      <c r="AD123" s="56">
        <f t="shared" si="221"/>
        <v>750</v>
      </c>
      <c r="AE123" s="56">
        <f t="shared" si="221"/>
        <v>750</v>
      </c>
      <c r="AF123" s="56">
        <f t="shared" si="219"/>
        <v>261.43961908412149</v>
      </c>
      <c r="AG123" s="56">
        <f t="shared" si="221"/>
        <v>750</v>
      </c>
      <c r="AH123" s="56">
        <f>'Mortgage and Loans'!AF80</f>
        <v>0</v>
      </c>
      <c r="AI123" s="56">
        <f>'Mortgage and Loans'!AQ80</f>
        <v>0</v>
      </c>
      <c r="AJ123" s="56">
        <f>'Mortgage and Loans'!BB80</f>
        <v>0</v>
      </c>
      <c r="AK123" s="56">
        <f>'Mortgage and Loans'!BM80</f>
        <v>0</v>
      </c>
      <c r="AL123" s="56">
        <f>'Mortgage and Loans'!T85</f>
        <v>127428.68000000002</v>
      </c>
      <c r="AM123" s="12">
        <f t="shared" si="12"/>
        <v>-131440.11961908414</v>
      </c>
      <c r="AN123" s="75">
        <f t="shared" si="85"/>
        <v>534751.18353904842</v>
      </c>
      <c r="AO123" s="86">
        <f>'Mortgage and Loans'!G86</f>
        <v>1454.82</v>
      </c>
      <c r="AP123" s="79">
        <f>('Salary Tax Breakdown'!B$16/12)-Data!AO123</f>
        <v>1992.68</v>
      </c>
      <c r="AQ123" s="87"/>
      <c r="AR123" s="20">
        <f t="shared" si="182"/>
        <v>4011.4396190841217</v>
      </c>
      <c r="AS123" s="20">
        <v>750</v>
      </c>
      <c r="AT123" s="20">
        <v>0</v>
      </c>
      <c r="AU123" s="20">
        <f t="shared" si="183"/>
        <v>4761.4396190841217</v>
      </c>
      <c r="AV123" s="20">
        <f t="shared" si="184"/>
        <v>4761.4396388311534</v>
      </c>
      <c r="AW123" s="51">
        <f t="shared" si="213"/>
        <v>0</v>
      </c>
      <c r="AX123" s="51">
        <f t="shared" si="14"/>
        <v>0</v>
      </c>
      <c r="AY123" s="51">
        <f t="shared" si="15"/>
        <v>0</v>
      </c>
      <c r="AZ123" s="51">
        <f t="shared" si="16"/>
        <v>0</v>
      </c>
      <c r="BA123" s="51">
        <f t="shared" si="17"/>
        <v>0</v>
      </c>
      <c r="BB123" s="51">
        <f t="shared" si="18"/>
        <v>0</v>
      </c>
      <c r="BC123" s="51">
        <f t="shared" si="19"/>
        <v>0</v>
      </c>
      <c r="BD123" s="51">
        <f t="shared" si="20"/>
        <v>0</v>
      </c>
      <c r="BE123" s="51">
        <f t="shared" si="21"/>
        <v>0</v>
      </c>
      <c r="BF123" s="51">
        <f t="shared" si="22"/>
        <v>0</v>
      </c>
      <c r="BG123" s="51">
        <f t="shared" si="23"/>
        <v>0</v>
      </c>
      <c r="BH123" s="51">
        <f t="shared" si="24"/>
        <v>0</v>
      </c>
      <c r="BI123" s="51">
        <f t="shared" si="185"/>
        <v>0</v>
      </c>
      <c r="BJ123" s="51">
        <f t="shared" si="186"/>
        <v>0</v>
      </c>
      <c r="BK123" s="51">
        <f t="shared" si="187"/>
        <v>0</v>
      </c>
      <c r="BL123" s="51">
        <f t="shared" si="188"/>
        <v>0</v>
      </c>
      <c r="BM123" s="51">
        <f t="shared" si="189"/>
        <v>0</v>
      </c>
      <c r="BN123" s="51">
        <f t="shared" si="190"/>
        <v>0</v>
      </c>
      <c r="BO123" s="51">
        <f t="shared" si="191"/>
        <v>0</v>
      </c>
      <c r="BP123" s="51">
        <f t="shared" si="192"/>
        <v>0</v>
      </c>
      <c r="BQ123" s="51">
        <f t="shared" si="193"/>
        <v>0</v>
      </c>
      <c r="BR123" s="51">
        <f t="shared" si="194"/>
        <v>0</v>
      </c>
      <c r="BS123" s="51">
        <f t="shared" si="195"/>
        <v>0</v>
      </c>
      <c r="BT123" s="51">
        <f t="shared" si="196"/>
        <v>0</v>
      </c>
      <c r="BU123" s="20">
        <f t="shared" si="197"/>
        <v>4761.4396191867772</v>
      </c>
      <c r="BV123" s="20">
        <f t="shared" si="198"/>
        <v>4761.4396174385356</v>
      </c>
      <c r="BW123" s="20">
        <f t="shared" si="199"/>
        <v>57137.27542900946</v>
      </c>
      <c r="BX123" s="20">
        <f t="shared" si="200"/>
        <v>57137.275430241323</v>
      </c>
      <c r="BY123" s="20">
        <f t="shared" si="201"/>
        <v>57137.275409262424</v>
      </c>
      <c r="BZ123" s="21">
        <f t="shared" si="202"/>
        <v>57137.275422837738</v>
      </c>
      <c r="CA123" s="19">
        <f t="shared" si="216"/>
        <v>1428431.8855709434</v>
      </c>
      <c r="CB123" s="20">
        <f t="shared" si="203"/>
        <v>1428431.8855509579</v>
      </c>
      <c r="CC123" s="20">
        <f t="shared" si="204"/>
        <v>1428431.8851810761</v>
      </c>
      <c r="CD123" s="20">
        <f t="shared" si="217"/>
        <v>0</v>
      </c>
      <c r="CE123" s="20">
        <f t="shared" si="220"/>
        <v>1400000</v>
      </c>
      <c r="CF123" s="20">
        <f t="shared" si="214"/>
        <v>590585.71459630097</v>
      </c>
      <c r="CG123" s="20">
        <f t="shared" si="205"/>
        <v>23623.428583852041</v>
      </c>
      <c r="CH123" s="20">
        <f t="shared" si="215"/>
        <v>1968.6190486543367</v>
      </c>
      <c r="CI123" s="20">
        <f t="shared" si="206"/>
        <v>580720.48622569989</v>
      </c>
      <c r="CJ123" s="24">
        <f t="shared" si="207"/>
        <v>0.41345038609839435</v>
      </c>
      <c r="CK123" s="24">
        <f t="shared" si="208"/>
        <v>1.7018994142162808E-2</v>
      </c>
      <c r="CL123" s="24">
        <f t="shared" si="209"/>
        <v>5.2556908334848947E-2</v>
      </c>
      <c r="CM123" s="25">
        <f t="shared" si="210"/>
        <v>0.23548119823421851</v>
      </c>
      <c r="CN123" s="17"/>
      <c r="CO123" s="17"/>
      <c r="CP123" s="17"/>
      <c r="CQ123" s="17"/>
      <c r="CR123" s="17"/>
      <c r="CS123" s="17"/>
      <c r="CT123" s="17"/>
      <c r="CU123" s="17"/>
      <c r="CV123" s="17"/>
      <c r="CW123" s="30">
        <v>0</v>
      </c>
      <c r="CX123" s="17"/>
      <c r="CY123" s="17"/>
      <c r="CZ123" s="17"/>
      <c r="DA123" s="17"/>
      <c r="DB123" s="17"/>
    </row>
    <row r="124" spans="1:106" ht="15.75" thickBot="1" x14ac:dyDescent="0.3">
      <c r="A124" s="5">
        <f t="shared" si="218"/>
        <v>34</v>
      </c>
      <c r="B124" s="5">
        <f t="shared" si="218"/>
        <v>32</v>
      </c>
      <c r="C124" s="1">
        <v>45992</v>
      </c>
      <c r="D124" s="4"/>
      <c r="E124" s="30"/>
      <c r="F124" s="30"/>
      <c r="G124" s="30">
        <f t="shared" si="222"/>
        <v>0</v>
      </c>
      <c r="H124" s="30"/>
      <c r="I124" s="10">
        <v>0</v>
      </c>
      <c r="J124" s="60">
        <v>9000</v>
      </c>
      <c r="K124" s="11">
        <v>550</v>
      </c>
      <c r="L124" s="60">
        <f t="shared" si="72"/>
        <v>10091.447678010631</v>
      </c>
      <c r="M124" s="11">
        <v>305</v>
      </c>
      <c r="N124" s="60">
        <v>0</v>
      </c>
      <c r="O124" s="11">
        <v>0</v>
      </c>
      <c r="P124" s="11">
        <v>0</v>
      </c>
      <c r="Q124" s="60">
        <f>(Q123*($K$1/12))+Q123 + $Q$6</f>
        <v>87082.144784888907</v>
      </c>
      <c r="R124" s="60">
        <f>(R123*($K$1/12))+R123</f>
        <v>7246.9542045522112</v>
      </c>
      <c r="S124" s="60">
        <f>(S123*($K$1/12))+S123</f>
        <v>6291.8100446907692</v>
      </c>
      <c r="T124" s="60">
        <f>(T123*($K$1/12))+T123+$T$6 + ((3%/12)*T$11)</f>
        <v>355261.18147732207</v>
      </c>
      <c r="U124" s="60">
        <f>(U123*$K$1/12) + U123 + ((U$11/12*7%))</f>
        <v>46537.885096510705</v>
      </c>
      <c r="V124" s="60">
        <v>3100</v>
      </c>
      <c r="W124" s="60">
        <f>(W123*($K$1/12))+W123+$W$6</f>
        <v>32003.968324532991</v>
      </c>
      <c r="X124" s="11">
        <v>0</v>
      </c>
      <c r="Y124" s="60">
        <f>(Y123*($K$1/12))+Y123+$Y$7</f>
        <v>66098.279951199933</v>
      </c>
      <c r="Z124" s="60">
        <f>'Mortgage and Loans'!U86</f>
        <v>53587.570000000007</v>
      </c>
      <c r="AA124" s="12">
        <f t="shared" si="212"/>
        <v>677156.24156170827</v>
      </c>
      <c r="AB124" s="56">
        <f t="shared" si="221"/>
        <v>750</v>
      </c>
      <c r="AC124" s="56">
        <f t="shared" si="221"/>
        <v>750</v>
      </c>
      <c r="AD124" s="56">
        <f t="shared" si="221"/>
        <v>750</v>
      </c>
      <c r="AE124" s="56">
        <f t="shared" si="221"/>
        <v>750</v>
      </c>
      <c r="AF124" s="56">
        <f t="shared" si="219"/>
        <v>261.43961743853555</v>
      </c>
      <c r="AG124" s="56">
        <f t="shared" si="221"/>
        <v>750</v>
      </c>
      <c r="AH124" s="56">
        <f>'Mortgage and Loans'!AF81</f>
        <v>0</v>
      </c>
      <c r="AI124" s="56">
        <f>'Mortgage and Loans'!AQ81</f>
        <v>0</v>
      </c>
      <c r="AJ124" s="56">
        <f>'Mortgage and Loans'!BB81</f>
        <v>0</v>
      </c>
      <c r="AK124" s="56">
        <f>'Mortgage and Loans'!BM81</f>
        <v>0</v>
      </c>
      <c r="AL124" s="56">
        <f>'Mortgage and Loans'!T86</f>
        <v>126412.43000000002</v>
      </c>
      <c r="AM124" s="12">
        <f t="shared" si="12"/>
        <v>-130423.86961743855</v>
      </c>
      <c r="AN124" s="75">
        <f t="shared" si="85"/>
        <v>546732.37194426975</v>
      </c>
      <c r="AO124" s="86">
        <f>'Mortgage and Loans'!G87</f>
        <v>1454.82</v>
      </c>
      <c r="AP124" s="79">
        <f>('Salary Tax Breakdown'!B$16/12)-Data!AO124</f>
        <v>1992.68</v>
      </c>
      <c r="AQ124" s="87"/>
      <c r="AR124" s="20">
        <f t="shared" si="182"/>
        <v>4011.4396174385356</v>
      </c>
      <c r="AS124" s="20">
        <v>750</v>
      </c>
      <c r="AT124" s="20">
        <v>0</v>
      </c>
      <c r="AU124" s="20">
        <f t="shared" si="183"/>
        <v>4761.4396174385356</v>
      </c>
      <c r="AV124" s="20">
        <f t="shared" si="184"/>
        <v>4761.4396393030838</v>
      </c>
      <c r="AW124" s="51">
        <f t="shared" si="213"/>
        <v>0</v>
      </c>
      <c r="AX124" s="51">
        <f t="shared" si="14"/>
        <v>0</v>
      </c>
      <c r="AY124" s="51">
        <f t="shared" si="15"/>
        <v>0</v>
      </c>
      <c r="AZ124" s="51">
        <f t="shared" si="16"/>
        <v>0</v>
      </c>
      <c r="BA124" s="51">
        <f t="shared" si="17"/>
        <v>0</v>
      </c>
      <c r="BB124" s="51">
        <f t="shared" si="18"/>
        <v>0</v>
      </c>
      <c r="BC124" s="51">
        <f t="shared" si="19"/>
        <v>0</v>
      </c>
      <c r="BD124" s="51">
        <f t="shared" si="20"/>
        <v>0</v>
      </c>
      <c r="BE124" s="51">
        <f t="shared" si="21"/>
        <v>0</v>
      </c>
      <c r="BF124" s="51">
        <f t="shared" si="22"/>
        <v>0</v>
      </c>
      <c r="BG124" s="51">
        <f t="shared" si="23"/>
        <v>0</v>
      </c>
      <c r="BH124" s="51">
        <f t="shared" si="24"/>
        <v>0</v>
      </c>
      <c r="BI124" s="51">
        <f t="shared" si="185"/>
        <v>0</v>
      </c>
      <c r="BJ124" s="51">
        <f t="shared" si="186"/>
        <v>0</v>
      </c>
      <c r="BK124" s="51">
        <f t="shared" si="187"/>
        <v>0</v>
      </c>
      <c r="BL124" s="51">
        <f t="shared" si="188"/>
        <v>0</v>
      </c>
      <c r="BM124" s="51">
        <f t="shared" si="189"/>
        <v>0</v>
      </c>
      <c r="BN124" s="51">
        <f t="shared" si="190"/>
        <v>0</v>
      </c>
      <c r="BO124" s="51">
        <f t="shared" si="191"/>
        <v>0</v>
      </c>
      <c r="BP124" s="51">
        <f t="shared" si="192"/>
        <v>0</v>
      </c>
      <c r="BQ124" s="51">
        <f t="shared" si="193"/>
        <v>0</v>
      </c>
      <c r="BR124" s="51">
        <f t="shared" si="194"/>
        <v>0</v>
      </c>
      <c r="BS124" s="51">
        <f t="shared" si="195"/>
        <v>0</v>
      </c>
      <c r="BT124" s="51">
        <f t="shared" si="196"/>
        <v>0</v>
      </c>
      <c r="BU124" s="20">
        <f t="shared" si="197"/>
        <v>4761.4396187557386</v>
      </c>
      <c r="BV124" s="20">
        <f t="shared" si="198"/>
        <v>4761.4396156164903</v>
      </c>
      <c r="BW124" s="20">
        <f t="shared" si="199"/>
        <v>57137.275409262424</v>
      </c>
      <c r="BX124" s="20">
        <f t="shared" si="200"/>
        <v>57137.275425068859</v>
      </c>
      <c r="BY124" s="20">
        <f t="shared" si="201"/>
        <v>57137.27538739788</v>
      </c>
      <c r="BZ124" s="21">
        <f t="shared" si="202"/>
        <v>57137.275407243054</v>
      </c>
      <c r="CA124" s="19">
        <f t="shared" si="216"/>
        <v>1428431.8851810764</v>
      </c>
      <c r="CB124" s="20">
        <f t="shared" si="203"/>
        <v>1428431.8854819238</v>
      </c>
      <c r="CC124" s="20">
        <f t="shared" si="204"/>
        <v>1428431.8847226284</v>
      </c>
      <c r="CD124" s="20">
        <f t="shared" si="217"/>
        <v>0</v>
      </c>
      <c r="CE124" s="20">
        <f t="shared" si="220"/>
        <v>1400000</v>
      </c>
      <c r="CF124" s="20">
        <f t="shared" si="214"/>
        <v>600522.22388369753</v>
      </c>
      <c r="CG124" s="20">
        <f t="shared" si="205"/>
        <v>24020.888955347902</v>
      </c>
      <c r="CH124" s="20">
        <f t="shared" si="215"/>
        <v>2001.7407462789918</v>
      </c>
      <c r="CI124" s="20">
        <f t="shared" si="206"/>
        <v>590603.55885942245</v>
      </c>
      <c r="CJ124" s="24">
        <f t="shared" si="207"/>
        <v>0.42040662210581609</v>
      </c>
      <c r="CK124" s="24">
        <f t="shared" si="208"/>
        <v>1.6824838532013484E-2</v>
      </c>
      <c r="CL124" s="24">
        <f t="shared" si="209"/>
        <v>5.1936626168088661E-2</v>
      </c>
      <c r="CM124" s="25">
        <f t="shared" si="210"/>
        <v>0.2355214621923914</v>
      </c>
      <c r="CN124" s="17"/>
      <c r="CO124" s="17"/>
      <c r="CP124" s="17"/>
      <c r="CQ124" s="17"/>
      <c r="CR124" s="17"/>
      <c r="CS124" s="17"/>
      <c r="CT124" s="17"/>
      <c r="CU124" s="17"/>
      <c r="CV124" s="17"/>
      <c r="CW124" s="30">
        <v>0</v>
      </c>
      <c r="CX124" s="17"/>
      <c r="CY124" s="17"/>
      <c r="CZ124" s="17"/>
      <c r="DA124" s="17"/>
      <c r="DB124" s="17"/>
    </row>
    <row r="125" spans="1:106" ht="15.75" thickBot="1" x14ac:dyDescent="0.3">
      <c r="A125" s="5">
        <f t="shared" si="218"/>
        <v>34</v>
      </c>
      <c r="B125" s="5">
        <f t="shared" si="218"/>
        <v>32</v>
      </c>
      <c r="C125" s="1">
        <v>46023</v>
      </c>
      <c r="D125" s="4"/>
      <c r="E125" s="30"/>
      <c r="F125" s="30"/>
      <c r="G125" s="30">
        <f t="shared" si="222"/>
        <v>0</v>
      </c>
      <c r="H125" s="30"/>
      <c r="I125" s="10">
        <v>0</v>
      </c>
      <c r="J125" s="60">
        <v>9000</v>
      </c>
      <c r="K125" s="11">
        <v>550</v>
      </c>
      <c r="L125" s="60">
        <f t="shared" si="72"/>
        <v>10103.641510621559</v>
      </c>
      <c r="M125" s="11">
        <v>305</v>
      </c>
      <c r="N125" s="60">
        <v>0</v>
      </c>
      <c r="O125" s="11">
        <v>0</v>
      </c>
      <c r="P125" s="11">
        <v>0</v>
      </c>
      <c r="Q125" s="60">
        <f>(Q124*($K$1/12))+Q124 + $Q$6</f>
        <v>88470.509735807049</v>
      </c>
      <c r="R125" s="60">
        <f>(R124*($K$1/12))+R124</f>
        <v>7286.2085398268691</v>
      </c>
      <c r="S125" s="60">
        <f>(S124*($K$1/12))+S124</f>
        <v>6325.8906824328442</v>
      </c>
      <c r="T125" s="60">
        <f>(T124*($K$1/12))+T124+$T$6 + ((3%/12)*T$11)</f>
        <v>360360.51287699089</v>
      </c>
      <c r="U125" s="60">
        <f>(U124*$K$1/12) + U124 + ((U$11/12*7%))</f>
        <v>47198.298640783476</v>
      </c>
      <c r="V125" s="60">
        <v>3100</v>
      </c>
      <c r="W125" s="60">
        <f>(W124*($K$1/12))+W124+$W$6</f>
        <v>32464.823152957546</v>
      </c>
      <c r="X125" s="11">
        <v>0</v>
      </c>
      <c r="Y125" s="60">
        <f>(Y124*($K$1/12))+Y124+$Y$7</f>
        <v>68406.312300935606</v>
      </c>
      <c r="Z125" s="60">
        <f>'Mortgage and Loans'!U87</f>
        <v>54607.320000000007</v>
      </c>
      <c r="AA125" s="12">
        <f t="shared" si="212"/>
        <v>688178.51744035585</v>
      </c>
      <c r="AB125" s="56">
        <f t="shared" si="221"/>
        <v>750</v>
      </c>
      <c r="AC125" s="56">
        <f t="shared" si="221"/>
        <v>750</v>
      </c>
      <c r="AD125" s="56">
        <f t="shared" si="221"/>
        <v>750</v>
      </c>
      <c r="AE125" s="56">
        <f t="shared" si="221"/>
        <v>750</v>
      </c>
      <c r="AF125" s="56">
        <f t="shared" si="219"/>
        <v>261.4396156164899</v>
      </c>
      <c r="AG125" s="56">
        <f t="shared" si="221"/>
        <v>750</v>
      </c>
      <c r="AH125" s="56">
        <f>'Mortgage and Loans'!AF82</f>
        <v>0</v>
      </c>
      <c r="AI125" s="56">
        <f>'Mortgage and Loans'!AQ82</f>
        <v>0</v>
      </c>
      <c r="AJ125" s="56">
        <f>'Mortgage and Loans'!BB82</f>
        <v>0</v>
      </c>
      <c r="AK125" s="56">
        <f>'Mortgage and Loans'!BM82</f>
        <v>0</v>
      </c>
      <c r="AL125" s="56">
        <f>'Mortgage and Loans'!T87</f>
        <v>125392.68000000002</v>
      </c>
      <c r="AM125" s="12">
        <f t="shared" si="12"/>
        <v>-129404.11961561651</v>
      </c>
      <c r="AN125" s="75">
        <f t="shared" si="85"/>
        <v>558774.39782473934</v>
      </c>
      <c r="AO125" s="86">
        <f>'Mortgage and Loans'!G88</f>
        <v>1454.82</v>
      </c>
      <c r="AP125" s="79">
        <f>('Salary Tax Breakdown'!B$16/12)-Data!AO125</f>
        <v>1992.68</v>
      </c>
      <c r="AQ125" s="87"/>
      <c r="AR125" s="20">
        <f t="shared" ref="AR125:AR188" si="223">SUM(AB125:AG125)</f>
        <v>4011.4396156164898</v>
      </c>
      <c r="AS125" s="20">
        <v>750</v>
      </c>
      <c r="AT125" s="20">
        <v>0</v>
      </c>
      <c r="AU125" s="20">
        <f t="shared" ref="AU125:AU188" si="224">SUM(AR125:AT125)</f>
        <v>4761.4396156164894</v>
      </c>
      <c r="AV125" s="20">
        <f t="shared" ref="AV125:AV188" si="225">AU113</f>
        <v>4761.4396322534267</v>
      </c>
      <c r="AW125" s="51">
        <f t="shared" si="213"/>
        <v>0</v>
      </c>
      <c r="AX125" s="51">
        <f t="shared" si="14"/>
        <v>0</v>
      </c>
      <c r="AY125" s="51">
        <f t="shared" si="15"/>
        <v>0</v>
      </c>
      <c r="AZ125" s="51">
        <f t="shared" si="16"/>
        <v>0</v>
      </c>
      <c r="BA125" s="51">
        <f t="shared" si="17"/>
        <v>0</v>
      </c>
      <c r="BB125" s="51">
        <f t="shared" si="18"/>
        <v>0</v>
      </c>
      <c r="BC125" s="51">
        <f t="shared" si="19"/>
        <v>0</v>
      </c>
      <c r="BD125" s="51">
        <f t="shared" si="20"/>
        <v>0</v>
      </c>
      <c r="BE125" s="51">
        <f t="shared" si="21"/>
        <v>0</v>
      </c>
      <c r="BF125" s="51">
        <f t="shared" si="22"/>
        <v>0</v>
      </c>
      <c r="BG125" s="51">
        <f t="shared" si="23"/>
        <v>0</v>
      </c>
      <c r="BH125" s="51">
        <f t="shared" si="24"/>
        <v>0</v>
      </c>
      <c r="BI125" s="51">
        <f t="shared" ref="BI125:BI188" si="226">$AU125*AW125</f>
        <v>0</v>
      </c>
      <c r="BJ125" s="51">
        <f t="shared" ref="BJ125:BJ188" si="227">$AU125*AX125</f>
        <v>0</v>
      </c>
      <c r="BK125" s="51">
        <f t="shared" ref="BK125:BK188" si="228">$AU125*AY125</f>
        <v>0</v>
      </c>
      <c r="BL125" s="51">
        <f t="shared" ref="BL125:BL188" si="229">$AU125*AZ125</f>
        <v>0</v>
      </c>
      <c r="BM125" s="51">
        <f t="shared" ref="BM125:BM188" si="230">$AU125*BA125</f>
        <v>0</v>
      </c>
      <c r="BN125" s="51">
        <f t="shared" ref="BN125:BN188" si="231">$AU125*BB125</f>
        <v>0</v>
      </c>
      <c r="BO125" s="51">
        <f t="shared" ref="BO125:BO188" si="232">$AU125*BC125</f>
        <v>0</v>
      </c>
      <c r="BP125" s="51">
        <f t="shared" ref="BP125:BP188" si="233">$AU125*BD125</f>
        <v>0</v>
      </c>
      <c r="BQ125" s="51">
        <f t="shared" ref="BQ125:BQ188" si="234">$AU125*BE125</f>
        <v>0</v>
      </c>
      <c r="BR125" s="51">
        <f t="shared" ref="BR125:BR188" si="235">$AU125*BF125</f>
        <v>0</v>
      </c>
      <c r="BS125" s="51">
        <f t="shared" ref="BS125:BS188" si="236">$AU125*BG125</f>
        <v>0</v>
      </c>
      <c r="BT125" s="51">
        <f t="shared" ref="BT125:BT188" si="237">$AU125*BH125</f>
        <v>0</v>
      </c>
      <c r="BU125" s="20">
        <f t="shared" ref="BU125:BU188" si="238">AVERAGE(AU123:AU125)</f>
        <v>4761.4396173797159</v>
      </c>
      <c r="BV125" s="20">
        <f t="shared" ref="BV125:BV188" si="239">AVERAGE(AU114:AU125)</f>
        <v>4761.4396142300784</v>
      </c>
      <c r="BW125" s="20">
        <f t="shared" ref="BW125:BW188" si="240">AU125*12</f>
        <v>57137.275387397873</v>
      </c>
      <c r="BX125" s="20">
        <f t="shared" ref="BX125:BX188" si="241">BU125*12</f>
        <v>57137.27540855659</v>
      </c>
      <c r="BY125" s="20">
        <f t="shared" ref="BY125:BY188" si="242">BV125*12</f>
        <v>57137.275370760937</v>
      </c>
      <c r="BZ125" s="21">
        <f t="shared" ref="BZ125:BZ188" si="243">IF(BY125&gt;0,AVERAGE(BW125:BY125), IF(BX125&gt;0,AVERAGE(BW125:BX125), BW125))</f>
        <v>57137.275388905138</v>
      </c>
      <c r="CA125" s="19">
        <f t="shared" si="216"/>
        <v>1428431.8847226284</v>
      </c>
      <c r="CB125" s="20">
        <f t="shared" ref="CB125:CB188" si="244">AVERAGE(CA123:CA125)</f>
        <v>1428431.8851582159</v>
      </c>
      <c r="CC125" s="20">
        <f t="shared" ref="CC125:CC188" si="245">AVERAGE(CA114:CA125)</f>
        <v>1428431.884358133</v>
      </c>
      <c r="CD125" s="20">
        <f t="shared" si="217"/>
        <v>0</v>
      </c>
      <c r="CE125" s="20">
        <f t="shared" si="220"/>
        <v>1400000</v>
      </c>
      <c r="CF125" s="20">
        <f t="shared" si="214"/>
        <v>610512.55592973426</v>
      </c>
      <c r="CG125" s="20">
        <f t="shared" ref="CG125:CG188" si="246">CA$11*CF125</f>
        <v>24420.502237189372</v>
      </c>
      <c r="CH125" s="20">
        <f t="shared" si="215"/>
        <v>2035.0418530991144</v>
      </c>
      <c r="CI125" s="20">
        <f t="shared" ref="CI125:CI188" si="247">AVERAGE(CF123:CF125)</f>
        <v>600540.16480324429</v>
      </c>
      <c r="CJ125" s="24">
        <f t="shared" ref="CJ125:CJ188" si="248">CF125/CB125</f>
        <v>0.42740053780171161</v>
      </c>
      <c r="CK125" s="24">
        <f t="shared" ref="CK125:CK188" si="249">(CF125-CF124)/CF124</f>
        <v>1.6636073818263122E-2</v>
      </c>
      <c r="CL125" s="24">
        <f t="shared" ref="CL125:CL188" si="250">(CF125-CF122)/CF122</f>
        <v>5.1334040423313965E-2</v>
      </c>
      <c r="CM125" s="25">
        <f t="shared" ref="CM125:CM188" si="251">(CF125-CF113)/CF113</f>
        <v>0.23556062544945591</v>
      </c>
      <c r="CN125" s="17"/>
      <c r="CO125" s="17"/>
      <c r="CP125" s="17"/>
      <c r="CQ125" s="17"/>
      <c r="CR125" s="17"/>
      <c r="CS125" s="17"/>
      <c r="CT125" s="17"/>
      <c r="CU125" s="17"/>
      <c r="CV125" s="17"/>
      <c r="CW125" s="30">
        <v>0</v>
      </c>
      <c r="CX125" s="17"/>
      <c r="CY125" s="17"/>
      <c r="CZ125" s="17"/>
      <c r="DA125" s="17"/>
      <c r="DB125" s="17"/>
    </row>
    <row r="126" spans="1:106" ht="15.75" thickBot="1" x14ac:dyDescent="0.3">
      <c r="A126" s="5">
        <f t="shared" si="218"/>
        <v>34</v>
      </c>
      <c r="B126" s="5">
        <f t="shared" si="218"/>
        <v>32</v>
      </c>
      <c r="C126" s="1">
        <v>46054</v>
      </c>
      <c r="D126" s="4"/>
      <c r="E126" s="30"/>
      <c r="F126" s="30"/>
      <c r="G126" s="30">
        <f t="shared" si="222"/>
        <v>0</v>
      </c>
      <c r="H126" s="30"/>
      <c r="I126" s="10">
        <v>0</v>
      </c>
      <c r="J126" s="60">
        <v>9000</v>
      </c>
      <c r="K126" s="11">
        <v>550</v>
      </c>
      <c r="L126" s="60">
        <f t="shared" si="72"/>
        <v>10115.850077446892</v>
      </c>
      <c r="M126" s="11">
        <v>305</v>
      </c>
      <c r="N126" s="60">
        <v>0</v>
      </c>
      <c r="O126" s="11">
        <v>0</v>
      </c>
      <c r="P126" s="11">
        <v>0</v>
      </c>
      <c r="Q126" s="60">
        <f>(Q125*($K$1/12))+Q125 + $Q$6</f>
        <v>89866.394996875999</v>
      </c>
      <c r="R126" s="60">
        <f>(R125*($K$1/12))+R125</f>
        <v>7325.6755027509316</v>
      </c>
      <c r="S126" s="60">
        <f>(S125*($K$1/12))+S125</f>
        <v>6360.1559236293551</v>
      </c>
      <c r="T126" s="60">
        <f>(T125*($K$1/12))+T125+$T$6 + ((3%/12)*T$11)</f>
        <v>365487.46565507457</v>
      </c>
      <c r="U126" s="60">
        <f>(U125*$K$1/12) + U125 + ((U$11/12*7%))</f>
        <v>47862.289425087722</v>
      </c>
      <c r="V126" s="60">
        <v>3100</v>
      </c>
      <c r="W126" s="60">
        <f>(W125*($K$1/12))+W125+$W$6</f>
        <v>32928.174278369399</v>
      </c>
      <c r="X126" s="11">
        <v>0</v>
      </c>
      <c r="Y126" s="60">
        <f>(Y125*($K$1/12))+Y125+$Y$7</f>
        <v>70726.846492565674</v>
      </c>
      <c r="Z126" s="60">
        <f>'Mortgage and Loans'!U88</f>
        <v>55630.58</v>
      </c>
      <c r="AA126" s="12">
        <f t="shared" si="212"/>
        <v>699258.4323518005</v>
      </c>
      <c r="AB126" s="56">
        <f t="shared" si="221"/>
        <v>750</v>
      </c>
      <c r="AC126" s="56">
        <f t="shared" si="221"/>
        <v>750</v>
      </c>
      <c r="AD126" s="56">
        <f t="shared" si="221"/>
        <v>750</v>
      </c>
      <c r="AE126" s="56">
        <f t="shared" si="221"/>
        <v>750</v>
      </c>
      <c r="AF126" s="56">
        <f t="shared" si="219"/>
        <v>261.43961423007846</v>
      </c>
      <c r="AG126" s="56">
        <f t="shared" si="221"/>
        <v>750</v>
      </c>
      <c r="AH126" s="56">
        <f>'Mortgage and Loans'!AF83</f>
        <v>0</v>
      </c>
      <c r="AI126" s="56">
        <f>'Mortgage and Loans'!AQ83</f>
        <v>0</v>
      </c>
      <c r="AJ126" s="56">
        <f>'Mortgage and Loans'!BB83</f>
        <v>0</v>
      </c>
      <c r="AK126" s="56">
        <f>'Mortgage and Loans'!BM83</f>
        <v>0</v>
      </c>
      <c r="AL126" s="56">
        <f>'Mortgage and Loans'!T88</f>
        <v>124369.42000000001</v>
      </c>
      <c r="AM126" s="12">
        <f t="shared" si="12"/>
        <v>-128380.8596142301</v>
      </c>
      <c r="AN126" s="75">
        <f t="shared" si="85"/>
        <v>570877.57273757039</v>
      </c>
      <c r="AO126" s="86">
        <f>'Mortgage and Loans'!G89</f>
        <v>1454.82</v>
      </c>
      <c r="AP126" s="79">
        <f>('Salary Tax Breakdown'!B$16/12)-Data!AO126</f>
        <v>1992.68</v>
      </c>
      <c r="AQ126" s="87"/>
      <c r="AR126" s="20">
        <f t="shared" si="223"/>
        <v>4011.4396142300784</v>
      </c>
      <c r="AS126" s="20">
        <v>750</v>
      </c>
      <c r="AT126" s="20">
        <v>0</v>
      </c>
      <c r="AU126" s="20">
        <f t="shared" si="224"/>
        <v>4761.4396142300784</v>
      </c>
      <c r="AV126" s="20">
        <f t="shared" si="225"/>
        <v>4761.4396219164473</v>
      </c>
      <c r="AW126" s="51">
        <f t="shared" si="213"/>
        <v>0</v>
      </c>
      <c r="AX126" s="51">
        <f t="shared" si="14"/>
        <v>0</v>
      </c>
      <c r="AY126" s="51">
        <f t="shared" si="15"/>
        <v>0</v>
      </c>
      <c r="AZ126" s="51">
        <f t="shared" si="16"/>
        <v>0</v>
      </c>
      <c r="BA126" s="51">
        <f t="shared" si="17"/>
        <v>0</v>
      </c>
      <c r="BB126" s="51">
        <f t="shared" si="18"/>
        <v>0</v>
      </c>
      <c r="BC126" s="51">
        <f t="shared" si="19"/>
        <v>0</v>
      </c>
      <c r="BD126" s="51">
        <f t="shared" si="20"/>
        <v>0</v>
      </c>
      <c r="BE126" s="51">
        <f t="shared" si="21"/>
        <v>0</v>
      </c>
      <c r="BF126" s="51">
        <f t="shared" si="22"/>
        <v>0</v>
      </c>
      <c r="BG126" s="51">
        <f t="shared" si="23"/>
        <v>0</v>
      </c>
      <c r="BH126" s="51">
        <f t="shared" si="24"/>
        <v>0</v>
      </c>
      <c r="BI126" s="51">
        <f t="shared" si="226"/>
        <v>0</v>
      </c>
      <c r="BJ126" s="51">
        <f t="shared" si="227"/>
        <v>0</v>
      </c>
      <c r="BK126" s="51">
        <f t="shared" si="228"/>
        <v>0</v>
      </c>
      <c r="BL126" s="51">
        <f t="shared" si="229"/>
        <v>0</v>
      </c>
      <c r="BM126" s="51">
        <f t="shared" si="230"/>
        <v>0</v>
      </c>
      <c r="BN126" s="51">
        <f t="shared" si="231"/>
        <v>0</v>
      </c>
      <c r="BO126" s="51">
        <f t="shared" si="232"/>
        <v>0</v>
      </c>
      <c r="BP126" s="51">
        <f t="shared" si="233"/>
        <v>0</v>
      </c>
      <c r="BQ126" s="51">
        <f t="shared" si="234"/>
        <v>0</v>
      </c>
      <c r="BR126" s="51">
        <f t="shared" si="235"/>
        <v>0</v>
      </c>
      <c r="BS126" s="51">
        <f t="shared" si="236"/>
        <v>0</v>
      </c>
      <c r="BT126" s="51">
        <f t="shared" si="237"/>
        <v>0</v>
      </c>
      <c r="BU126" s="20">
        <f t="shared" si="238"/>
        <v>4761.4396157617011</v>
      </c>
      <c r="BV126" s="20">
        <f t="shared" si="239"/>
        <v>4761.4396135895477</v>
      </c>
      <c r="BW126" s="20">
        <f t="shared" si="240"/>
        <v>57137.275370760937</v>
      </c>
      <c r="BX126" s="20">
        <f t="shared" si="241"/>
        <v>57137.275389140414</v>
      </c>
      <c r="BY126" s="20">
        <f t="shared" si="242"/>
        <v>57137.275363074572</v>
      </c>
      <c r="BZ126" s="21">
        <f t="shared" si="243"/>
        <v>57137.275374325305</v>
      </c>
      <c r="CA126" s="19">
        <f t="shared" si="216"/>
        <v>1428431.8843581325</v>
      </c>
      <c r="CB126" s="20">
        <f t="shared" si="244"/>
        <v>1428431.8847539455</v>
      </c>
      <c r="CC126" s="20">
        <f t="shared" si="245"/>
        <v>1428431.8841771206</v>
      </c>
      <c r="CD126" s="20">
        <f t="shared" si="217"/>
        <v>0</v>
      </c>
      <c r="CE126" s="20">
        <f t="shared" si="220"/>
        <v>1400000</v>
      </c>
      <c r="CF126" s="20">
        <f t="shared" si="214"/>
        <v>620557.00227435364</v>
      </c>
      <c r="CG126" s="20">
        <f t="shared" si="246"/>
        <v>24822.280090974145</v>
      </c>
      <c r="CH126" s="20">
        <f t="shared" si="215"/>
        <v>2068.5233409145121</v>
      </c>
      <c r="CI126" s="20">
        <f t="shared" si="247"/>
        <v>610530.59402926173</v>
      </c>
      <c r="CJ126" s="24">
        <f t="shared" si="248"/>
        <v>0.43443233723479063</v>
      </c>
      <c r="CK126" s="24">
        <f t="shared" si="249"/>
        <v>1.6452481193155722E-2</v>
      </c>
      <c r="CL126" s="24">
        <f t="shared" si="250"/>
        <v>5.0748412867622029E-2</v>
      </c>
      <c r="CM126" s="25">
        <f t="shared" si="251"/>
        <v>0.23240870846981404</v>
      </c>
      <c r="CN126" s="17"/>
      <c r="CO126" s="17"/>
      <c r="CP126" s="17"/>
      <c r="CQ126" s="17"/>
      <c r="CR126" s="17"/>
      <c r="CS126" s="17"/>
      <c r="CT126" s="17"/>
      <c r="CU126" s="17"/>
      <c r="CV126" s="17"/>
      <c r="CW126" s="30">
        <v>0</v>
      </c>
      <c r="CX126" s="17"/>
      <c r="CY126" s="17"/>
      <c r="CZ126" s="17"/>
      <c r="DA126" s="17"/>
      <c r="DB126" s="17"/>
    </row>
    <row r="127" spans="1:106" ht="15.75" thickBot="1" x14ac:dyDescent="0.3">
      <c r="A127" s="5">
        <f t="shared" si="218"/>
        <v>34</v>
      </c>
      <c r="B127" s="5">
        <f t="shared" si="218"/>
        <v>32</v>
      </c>
      <c r="C127" s="1">
        <v>46082</v>
      </c>
      <c r="D127" s="4"/>
      <c r="E127" s="30"/>
      <c r="F127" s="30"/>
      <c r="G127" s="30">
        <f t="shared" si="222"/>
        <v>0</v>
      </c>
      <c r="H127" s="30"/>
      <c r="I127" s="10">
        <v>0</v>
      </c>
      <c r="J127" s="60">
        <v>9000</v>
      </c>
      <c r="K127" s="11">
        <v>550</v>
      </c>
      <c r="L127" s="60">
        <f t="shared" si="72"/>
        <v>10128.073396290472</v>
      </c>
      <c r="M127" s="11">
        <v>305</v>
      </c>
      <c r="N127" s="60">
        <v>0</v>
      </c>
      <c r="O127" s="11">
        <v>0</v>
      </c>
      <c r="P127" s="11">
        <v>0</v>
      </c>
      <c r="Q127" s="60">
        <f>(Q126*($K$1/12))+Q126 + $Q$6</f>
        <v>91269.841303109075</v>
      </c>
      <c r="R127" s="60">
        <f>(R126*($K$1/12))+R126</f>
        <v>7365.3562450574991</v>
      </c>
      <c r="S127" s="60">
        <f>(S126*($K$1/12))+S126</f>
        <v>6394.6067682156809</v>
      </c>
      <c r="T127" s="60">
        <f>(T126*($K$1/12))+T126+$T$6 + ((3%/12)*T$11)</f>
        <v>370642.18942737288</v>
      </c>
      <c r="U127" s="60">
        <f>(U126*$K$1/12) + U126 + ((U$11/12*7%))</f>
        <v>48529.87682614028</v>
      </c>
      <c r="V127" s="60">
        <v>3100</v>
      </c>
      <c r="W127" s="60">
        <f>(W126*($K$1/12))+W126+$W$6</f>
        <v>33394.035222377235</v>
      </c>
      <c r="X127" s="11">
        <v>0</v>
      </c>
      <c r="Y127" s="60">
        <f>(Y126*($K$1/12))+Y126+$Y$7</f>
        <v>73059.950244400403</v>
      </c>
      <c r="Z127" s="60">
        <f>'Mortgage and Loans'!U89</f>
        <v>56657.36</v>
      </c>
      <c r="AA127" s="12">
        <f t="shared" si="212"/>
        <v>710396.28943296359</v>
      </c>
      <c r="AB127" s="56">
        <f t="shared" si="221"/>
        <v>750</v>
      </c>
      <c r="AC127" s="56">
        <f t="shared" si="221"/>
        <v>750</v>
      </c>
      <c r="AD127" s="56">
        <f t="shared" si="221"/>
        <v>750</v>
      </c>
      <c r="AE127" s="56">
        <f t="shared" si="221"/>
        <v>750</v>
      </c>
      <c r="AF127" s="56">
        <f t="shared" si="219"/>
        <v>261.43961358954772</v>
      </c>
      <c r="AG127" s="56">
        <f t="shared" si="221"/>
        <v>750</v>
      </c>
      <c r="AH127" s="56">
        <f>'Mortgage and Loans'!AF84</f>
        <v>0</v>
      </c>
      <c r="AI127" s="56">
        <f>'Mortgage and Loans'!AQ84</f>
        <v>0</v>
      </c>
      <c r="AJ127" s="56">
        <f>'Mortgage and Loans'!BB84</f>
        <v>0</v>
      </c>
      <c r="AK127" s="56">
        <f>'Mortgage and Loans'!BM84</f>
        <v>0</v>
      </c>
      <c r="AL127" s="56">
        <f>'Mortgage and Loans'!T89</f>
        <v>123342.64000000001</v>
      </c>
      <c r="AM127" s="12">
        <f t="shared" si="12"/>
        <v>-127354.07961358957</v>
      </c>
      <c r="AN127" s="75">
        <f t="shared" si="85"/>
        <v>583042.20981937402</v>
      </c>
      <c r="AO127" s="86">
        <f>'Mortgage and Loans'!G90</f>
        <v>1454.82</v>
      </c>
      <c r="AP127" s="79">
        <f>('Salary Tax Breakdown'!B$16/12)-Data!AO127</f>
        <v>1992.68</v>
      </c>
      <c r="AQ127" s="87"/>
      <c r="AR127" s="20">
        <f t="shared" si="223"/>
        <v>4011.4396135895477</v>
      </c>
      <c r="AS127" s="20">
        <v>750</v>
      </c>
      <c r="AT127" s="20">
        <v>0</v>
      </c>
      <c r="AU127" s="20">
        <f t="shared" si="224"/>
        <v>4761.4396135895477</v>
      </c>
      <c r="AV127" s="20">
        <f t="shared" si="225"/>
        <v>4761.4396122286926</v>
      </c>
      <c r="AW127" s="51">
        <f t="shared" si="213"/>
        <v>0</v>
      </c>
      <c r="AX127" s="51">
        <f t="shared" si="14"/>
        <v>0</v>
      </c>
      <c r="AY127" s="51">
        <f t="shared" si="15"/>
        <v>0</v>
      </c>
      <c r="AZ127" s="51">
        <f t="shared" si="16"/>
        <v>0</v>
      </c>
      <c r="BA127" s="51">
        <f t="shared" si="17"/>
        <v>0</v>
      </c>
      <c r="BB127" s="51">
        <f t="shared" si="18"/>
        <v>0</v>
      </c>
      <c r="BC127" s="51">
        <f t="shared" si="19"/>
        <v>0</v>
      </c>
      <c r="BD127" s="51">
        <f t="shared" si="20"/>
        <v>0</v>
      </c>
      <c r="BE127" s="51">
        <f t="shared" si="21"/>
        <v>0</v>
      </c>
      <c r="BF127" s="51">
        <f t="shared" si="22"/>
        <v>0</v>
      </c>
      <c r="BG127" s="51">
        <f t="shared" si="23"/>
        <v>0</v>
      </c>
      <c r="BH127" s="51">
        <f t="shared" si="24"/>
        <v>0</v>
      </c>
      <c r="BI127" s="51">
        <f t="shared" si="226"/>
        <v>0</v>
      </c>
      <c r="BJ127" s="51">
        <f t="shared" si="227"/>
        <v>0</v>
      </c>
      <c r="BK127" s="51">
        <f t="shared" si="228"/>
        <v>0</v>
      </c>
      <c r="BL127" s="51">
        <f t="shared" si="229"/>
        <v>0</v>
      </c>
      <c r="BM127" s="51">
        <f t="shared" si="230"/>
        <v>0</v>
      </c>
      <c r="BN127" s="51">
        <f t="shared" si="231"/>
        <v>0</v>
      </c>
      <c r="BO127" s="51">
        <f t="shared" si="232"/>
        <v>0</v>
      </c>
      <c r="BP127" s="51">
        <f t="shared" si="233"/>
        <v>0</v>
      </c>
      <c r="BQ127" s="51">
        <f t="shared" si="234"/>
        <v>0</v>
      </c>
      <c r="BR127" s="51">
        <f t="shared" si="235"/>
        <v>0</v>
      </c>
      <c r="BS127" s="51">
        <f t="shared" si="236"/>
        <v>0</v>
      </c>
      <c r="BT127" s="51">
        <f t="shared" si="237"/>
        <v>0</v>
      </c>
      <c r="BU127" s="20">
        <f t="shared" si="238"/>
        <v>4761.4396144787052</v>
      </c>
      <c r="BV127" s="20">
        <f t="shared" si="239"/>
        <v>4761.4396137029516</v>
      </c>
      <c r="BW127" s="20">
        <f t="shared" si="240"/>
        <v>57137.275363074572</v>
      </c>
      <c r="BX127" s="20">
        <f t="shared" si="241"/>
        <v>57137.275373744458</v>
      </c>
      <c r="BY127" s="20">
        <f t="shared" si="242"/>
        <v>57137.275364435423</v>
      </c>
      <c r="BZ127" s="21">
        <f t="shared" si="243"/>
        <v>57137.275367084811</v>
      </c>
      <c r="CA127" s="19">
        <f t="shared" si="216"/>
        <v>1428431.8841771202</v>
      </c>
      <c r="CB127" s="20">
        <f t="shared" si="244"/>
        <v>1428431.8844192938</v>
      </c>
      <c r="CC127" s="20">
        <f t="shared" si="245"/>
        <v>1428431.884187242</v>
      </c>
      <c r="CD127" s="20">
        <f t="shared" si="217"/>
        <v>0</v>
      </c>
      <c r="CE127" s="20">
        <f t="shared" si="220"/>
        <v>1400000</v>
      </c>
      <c r="CF127" s="20">
        <f t="shared" si="214"/>
        <v>630655.85603667307</v>
      </c>
      <c r="CG127" s="20">
        <f t="shared" si="246"/>
        <v>25226.234241466922</v>
      </c>
      <c r="CH127" s="20">
        <f t="shared" si="215"/>
        <v>2102.1861867889102</v>
      </c>
      <c r="CI127" s="20">
        <f t="shared" si="247"/>
        <v>620575.13808025362</v>
      </c>
      <c r="CJ127" s="24">
        <f t="shared" si="248"/>
        <v>0.44150222556328345</v>
      </c>
      <c r="CK127" s="24">
        <f t="shared" si="249"/>
        <v>1.6273853530468483E-2</v>
      </c>
      <c r="CL127" s="24">
        <f t="shared" si="250"/>
        <v>5.0179045761363006E-2</v>
      </c>
      <c r="CM127" s="25">
        <f t="shared" si="251"/>
        <v>0.22935634151385259</v>
      </c>
      <c r="CN127" s="17"/>
      <c r="CO127" s="17"/>
      <c r="CP127" s="17"/>
      <c r="CQ127" s="17"/>
      <c r="CR127" s="17"/>
      <c r="CS127" s="17"/>
      <c r="CT127" s="17"/>
      <c r="CU127" s="17"/>
      <c r="CV127" s="17"/>
      <c r="CW127" s="30">
        <v>0</v>
      </c>
      <c r="CX127" s="17"/>
      <c r="CY127" s="17"/>
      <c r="CZ127" s="17"/>
      <c r="DA127" s="17"/>
      <c r="DB127" s="17"/>
    </row>
    <row r="128" spans="1:106" ht="15.75" thickBot="1" x14ac:dyDescent="0.3">
      <c r="A128" s="5">
        <f t="shared" si="218"/>
        <v>34</v>
      </c>
      <c r="B128" s="5">
        <f t="shared" si="218"/>
        <v>32</v>
      </c>
      <c r="C128" s="1">
        <v>46113</v>
      </c>
      <c r="D128" s="4"/>
      <c r="E128" s="30"/>
      <c r="F128" s="30"/>
      <c r="G128" s="30">
        <f t="shared" si="222"/>
        <v>0</v>
      </c>
      <c r="H128" s="30"/>
      <c r="I128" s="10">
        <v>0</v>
      </c>
      <c r="J128" s="60">
        <v>9000</v>
      </c>
      <c r="K128" s="11">
        <v>550</v>
      </c>
      <c r="L128" s="60">
        <f t="shared" si="72"/>
        <v>10140.311484977656</v>
      </c>
      <c r="M128" s="11">
        <v>305</v>
      </c>
      <c r="N128" s="60">
        <v>0</v>
      </c>
      <c r="O128" s="11">
        <v>0</v>
      </c>
      <c r="P128" s="11">
        <v>0</v>
      </c>
      <c r="Q128" s="60">
        <f>(Q127*($K$1/12))+Q127 + $Q$6</f>
        <v>92680.889610167578</v>
      </c>
      <c r="R128" s="60">
        <f>(R127*($K$1/12))+R127</f>
        <v>7405.2519247182272</v>
      </c>
      <c r="S128" s="60">
        <f>(S127*($K$1/12))+S127</f>
        <v>6429.2442215435158</v>
      </c>
      <c r="T128" s="60">
        <f>(T127*($K$1/12))+T127+$T$6 + ((3%/12)*T$11)</f>
        <v>375824.83462010446</v>
      </c>
      <c r="U128" s="60">
        <f>(U127*$K$1/12) + U127 + ((U$11/12*7%))</f>
        <v>49201.080325615207</v>
      </c>
      <c r="V128" s="60">
        <v>3100</v>
      </c>
      <c r="W128" s="60">
        <f>(W127*($K$1/12))+W127+$W$6</f>
        <v>33862.419579831781</v>
      </c>
      <c r="X128" s="11">
        <v>0</v>
      </c>
      <c r="Y128" s="60">
        <f>(Y127*($K$1/12))+Y127+$Y$7</f>
        <v>75405.691641557569</v>
      </c>
      <c r="Z128" s="60">
        <f>'Mortgage and Loans'!U90</f>
        <v>57687.68</v>
      </c>
      <c r="AA128" s="12">
        <f t="shared" si="212"/>
        <v>721592.40340851608</v>
      </c>
      <c r="AB128" s="56">
        <f t="shared" si="221"/>
        <v>750</v>
      </c>
      <c r="AC128" s="56">
        <f t="shared" si="221"/>
        <v>750</v>
      </c>
      <c r="AD128" s="56">
        <f t="shared" si="221"/>
        <v>750</v>
      </c>
      <c r="AE128" s="56">
        <f t="shared" si="221"/>
        <v>750</v>
      </c>
      <c r="AF128" s="56">
        <f t="shared" si="219"/>
        <v>261.43961370295222</v>
      </c>
      <c r="AG128" s="56">
        <f t="shared" si="221"/>
        <v>750</v>
      </c>
      <c r="AH128" s="56">
        <f>'Mortgage and Loans'!AF85</f>
        <v>0</v>
      </c>
      <c r="AI128" s="56">
        <f>'Mortgage and Loans'!AQ85</f>
        <v>0</v>
      </c>
      <c r="AJ128" s="56">
        <f>'Mortgage and Loans'!BB85</f>
        <v>0</v>
      </c>
      <c r="AK128" s="56">
        <f>'Mortgage and Loans'!BM85</f>
        <v>0</v>
      </c>
      <c r="AL128" s="56">
        <f>'Mortgage and Loans'!T90</f>
        <v>122312.32000000001</v>
      </c>
      <c r="AM128" s="12">
        <f t="shared" si="12"/>
        <v>-126323.75961370296</v>
      </c>
      <c r="AN128" s="75">
        <f t="shared" si="85"/>
        <v>595268.64379481308</v>
      </c>
      <c r="AO128" s="86">
        <f>'Mortgage and Loans'!G91</f>
        <v>1454.82</v>
      </c>
      <c r="AP128" s="79">
        <f>('Salary Tax Breakdown'!B$16/12)-Data!AO128</f>
        <v>1992.68</v>
      </c>
      <c r="AQ128" s="87"/>
      <c r="AR128" s="20">
        <f t="shared" si="223"/>
        <v>4011.4396137029521</v>
      </c>
      <c r="AS128" s="20">
        <v>750</v>
      </c>
      <c r="AT128" s="20">
        <v>0</v>
      </c>
      <c r="AU128" s="20">
        <f t="shared" si="224"/>
        <v>4761.4396137029526</v>
      </c>
      <c r="AV128" s="20">
        <f t="shared" si="225"/>
        <v>4761.4396061950647</v>
      </c>
      <c r="AW128" s="51">
        <f t="shared" si="213"/>
        <v>0</v>
      </c>
      <c r="AX128" s="51">
        <f t="shared" si="14"/>
        <v>0</v>
      </c>
      <c r="AY128" s="51">
        <f t="shared" si="15"/>
        <v>0</v>
      </c>
      <c r="AZ128" s="51">
        <f t="shared" si="16"/>
        <v>0</v>
      </c>
      <c r="BA128" s="51">
        <f t="shared" si="17"/>
        <v>0</v>
      </c>
      <c r="BB128" s="51">
        <f t="shared" si="18"/>
        <v>0</v>
      </c>
      <c r="BC128" s="51">
        <f t="shared" si="19"/>
        <v>0</v>
      </c>
      <c r="BD128" s="51">
        <f t="shared" si="20"/>
        <v>0</v>
      </c>
      <c r="BE128" s="51">
        <f t="shared" si="21"/>
        <v>0</v>
      </c>
      <c r="BF128" s="51">
        <f t="shared" si="22"/>
        <v>0</v>
      </c>
      <c r="BG128" s="51">
        <f t="shared" si="23"/>
        <v>0</v>
      </c>
      <c r="BH128" s="51">
        <f t="shared" si="24"/>
        <v>0</v>
      </c>
      <c r="BI128" s="51">
        <f t="shared" si="226"/>
        <v>0</v>
      </c>
      <c r="BJ128" s="51">
        <f t="shared" si="227"/>
        <v>0</v>
      </c>
      <c r="BK128" s="51">
        <f t="shared" si="228"/>
        <v>0</v>
      </c>
      <c r="BL128" s="51">
        <f t="shared" si="229"/>
        <v>0</v>
      </c>
      <c r="BM128" s="51">
        <f t="shared" si="230"/>
        <v>0</v>
      </c>
      <c r="BN128" s="51">
        <f t="shared" si="231"/>
        <v>0</v>
      </c>
      <c r="BO128" s="51">
        <f t="shared" si="232"/>
        <v>0</v>
      </c>
      <c r="BP128" s="51">
        <f t="shared" si="233"/>
        <v>0</v>
      </c>
      <c r="BQ128" s="51">
        <f t="shared" si="234"/>
        <v>0</v>
      </c>
      <c r="BR128" s="51">
        <f t="shared" si="235"/>
        <v>0</v>
      </c>
      <c r="BS128" s="51">
        <f t="shared" si="236"/>
        <v>0</v>
      </c>
      <c r="BT128" s="51">
        <f t="shared" si="237"/>
        <v>0</v>
      </c>
      <c r="BU128" s="20">
        <f t="shared" si="238"/>
        <v>4761.4396138408601</v>
      </c>
      <c r="BV128" s="20">
        <f t="shared" si="239"/>
        <v>4761.4396143286094</v>
      </c>
      <c r="BW128" s="20">
        <f t="shared" si="240"/>
        <v>57137.275364435431</v>
      </c>
      <c r="BX128" s="20">
        <f t="shared" si="241"/>
        <v>57137.275366090325</v>
      </c>
      <c r="BY128" s="20">
        <f t="shared" si="242"/>
        <v>57137.275371943309</v>
      </c>
      <c r="BZ128" s="21">
        <f t="shared" si="243"/>
        <v>57137.275367489689</v>
      </c>
      <c r="CA128" s="19">
        <f t="shared" si="216"/>
        <v>1428431.8841872422</v>
      </c>
      <c r="CB128" s="20">
        <f t="shared" si="244"/>
        <v>1428431.8842408315</v>
      </c>
      <c r="CC128" s="20">
        <f t="shared" si="245"/>
        <v>1428431.884331343</v>
      </c>
      <c r="CD128" s="20">
        <f t="shared" si="217"/>
        <v>0</v>
      </c>
      <c r="CE128" s="20">
        <f t="shared" si="220"/>
        <v>1400000</v>
      </c>
      <c r="CF128" s="20">
        <f t="shared" si="214"/>
        <v>640809.41192353843</v>
      </c>
      <c r="CG128" s="20">
        <f t="shared" si="246"/>
        <v>25632.376476941539</v>
      </c>
      <c r="CH128" s="20">
        <f t="shared" si="215"/>
        <v>2136.0313730784615</v>
      </c>
      <c r="CI128" s="20">
        <f t="shared" si="247"/>
        <v>630674.09007818846</v>
      </c>
      <c r="CJ128" s="24">
        <f t="shared" si="248"/>
        <v>0.44861040907394006</v>
      </c>
      <c r="CK128" s="24">
        <f t="shared" si="249"/>
        <v>1.6099994616199875E-2</v>
      </c>
      <c r="CL128" s="24">
        <f t="shared" si="250"/>
        <v>4.9625279119224423E-2</v>
      </c>
      <c r="CM128" s="25">
        <f t="shared" si="251"/>
        <v>0.22639892410801196</v>
      </c>
      <c r="CN128" s="17"/>
      <c r="CO128" s="17"/>
      <c r="CP128" s="17"/>
      <c r="CQ128" s="17"/>
      <c r="CR128" s="17"/>
      <c r="CS128" s="17"/>
      <c r="CT128" s="17"/>
      <c r="CU128" s="17"/>
      <c r="CV128" s="17"/>
      <c r="CW128" s="30">
        <v>0</v>
      </c>
      <c r="CX128" s="17"/>
      <c r="CY128" s="17"/>
      <c r="CZ128" s="17"/>
      <c r="DA128" s="17"/>
      <c r="DB128" s="17"/>
    </row>
    <row r="129" spans="1:106" ht="15.75" thickBot="1" x14ac:dyDescent="0.3">
      <c r="A129" s="5">
        <f t="shared" si="218"/>
        <v>34</v>
      </c>
      <c r="B129" s="5">
        <f t="shared" si="218"/>
        <v>32</v>
      </c>
      <c r="C129" s="1">
        <v>46143</v>
      </c>
      <c r="D129" s="4"/>
      <c r="E129" s="30"/>
      <c r="F129" s="30"/>
      <c r="G129" s="30">
        <f t="shared" si="222"/>
        <v>0</v>
      </c>
      <c r="H129" s="30"/>
      <c r="I129" s="10">
        <v>0</v>
      </c>
      <c r="J129" s="60">
        <v>9000</v>
      </c>
      <c r="K129" s="11">
        <v>550</v>
      </c>
      <c r="L129" s="60">
        <f t="shared" si="72"/>
        <v>10152.564361355337</v>
      </c>
      <c r="M129" s="11">
        <v>305</v>
      </c>
      <c r="N129" s="60">
        <v>0</v>
      </c>
      <c r="O129" s="11">
        <v>0</v>
      </c>
      <c r="P129" s="11">
        <v>0</v>
      </c>
      <c r="Q129" s="60">
        <f>(Q128*($K$1/12))+Q128 + $Q$6</f>
        <v>94099.581095555986</v>
      </c>
      <c r="R129" s="60">
        <f>(R128*($K$1/12))+R128</f>
        <v>7445.3637059771172</v>
      </c>
      <c r="S129" s="60">
        <f>(S128*($K$1/12))+S128</f>
        <v>6464.0692944102102</v>
      </c>
      <c r="T129" s="60">
        <f>(T128*($K$1/12))+T128+$T$6 + ((3%/12)*T$11)</f>
        <v>381035.55247429671</v>
      </c>
      <c r="U129" s="60">
        <f>(U128*$K$1/12) + U128 + ((U$11/12*7%))</f>
        <v>49875.919510712294</v>
      </c>
      <c r="V129" s="60">
        <v>3100</v>
      </c>
      <c r="W129" s="60">
        <f>(W128*($K$1/12))+W128+$W$6</f>
        <v>34333.341019222535</v>
      </c>
      <c r="X129" s="11">
        <v>0</v>
      </c>
      <c r="Y129" s="60">
        <f>(Y128*($K$1/12))+Y128+$Y$7</f>
        <v>77764.139137949343</v>
      </c>
      <c r="Z129" s="60">
        <f>'Mortgage and Loans'!U91</f>
        <v>58721.54</v>
      </c>
      <c r="AA129" s="12">
        <f t="shared" si="212"/>
        <v>732847.07059947948</v>
      </c>
      <c r="AB129" s="56">
        <f t="shared" si="221"/>
        <v>750</v>
      </c>
      <c r="AC129" s="56">
        <f t="shared" si="221"/>
        <v>750</v>
      </c>
      <c r="AD129" s="56">
        <f t="shared" si="221"/>
        <v>750</v>
      </c>
      <c r="AE129" s="56">
        <f t="shared" si="221"/>
        <v>750</v>
      </c>
      <c r="AF129" s="56">
        <f t="shared" si="219"/>
        <v>261.43961432860948</v>
      </c>
      <c r="AG129" s="56">
        <f t="shared" si="221"/>
        <v>750</v>
      </c>
      <c r="AH129" s="56">
        <f>'Mortgage and Loans'!AF86</f>
        <v>0</v>
      </c>
      <c r="AI129" s="56">
        <f>'Mortgage and Loans'!AQ86</f>
        <v>0</v>
      </c>
      <c r="AJ129" s="56">
        <f>'Mortgage and Loans'!BB86</f>
        <v>0</v>
      </c>
      <c r="AK129" s="56">
        <f>'Mortgage and Loans'!BM86</f>
        <v>0</v>
      </c>
      <c r="AL129" s="56">
        <f>'Mortgage and Loans'!T91</f>
        <v>121278.46</v>
      </c>
      <c r="AM129" s="12">
        <f t="shared" si="12"/>
        <v>-125289.89961432862</v>
      </c>
      <c r="AN129" s="75">
        <f t="shared" si="85"/>
        <v>607557.17098515085</v>
      </c>
      <c r="AO129" s="86">
        <f>'Mortgage and Loans'!G92</f>
        <v>1454.82</v>
      </c>
      <c r="AP129" s="79">
        <f>('Salary Tax Breakdown'!B$16/12)-Data!AO129</f>
        <v>1992.68</v>
      </c>
      <c r="AQ129" s="87"/>
      <c r="AR129" s="20">
        <f t="shared" si="223"/>
        <v>4011.4396143286094</v>
      </c>
      <c r="AS129" s="20">
        <v>750</v>
      </c>
      <c r="AT129" s="20">
        <v>0</v>
      </c>
      <c r="AU129" s="20">
        <f t="shared" si="224"/>
        <v>4761.4396143286094</v>
      </c>
      <c r="AV129" s="20">
        <f t="shared" si="225"/>
        <v>4761.4396049385105</v>
      </c>
      <c r="AW129" s="51">
        <f t="shared" si="213"/>
        <v>0</v>
      </c>
      <c r="AX129" s="51">
        <f t="shared" si="14"/>
        <v>0</v>
      </c>
      <c r="AY129" s="51">
        <f t="shared" si="15"/>
        <v>0</v>
      </c>
      <c r="AZ129" s="51">
        <f t="shared" si="16"/>
        <v>0</v>
      </c>
      <c r="BA129" s="51">
        <f t="shared" si="17"/>
        <v>0</v>
      </c>
      <c r="BB129" s="51">
        <f t="shared" si="18"/>
        <v>0</v>
      </c>
      <c r="BC129" s="51">
        <f t="shared" si="19"/>
        <v>0</v>
      </c>
      <c r="BD129" s="51">
        <f t="shared" si="20"/>
        <v>0</v>
      </c>
      <c r="BE129" s="51">
        <f t="shared" si="21"/>
        <v>0</v>
      </c>
      <c r="BF129" s="51">
        <f t="shared" si="22"/>
        <v>0</v>
      </c>
      <c r="BG129" s="51">
        <f t="shared" si="23"/>
        <v>0</v>
      </c>
      <c r="BH129" s="51">
        <f t="shared" si="24"/>
        <v>0</v>
      </c>
      <c r="BI129" s="51">
        <f t="shared" si="226"/>
        <v>0</v>
      </c>
      <c r="BJ129" s="51">
        <f t="shared" si="227"/>
        <v>0</v>
      </c>
      <c r="BK129" s="51">
        <f t="shared" si="228"/>
        <v>0</v>
      </c>
      <c r="BL129" s="51">
        <f t="shared" si="229"/>
        <v>0</v>
      </c>
      <c r="BM129" s="51">
        <f t="shared" si="230"/>
        <v>0</v>
      </c>
      <c r="BN129" s="51">
        <f t="shared" si="231"/>
        <v>0</v>
      </c>
      <c r="BO129" s="51">
        <f t="shared" si="232"/>
        <v>0</v>
      </c>
      <c r="BP129" s="51">
        <f t="shared" si="233"/>
        <v>0</v>
      </c>
      <c r="BQ129" s="51">
        <f t="shared" si="234"/>
        <v>0</v>
      </c>
      <c r="BR129" s="51">
        <f t="shared" si="235"/>
        <v>0</v>
      </c>
      <c r="BS129" s="51">
        <f t="shared" si="236"/>
        <v>0</v>
      </c>
      <c r="BT129" s="51">
        <f t="shared" si="237"/>
        <v>0</v>
      </c>
      <c r="BU129" s="20">
        <f t="shared" si="238"/>
        <v>4761.4396138737029</v>
      </c>
      <c r="BV129" s="20">
        <f t="shared" si="239"/>
        <v>4761.4396151111168</v>
      </c>
      <c r="BW129" s="20">
        <f t="shared" si="240"/>
        <v>57137.275371943309</v>
      </c>
      <c r="BX129" s="20">
        <f t="shared" si="241"/>
        <v>57137.275366484435</v>
      </c>
      <c r="BY129" s="20">
        <f t="shared" si="242"/>
        <v>57137.275381333398</v>
      </c>
      <c r="BZ129" s="21">
        <f t="shared" si="243"/>
        <v>57137.275373253717</v>
      </c>
      <c r="CA129" s="19">
        <f t="shared" si="216"/>
        <v>1428431.884331343</v>
      </c>
      <c r="CB129" s="20">
        <f t="shared" si="244"/>
        <v>1428431.8842319017</v>
      </c>
      <c r="CC129" s="20">
        <f t="shared" si="245"/>
        <v>1428431.8845247237</v>
      </c>
      <c r="CD129" s="20">
        <f t="shared" si="217"/>
        <v>0</v>
      </c>
      <c r="CE129" s="20">
        <f t="shared" si="220"/>
        <v>1400000</v>
      </c>
      <c r="CF129" s="20">
        <f t="shared" si="214"/>
        <v>651017.96623812418</v>
      </c>
      <c r="CG129" s="20">
        <f t="shared" si="246"/>
        <v>26040.718649524966</v>
      </c>
      <c r="CH129" s="20">
        <f t="shared" si="215"/>
        <v>2170.0598874604138</v>
      </c>
      <c r="CI129" s="20">
        <f t="shared" si="247"/>
        <v>640827.74473277852</v>
      </c>
      <c r="CJ129" s="24">
        <f t="shared" si="248"/>
        <v>0.45575709519267027</v>
      </c>
      <c r="CK129" s="24">
        <f t="shared" si="249"/>
        <v>1.593071843926637E-2</v>
      </c>
      <c r="CL129" s="24">
        <f t="shared" si="250"/>
        <v>4.9086488190658563E-2</v>
      </c>
      <c r="CM129" s="25">
        <f t="shared" si="251"/>
        <v>0.22353213491997309</v>
      </c>
      <c r="CN129" s="17"/>
      <c r="CO129" s="17"/>
      <c r="CP129" s="17"/>
      <c r="CQ129" s="17"/>
      <c r="CR129" s="17"/>
      <c r="CS129" s="17"/>
      <c r="CT129" s="17"/>
      <c r="CU129" s="17"/>
      <c r="CV129" s="17"/>
      <c r="CW129" s="30">
        <v>0</v>
      </c>
      <c r="CX129" s="17"/>
      <c r="CY129" s="17"/>
      <c r="CZ129" s="17"/>
      <c r="DA129" s="17"/>
      <c r="DB129" s="17"/>
    </row>
    <row r="130" spans="1:106" ht="15.75" thickBot="1" x14ac:dyDescent="0.3">
      <c r="A130" s="5">
        <f t="shared" si="218"/>
        <v>34</v>
      </c>
      <c r="B130" s="5">
        <f t="shared" si="218"/>
        <v>32</v>
      </c>
      <c r="C130" s="1">
        <v>46174</v>
      </c>
      <c r="D130" s="4"/>
      <c r="E130" s="30"/>
      <c r="F130" s="30"/>
      <c r="G130" s="30">
        <f t="shared" si="222"/>
        <v>0</v>
      </c>
      <c r="H130" s="30"/>
      <c r="I130" s="10">
        <v>0</v>
      </c>
      <c r="J130" s="60">
        <v>9000</v>
      </c>
      <c r="K130" s="11">
        <v>550</v>
      </c>
      <c r="L130" s="60">
        <f t="shared" si="72"/>
        <v>10164.832043291974</v>
      </c>
      <c r="M130" s="11">
        <v>305</v>
      </c>
      <c r="N130" s="60">
        <v>0</v>
      </c>
      <c r="O130" s="11">
        <v>0</v>
      </c>
      <c r="P130" s="11">
        <v>0</v>
      </c>
      <c r="Q130" s="60">
        <f>(Q129*($K$1/12))+Q129 + $Q$6</f>
        <v>95525.957159823578</v>
      </c>
      <c r="R130" s="60">
        <f>(R129*($K$1/12))+R129</f>
        <v>7485.692759384493</v>
      </c>
      <c r="S130" s="60">
        <f>(S129*($K$1/12))+S129</f>
        <v>6499.0830030882653</v>
      </c>
      <c r="T130" s="60">
        <f>(T129*($K$1/12))+T129+$T$6 + ((3%/12)*T$11)</f>
        <v>386274.49505019916</v>
      </c>
      <c r="U130" s="60">
        <f>(U129*$K$1/12) + U129 + ((U$11/12*7%))</f>
        <v>50554.414074728658</v>
      </c>
      <c r="V130" s="60">
        <v>3100</v>
      </c>
      <c r="W130" s="60">
        <f>(W129*($K$1/12))+W129+$W$6</f>
        <v>34806.813283076655</v>
      </c>
      <c r="X130" s="11">
        <v>0</v>
      </c>
      <c r="Y130" s="60">
        <f>(Y129*($K$1/12))+Y129+$Y$7</f>
        <v>80135.361558279896</v>
      </c>
      <c r="Z130" s="60">
        <f>'Mortgage and Loans'!U92</f>
        <v>59758.96</v>
      </c>
      <c r="AA130" s="12">
        <f t="shared" si="212"/>
        <v>744160.60893187253</v>
      </c>
      <c r="AB130" s="56">
        <f t="shared" si="221"/>
        <v>750</v>
      </c>
      <c r="AC130" s="56">
        <f t="shared" si="221"/>
        <v>750</v>
      </c>
      <c r="AD130" s="56">
        <f t="shared" si="221"/>
        <v>750</v>
      </c>
      <c r="AE130" s="56">
        <f t="shared" si="221"/>
        <v>750</v>
      </c>
      <c r="AF130" s="56">
        <f t="shared" si="219"/>
        <v>261.43961511111769</v>
      </c>
      <c r="AG130" s="56">
        <f t="shared" si="221"/>
        <v>750</v>
      </c>
      <c r="AH130" s="56">
        <f>'Mortgage and Loans'!AF87</f>
        <v>0</v>
      </c>
      <c r="AI130" s="56">
        <f>'Mortgage and Loans'!AQ87</f>
        <v>0</v>
      </c>
      <c r="AJ130" s="56">
        <f>'Mortgage and Loans'!BB87</f>
        <v>0</v>
      </c>
      <c r="AK130" s="56">
        <f>'Mortgage and Loans'!BM87</f>
        <v>0</v>
      </c>
      <c r="AL130" s="56">
        <f>'Mortgage and Loans'!T92</f>
        <v>120241.04000000001</v>
      </c>
      <c r="AM130" s="12">
        <f t="shared" si="12"/>
        <v>-124252.47961511112</v>
      </c>
      <c r="AN130" s="75">
        <f t="shared" si="85"/>
        <v>619908.12931676139</v>
      </c>
      <c r="AO130" s="86">
        <f>'Mortgage and Loans'!G93</f>
        <v>1454.82</v>
      </c>
      <c r="AP130" s="79">
        <f>('Salary Tax Breakdown'!B$16/12)-Data!AO130</f>
        <v>1992.68</v>
      </c>
      <c r="AQ130" s="87"/>
      <c r="AR130" s="20">
        <f t="shared" si="223"/>
        <v>4011.4396151111177</v>
      </c>
      <c r="AS130" s="20">
        <v>750</v>
      </c>
      <c r="AT130" s="20">
        <v>0</v>
      </c>
      <c r="AU130" s="20">
        <f t="shared" si="224"/>
        <v>4761.4396151111177</v>
      </c>
      <c r="AV130" s="20">
        <f t="shared" si="225"/>
        <v>4761.4396073817934</v>
      </c>
      <c r="AW130" s="51">
        <f t="shared" si="213"/>
        <v>0</v>
      </c>
      <c r="AX130" s="51">
        <f t="shared" si="14"/>
        <v>0</v>
      </c>
      <c r="AY130" s="51">
        <f t="shared" si="15"/>
        <v>0</v>
      </c>
      <c r="AZ130" s="51">
        <f t="shared" si="16"/>
        <v>0</v>
      </c>
      <c r="BA130" s="51">
        <f t="shared" si="17"/>
        <v>0</v>
      </c>
      <c r="BB130" s="51">
        <f t="shared" si="18"/>
        <v>0</v>
      </c>
      <c r="BC130" s="51">
        <f t="shared" si="19"/>
        <v>0</v>
      </c>
      <c r="BD130" s="51">
        <f t="shared" si="20"/>
        <v>0</v>
      </c>
      <c r="BE130" s="51">
        <f t="shared" si="21"/>
        <v>0</v>
      </c>
      <c r="BF130" s="51">
        <f t="shared" si="22"/>
        <v>0</v>
      </c>
      <c r="BG130" s="51">
        <f t="shared" si="23"/>
        <v>0</v>
      </c>
      <c r="BH130" s="51">
        <f t="shared" si="24"/>
        <v>0</v>
      </c>
      <c r="BI130" s="51">
        <f t="shared" si="226"/>
        <v>0</v>
      </c>
      <c r="BJ130" s="51">
        <f t="shared" si="227"/>
        <v>0</v>
      </c>
      <c r="BK130" s="51">
        <f t="shared" si="228"/>
        <v>0</v>
      </c>
      <c r="BL130" s="51">
        <f t="shared" si="229"/>
        <v>0</v>
      </c>
      <c r="BM130" s="51">
        <f t="shared" si="230"/>
        <v>0</v>
      </c>
      <c r="BN130" s="51">
        <f t="shared" si="231"/>
        <v>0</v>
      </c>
      <c r="BO130" s="51">
        <f t="shared" si="232"/>
        <v>0</v>
      </c>
      <c r="BP130" s="51">
        <f t="shared" si="233"/>
        <v>0</v>
      </c>
      <c r="BQ130" s="51">
        <f t="shared" si="234"/>
        <v>0</v>
      </c>
      <c r="BR130" s="51">
        <f t="shared" si="235"/>
        <v>0</v>
      </c>
      <c r="BS130" s="51">
        <f t="shared" si="236"/>
        <v>0</v>
      </c>
      <c r="BT130" s="51">
        <f t="shared" si="237"/>
        <v>0</v>
      </c>
      <c r="BU130" s="20">
        <f t="shared" si="238"/>
        <v>4761.4396143808926</v>
      </c>
      <c r="BV130" s="20">
        <f t="shared" si="239"/>
        <v>4761.4396157552283</v>
      </c>
      <c r="BW130" s="20">
        <f t="shared" si="240"/>
        <v>57137.275381333413</v>
      </c>
      <c r="BX130" s="20">
        <f t="shared" si="241"/>
        <v>57137.275372570715</v>
      </c>
      <c r="BY130" s="20">
        <f t="shared" si="242"/>
        <v>57137.275389062735</v>
      </c>
      <c r="BZ130" s="21">
        <f t="shared" si="243"/>
        <v>57137.275380988955</v>
      </c>
      <c r="CA130" s="19">
        <f t="shared" si="216"/>
        <v>1428431.8845247237</v>
      </c>
      <c r="CB130" s="20">
        <f t="shared" si="244"/>
        <v>1428431.8843477697</v>
      </c>
      <c r="CC130" s="20">
        <f t="shared" si="245"/>
        <v>1428431.8846918812</v>
      </c>
      <c r="CD130" s="20">
        <f t="shared" si="217"/>
        <v>0</v>
      </c>
      <c r="CE130" s="20">
        <f t="shared" si="220"/>
        <v>1400000</v>
      </c>
      <c r="CF130" s="20">
        <f t="shared" si="214"/>
        <v>661281.81688858068</v>
      </c>
      <c r="CG130" s="20">
        <f t="shared" si="246"/>
        <v>26451.272675543227</v>
      </c>
      <c r="CH130" s="20">
        <f t="shared" si="215"/>
        <v>2204.2727229619354</v>
      </c>
      <c r="CI130" s="20">
        <f t="shared" si="247"/>
        <v>651036.39835008106</v>
      </c>
      <c r="CJ130" s="24">
        <f t="shared" si="248"/>
        <v>0.46294249248750552</v>
      </c>
      <c r="CK130" s="24">
        <f t="shared" si="249"/>
        <v>1.5765848536816372E-2</v>
      </c>
      <c r="CL130" s="24">
        <f t="shared" si="250"/>
        <v>4.8562081139426845E-2</v>
      </c>
      <c r="CM130" s="25">
        <f t="shared" si="251"/>
        <v>0.22075191090295687</v>
      </c>
      <c r="CN130" s="17"/>
      <c r="CO130" s="17"/>
      <c r="CP130" s="17"/>
      <c r="CQ130" s="17"/>
      <c r="CR130" s="17"/>
      <c r="CS130" s="17"/>
      <c r="CT130" s="17"/>
      <c r="CU130" s="17"/>
      <c r="CV130" s="17"/>
      <c r="CW130" s="30">
        <v>0</v>
      </c>
      <c r="CX130" s="17"/>
      <c r="CY130" s="17"/>
      <c r="CZ130" s="17"/>
      <c r="DA130" s="17"/>
      <c r="DB130" s="17"/>
    </row>
    <row r="131" spans="1:106" ht="15.75" thickBot="1" x14ac:dyDescent="0.3">
      <c r="A131" s="5">
        <f t="shared" si="218"/>
        <v>34</v>
      </c>
      <c r="B131" s="5">
        <f t="shared" si="218"/>
        <v>32</v>
      </c>
      <c r="C131" s="1">
        <v>46204</v>
      </c>
      <c r="D131" s="4"/>
      <c r="E131" s="30"/>
      <c r="F131" s="30"/>
      <c r="G131" s="30">
        <f t="shared" si="222"/>
        <v>0</v>
      </c>
      <c r="H131" s="30"/>
      <c r="I131" s="10">
        <v>0</v>
      </c>
      <c r="J131" s="60">
        <v>9000</v>
      </c>
      <c r="K131" s="11">
        <v>550</v>
      </c>
      <c r="L131" s="60">
        <f t="shared" si="72"/>
        <v>10177.114548677617</v>
      </c>
      <c r="M131" s="11">
        <v>305</v>
      </c>
      <c r="N131" s="60">
        <v>0</v>
      </c>
      <c r="O131" s="11">
        <v>0</v>
      </c>
      <c r="P131" s="11">
        <v>0</v>
      </c>
      <c r="Q131" s="60">
        <f>(Q130*($K$1/12))+Q130 + $Q$6</f>
        <v>96960.05942777262</v>
      </c>
      <c r="R131" s="60">
        <f>(R130*($K$1/12))+R130</f>
        <v>7526.2402618311589</v>
      </c>
      <c r="S131" s="60">
        <f>(S130*($K$1/12))+S130</f>
        <v>6534.2863693549934</v>
      </c>
      <c r="T131" s="60">
        <f>(T130*($K$1/12))+T130+$T$6 + ((3%/12)*T$11)</f>
        <v>391541.81523172109</v>
      </c>
      <c r="U131" s="60">
        <f>(U130*$K$1/12) + U130 + ((U$11/12*7%))</f>
        <v>51236.583817633444</v>
      </c>
      <c r="V131" s="60">
        <v>3100</v>
      </c>
      <c r="W131" s="60">
        <f>(W130*($K$1/12))+W130+$W$6</f>
        <v>35282.850188359989</v>
      </c>
      <c r="X131" s="11">
        <v>0</v>
      </c>
      <c r="Y131" s="60">
        <f>(Y130*($K$1/12))+Y130+$Y$7</f>
        <v>82519.428100053905</v>
      </c>
      <c r="Z131" s="60">
        <f>'Mortgage and Loans'!U93</f>
        <v>60799.95</v>
      </c>
      <c r="AA131" s="12">
        <f t="shared" si="212"/>
        <v>755533.32794540469</v>
      </c>
      <c r="AB131" s="56">
        <f t="shared" si="221"/>
        <v>750</v>
      </c>
      <c r="AC131" s="56">
        <f t="shared" si="221"/>
        <v>750</v>
      </c>
      <c r="AD131" s="56">
        <f t="shared" si="221"/>
        <v>750</v>
      </c>
      <c r="AE131" s="56">
        <f t="shared" si="221"/>
        <v>750</v>
      </c>
      <c r="AF131" s="56">
        <f t="shared" si="219"/>
        <v>261.43961575522809</v>
      </c>
      <c r="AG131" s="56">
        <f t="shared" si="221"/>
        <v>750</v>
      </c>
      <c r="AH131" s="56">
        <f>'Mortgage and Loans'!AF88</f>
        <v>0</v>
      </c>
      <c r="AI131" s="56">
        <f>'Mortgage and Loans'!AQ88</f>
        <v>0</v>
      </c>
      <c r="AJ131" s="56">
        <f>'Mortgage and Loans'!BB88</f>
        <v>0</v>
      </c>
      <c r="AK131" s="56">
        <f>'Mortgage and Loans'!BM88</f>
        <v>0</v>
      </c>
      <c r="AL131" s="56">
        <f>'Mortgage and Loans'!T93</f>
        <v>119200.05</v>
      </c>
      <c r="AM131" s="12">
        <f t="shared" si="12"/>
        <v>-123211.48961575523</v>
      </c>
      <c r="AN131" s="75">
        <f t="shared" si="85"/>
        <v>632321.83832964941</v>
      </c>
      <c r="AO131" s="86">
        <f>'Mortgage and Loans'!G94</f>
        <v>1454.82</v>
      </c>
      <c r="AP131" s="79">
        <f>('Salary Tax Breakdown'!B$16/12)-Data!AO131</f>
        <v>1992.68</v>
      </c>
      <c r="AQ131" s="87"/>
      <c r="AR131" s="20">
        <f t="shared" si="223"/>
        <v>4011.4396157552283</v>
      </c>
      <c r="AS131" s="20">
        <v>750</v>
      </c>
      <c r="AT131" s="20">
        <v>0</v>
      </c>
      <c r="AU131" s="20">
        <f t="shared" si="224"/>
        <v>4761.4396157552283</v>
      </c>
      <c r="AV131" s="20">
        <f t="shared" si="225"/>
        <v>4761.4396116347789</v>
      </c>
      <c r="AW131" s="51">
        <f t="shared" si="213"/>
        <v>0</v>
      </c>
      <c r="AX131" s="51">
        <f t="shared" si="14"/>
        <v>0</v>
      </c>
      <c r="AY131" s="51">
        <f t="shared" si="15"/>
        <v>0</v>
      </c>
      <c r="AZ131" s="51">
        <f t="shared" si="16"/>
        <v>0</v>
      </c>
      <c r="BA131" s="51">
        <f t="shared" si="17"/>
        <v>0</v>
      </c>
      <c r="BB131" s="51">
        <f t="shared" si="18"/>
        <v>0</v>
      </c>
      <c r="BC131" s="51">
        <f t="shared" si="19"/>
        <v>0</v>
      </c>
      <c r="BD131" s="51">
        <f t="shared" si="20"/>
        <v>0</v>
      </c>
      <c r="BE131" s="51">
        <f t="shared" si="21"/>
        <v>0</v>
      </c>
      <c r="BF131" s="51">
        <f t="shared" si="22"/>
        <v>0</v>
      </c>
      <c r="BG131" s="51">
        <f t="shared" si="23"/>
        <v>0</v>
      </c>
      <c r="BH131" s="51">
        <f t="shared" si="24"/>
        <v>0</v>
      </c>
      <c r="BI131" s="51">
        <f t="shared" si="226"/>
        <v>0</v>
      </c>
      <c r="BJ131" s="51">
        <f t="shared" si="227"/>
        <v>0</v>
      </c>
      <c r="BK131" s="51">
        <f t="shared" si="228"/>
        <v>0</v>
      </c>
      <c r="BL131" s="51">
        <f t="shared" si="229"/>
        <v>0</v>
      </c>
      <c r="BM131" s="51">
        <f t="shared" si="230"/>
        <v>0</v>
      </c>
      <c r="BN131" s="51">
        <f t="shared" si="231"/>
        <v>0</v>
      </c>
      <c r="BO131" s="51">
        <f t="shared" si="232"/>
        <v>0</v>
      </c>
      <c r="BP131" s="51">
        <f t="shared" si="233"/>
        <v>0</v>
      </c>
      <c r="BQ131" s="51">
        <f t="shared" si="234"/>
        <v>0</v>
      </c>
      <c r="BR131" s="51">
        <f t="shared" si="235"/>
        <v>0</v>
      </c>
      <c r="BS131" s="51">
        <f t="shared" si="236"/>
        <v>0</v>
      </c>
      <c r="BT131" s="51">
        <f t="shared" si="237"/>
        <v>0</v>
      </c>
      <c r="BU131" s="20">
        <f t="shared" si="238"/>
        <v>4761.4396150649854</v>
      </c>
      <c r="BV131" s="20">
        <f t="shared" si="239"/>
        <v>4761.4396160985989</v>
      </c>
      <c r="BW131" s="20">
        <f t="shared" si="240"/>
        <v>57137.275389062735</v>
      </c>
      <c r="BX131" s="20">
        <f t="shared" si="241"/>
        <v>57137.275380779829</v>
      </c>
      <c r="BY131" s="20">
        <f t="shared" si="242"/>
        <v>57137.275393183183</v>
      </c>
      <c r="BZ131" s="21">
        <f t="shared" si="243"/>
        <v>57137.275387675247</v>
      </c>
      <c r="CA131" s="19">
        <f t="shared" si="216"/>
        <v>1428431.8846918812</v>
      </c>
      <c r="CB131" s="20">
        <f t="shared" si="244"/>
        <v>1428431.8845159828</v>
      </c>
      <c r="CC131" s="20">
        <f t="shared" si="245"/>
        <v>1428431.8847872869</v>
      </c>
      <c r="CD131" s="20">
        <f t="shared" si="217"/>
        <v>0</v>
      </c>
      <c r="CE131" s="20">
        <f t="shared" si="220"/>
        <v>1400000</v>
      </c>
      <c r="CF131" s="20">
        <f t="shared" si="214"/>
        <v>671601.26339672727</v>
      </c>
      <c r="CG131" s="20">
        <f t="shared" si="246"/>
        <v>26864.05053586909</v>
      </c>
      <c r="CH131" s="20">
        <f t="shared" si="215"/>
        <v>2238.670877989091</v>
      </c>
      <c r="CI131" s="20">
        <f t="shared" si="247"/>
        <v>661300.34884114412</v>
      </c>
      <c r="CJ131" s="24">
        <f t="shared" si="248"/>
        <v>0.47016681066615651</v>
      </c>
      <c r="CK131" s="24">
        <f t="shared" si="249"/>
        <v>1.5605217389313628E-2</v>
      </c>
      <c r="CL131" s="24">
        <f t="shared" si="250"/>
        <v>4.8051496904141816E-2</v>
      </c>
      <c r="CM131" s="25">
        <f t="shared" si="251"/>
        <v>0.21805442828234586</v>
      </c>
      <c r="CN131" s="17"/>
      <c r="CO131" s="17"/>
      <c r="CP131" s="17"/>
      <c r="CQ131" s="17"/>
      <c r="CR131" s="17"/>
      <c r="CS131" s="17"/>
      <c r="CT131" s="17"/>
      <c r="CU131" s="17"/>
      <c r="CV131" s="17"/>
      <c r="CW131" s="30">
        <v>0</v>
      </c>
      <c r="CX131" s="17"/>
      <c r="CY131" s="17"/>
      <c r="CZ131" s="17"/>
      <c r="DA131" s="17"/>
      <c r="DB131" s="17"/>
    </row>
    <row r="132" spans="1:106" ht="15.75" thickBot="1" x14ac:dyDescent="0.3">
      <c r="A132" s="5">
        <f t="shared" si="218"/>
        <v>34</v>
      </c>
      <c r="B132" s="5">
        <f t="shared" si="218"/>
        <v>32</v>
      </c>
      <c r="C132" s="1">
        <v>46235</v>
      </c>
      <c r="D132" s="4"/>
      <c r="E132" s="30"/>
      <c r="F132" s="30"/>
      <c r="G132" s="30">
        <f t="shared" si="222"/>
        <v>0</v>
      </c>
      <c r="H132" s="30"/>
      <c r="I132" s="10">
        <v>0</v>
      </c>
      <c r="J132" s="60">
        <v>9000</v>
      </c>
      <c r="K132" s="11">
        <v>550</v>
      </c>
      <c r="L132" s="60">
        <f t="shared" si="72"/>
        <v>10189.411895423935</v>
      </c>
      <c r="M132" s="11">
        <v>305</v>
      </c>
      <c r="N132" s="60">
        <v>0</v>
      </c>
      <c r="O132" s="11">
        <v>0</v>
      </c>
      <c r="P132" s="11">
        <v>0</v>
      </c>
      <c r="Q132" s="60">
        <f>(Q131*($K$1/12))+Q131 + $Q$6</f>
        <v>98401.929749673058</v>
      </c>
      <c r="R132" s="60">
        <f>(R131*($K$1/12))+R131</f>
        <v>7567.0073965827441</v>
      </c>
      <c r="S132" s="60">
        <f>(S131*($K$1/12))+S131</f>
        <v>6569.6804205223334</v>
      </c>
      <c r="T132" s="60">
        <f>(T131*($K$1/12))+T131+$T$6 + ((3%/12)*T$11)</f>
        <v>396837.6667308929</v>
      </c>
      <c r="U132" s="60">
        <f>(U131*$K$1/12) + U131 + ((U$11/12*7%))</f>
        <v>51922.448646645629</v>
      </c>
      <c r="V132" s="60">
        <v>3100</v>
      </c>
      <c r="W132" s="60">
        <f>(W131*($K$1/12))+W131+$W$6</f>
        <v>35761.465626880272</v>
      </c>
      <c r="X132" s="11">
        <v>0</v>
      </c>
      <c r="Y132" s="60">
        <f>(Y131*($K$1/12))+Y131+$Y$7</f>
        <v>84916.408335595857</v>
      </c>
      <c r="Z132" s="60">
        <f>'Mortgage and Loans'!U94</f>
        <v>61844.520000000004</v>
      </c>
      <c r="AA132" s="12">
        <f t="shared" si="212"/>
        <v>766965.53880221676</v>
      </c>
      <c r="AB132" s="56">
        <f t="shared" si="221"/>
        <v>750</v>
      </c>
      <c r="AC132" s="56">
        <f t="shared" si="221"/>
        <v>750</v>
      </c>
      <c r="AD132" s="56">
        <f t="shared" si="221"/>
        <v>750</v>
      </c>
      <c r="AE132" s="56">
        <f t="shared" si="221"/>
        <v>750</v>
      </c>
      <c r="AF132" s="56">
        <f t="shared" si="219"/>
        <v>261.43961609859889</v>
      </c>
      <c r="AG132" s="56">
        <f t="shared" si="221"/>
        <v>750</v>
      </c>
      <c r="AH132" s="56">
        <f>'Mortgage and Loans'!AF89</f>
        <v>0</v>
      </c>
      <c r="AI132" s="56">
        <f>'Mortgage and Loans'!AQ89</f>
        <v>0</v>
      </c>
      <c r="AJ132" s="56">
        <f>'Mortgage and Loans'!BB89</f>
        <v>0</v>
      </c>
      <c r="AK132" s="56">
        <f>'Mortgage and Loans'!BM89</f>
        <v>0</v>
      </c>
      <c r="AL132" s="56">
        <f>'Mortgage and Loans'!T94</f>
        <v>118155.48</v>
      </c>
      <c r="AM132" s="12">
        <f t="shared" si="12"/>
        <v>-122166.91961609859</v>
      </c>
      <c r="AN132" s="75">
        <f t="shared" si="85"/>
        <v>644798.61918611813</v>
      </c>
      <c r="AO132" s="86">
        <f>'Mortgage and Loans'!G95</f>
        <v>1454.82</v>
      </c>
      <c r="AP132" s="79">
        <f>('Salary Tax Breakdown'!B$16/12)-Data!AO132</f>
        <v>1992.68</v>
      </c>
      <c r="AQ132" s="87"/>
      <c r="AR132" s="20">
        <f t="shared" si="223"/>
        <v>4011.4396160985989</v>
      </c>
      <c r="AS132" s="20">
        <v>750</v>
      </c>
      <c r="AT132" s="20">
        <v>0</v>
      </c>
      <c r="AU132" s="20">
        <f t="shared" si="224"/>
        <v>4761.4396160985989</v>
      </c>
      <c r="AV132" s="20">
        <f t="shared" si="225"/>
        <v>4761.4396158502987</v>
      </c>
      <c r="AW132" s="51">
        <f t="shared" si="213"/>
        <v>0</v>
      </c>
      <c r="AX132" s="51">
        <f t="shared" si="14"/>
        <v>0</v>
      </c>
      <c r="AY132" s="51">
        <f t="shared" si="15"/>
        <v>0</v>
      </c>
      <c r="AZ132" s="51">
        <f t="shared" si="16"/>
        <v>0</v>
      </c>
      <c r="BA132" s="51">
        <f t="shared" si="17"/>
        <v>0</v>
      </c>
      <c r="BB132" s="51">
        <f t="shared" si="18"/>
        <v>0</v>
      </c>
      <c r="BC132" s="51">
        <f t="shared" si="19"/>
        <v>0</v>
      </c>
      <c r="BD132" s="51">
        <f t="shared" si="20"/>
        <v>0</v>
      </c>
      <c r="BE132" s="51">
        <f t="shared" si="21"/>
        <v>0</v>
      </c>
      <c r="BF132" s="51">
        <f t="shared" si="22"/>
        <v>0</v>
      </c>
      <c r="BG132" s="51">
        <f t="shared" si="23"/>
        <v>0</v>
      </c>
      <c r="BH132" s="51">
        <f t="shared" si="24"/>
        <v>0</v>
      </c>
      <c r="BI132" s="51">
        <f t="shared" si="226"/>
        <v>0</v>
      </c>
      <c r="BJ132" s="51">
        <f t="shared" si="227"/>
        <v>0</v>
      </c>
      <c r="BK132" s="51">
        <f t="shared" si="228"/>
        <v>0</v>
      </c>
      <c r="BL132" s="51">
        <f t="shared" si="229"/>
        <v>0</v>
      </c>
      <c r="BM132" s="51">
        <f t="shared" si="230"/>
        <v>0</v>
      </c>
      <c r="BN132" s="51">
        <f t="shared" si="231"/>
        <v>0</v>
      </c>
      <c r="BO132" s="51">
        <f t="shared" si="232"/>
        <v>0</v>
      </c>
      <c r="BP132" s="51">
        <f t="shared" si="233"/>
        <v>0</v>
      </c>
      <c r="BQ132" s="51">
        <f t="shared" si="234"/>
        <v>0</v>
      </c>
      <c r="BR132" s="51">
        <f t="shared" si="235"/>
        <v>0</v>
      </c>
      <c r="BS132" s="51">
        <f t="shared" si="236"/>
        <v>0</v>
      </c>
      <c r="BT132" s="51">
        <f t="shared" si="237"/>
        <v>0</v>
      </c>
      <c r="BU132" s="20">
        <f t="shared" si="238"/>
        <v>4761.4396156549819</v>
      </c>
      <c r="BV132" s="20">
        <f t="shared" si="239"/>
        <v>4761.4396161192908</v>
      </c>
      <c r="BW132" s="20">
        <f t="shared" si="240"/>
        <v>57137.275393183183</v>
      </c>
      <c r="BX132" s="20">
        <f t="shared" si="241"/>
        <v>57137.275387859787</v>
      </c>
      <c r="BY132" s="20">
        <f t="shared" si="242"/>
        <v>57137.27539343149</v>
      </c>
      <c r="BZ132" s="21">
        <f t="shared" si="243"/>
        <v>57137.275391491487</v>
      </c>
      <c r="CA132" s="19">
        <f t="shared" si="216"/>
        <v>1428431.8847872871</v>
      </c>
      <c r="CB132" s="20">
        <f t="shared" si="244"/>
        <v>1428431.884667964</v>
      </c>
      <c r="CC132" s="20">
        <f t="shared" si="245"/>
        <v>1428431.8848011924</v>
      </c>
      <c r="CD132" s="20">
        <f t="shared" si="217"/>
        <v>0</v>
      </c>
      <c r="CE132" s="20">
        <f t="shared" si="220"/>
        <v>1400000</v>
      </c>
      <c r="CF132" s="20">
        <f t="shared" si="214"/>
        <v>681976.60690679285</v>
      </c>
      <c r="CG132" s="20">
        <f t="shared" si="246"/>
        <v>27279.064276271714</v>
      </c>
      <c r="CH132" s="20">
        <f t="shared" si="215"/>
        <v>2273.2553563559763</v>
      </c>
      <c r="CI132" s="20">
        <f t="shared" si="247"/>
        <v>671619.89573070023</v>
      </c>
      <c r="CJ132" s="24">
        <f t="shared" si="248"/>
        <v>0.47743026057228966</v>
      </c>
      <c r="CK132" s="24">
        <f t="shared" si="249"/>
        <v>1.5448665861035866E-2</v>
      </c>
      <c r="CL132" s="24">
        <f t="shared" si="250"/>
        <v>4.7554203223548003E-2</v>
      </c>
      <c r="CM132" s="25">
        <f t="shared" si="251"/>
        <v>0.2154360851975142</v>
      </c>
      <c r="CN132" s="17"/>
      <c r="CO132" s="17"/>
      <c r="CP132" s="17"/>
      <c r="CQ132" s="17"/>
      <c r="CR132" s="17"/>
      <c r="CS132" s="17"/>
      <c r="CT132" s="17"/>
      <c r="CU132" s="17"/>
      <c r="CV132" s="17"/>
      <c r="CW132" s="30">
        <v>0</v>
      </c>
      <c r="CX132" s="17"/>
      <c r="CY132" s="17"/>
      <c r="CZ132" s="17"/>
      <c r="DA132" s="17"/>
      <c r="DB132" s="17"/>
    </row>
    <row r="133" spans="1:106" ht="15.75" thickBot="1" x14ac:dyDescent="0.3">
      <c r="A133" s="5">
        <f t="shared" si="218"/>
        <v>34</v>
      </c>
      <c r="B133" s="5">
        <f t="shared" si="218"/>
        <v>32</v>
      </c>
      <c r="C133" s="1">
        <v>46266</v>
      </c>
      <c r="D133" s="4"/>
      <c r="E133" s="30"/>
      <c r="F133" s="30"/>
      <c r="G133" s="30">
        <f t="shared" si="222"/>
        <v>0</v>
      </c>
      <c r="H133" s="30"/>
      <c r="I133" s="10">
        <v>0</v>
      </c>
      <c r="J133" s="60">
        <v>9000</v>
      </c>
      <c r="K133" s="11">
        <v>550</v>
      </c>
      <c r="L133" s="60">
        <f t="shared" si="72"/>
        <v>10201.724101464239</v>
      </c>
      <c r="M133" s="11">
        <v>305</v>
      </c>
      <c r="N133" s="60">
        <v>0</v>
      </c>
      <c r="O133" s="11">
        <v>0</v>
      </c>
      <c r="P133" s="11">
        <v>0</v>
      </c>
      <c r="Q133" s="60">
        <f>(Q132*($K$1/12))+Q132 + $Q$6</f>
        <v>99851.610202483789</v>
      </c>
      <c r="R133" s="60">
        <f>(R132*($K$1/12))+R132</f>
        <v>7607.9953533142343</v>
      </c>
      <c r="S133" s="60">
        <f>(S132*($K$1/12))+S132</f>
        <v>6605.266189466829</v>
      </c>
      <c r="T133" s="60">
        <f>(T132*($K$1/12))+T132+$T$6 + ((3%/12)*T$11)</f>
        <v>402162.20409235189</v>
      </c>
      <c r="U133" s="60">
        <f>(U132*$K$1/12) + U132 + ((U$11/12*7%))</f>
        <v>52612.028576814962</v>
      </c>
      <c r="V133" s="60">
        <v>3100</v>
      </c>
      <c r="W133" s="60">
        <f>(W132*($K$1/12))+W132+$W$6</f>
        <v>36242.673565692538</v>
      </c>
      <c r="X133" s="11">
        <v>0</v>
      </c>
      <c r="Y133" s="60">
        <f>(Y132*($K$1/12))+Y132+$Y$7</f>
        <v>87326.372214080329</v>
      </c>
      <c r="Z133" s="60">
        <f>'Mortgage and Loans'!U95</f>
        <v>62892.69</v>
      </c>
      <c r="AA133" s="12">
        <f t="shared" si="212"/>
        <v>778457.56429566862</v>
      </c>
      <c r="AB133" s="56">
        <f t="shared" si="221"/>
        <v>750</v>
      </c>
      <c r="AC133" s="56">
        <f t="shared" si="221"/>
        <v>750</v>
      </c>
      <c r="AD133" s="56">
        <f t="shared" si="221"/>
        <v>750</v>
      </c>
      <c r="AE133" s="56">
        <f t="shared" si="221"/>
        <v>750</v>
      </c>
      <c r="AF133" s="56">
        <f t="shared" si="219"/>
        <v>261.43961611929063</v>
      </c>
      <c r="AG133" s="56">
        <f t="shared" si="221"/>
        <v>750</v>
      </c>
      <c r="AH133" s="56">
        <f>'Mortgage and Loans'!AF90</f>
        <v>0</v>
      </c>
      <c r="AI133" s="56">
        <f>'Mortgage and Loans'!AQ90</f>
        <v>0</v>
      </c>
      <c r="AJ133" s="56">
        <f>'Mortgage and Loans'!BB90</f>
        <v>0</v>
      </c>
      <c r="AK133" s="56">
        <f>'Mortgage and Loans'!BM90</f>
        <v>0</v>
      </c>
      <c r="AL133" s="56">
        <f>'Mortgage and Loans'!T95</f>
        <v>117107.31</v>
      </c>
      <c r="AM133" s="12">
        <f t="shared" si="12"/>
        <v>-121118.74961611928</v>
      </c>
      <c r="AN133" s="75">
        <f t="shared" si="85"/>
        <v>657338.81467954931</v>
      </c>
      <c r="AO133" s="86">
        <f>'Mortgage and Loans'!G96</f>
        <v>1454.82</v>
      </c>
      <c r="AP133" s="79">
        <f>('Salary Tax Breakdown'!B$16/12)-Data!AO133</f>
        <v>1992.68</v>
      </c>
      <c r="AQ133" s="87"/>
      <c r="AR133" s="20">
        <f t="shared" si="223"/>
        <v>4011.4396161192908</v>
      </c>
      <c r="AS133" s="20">
        <v>750</v>
      </c>
      <c r="AT133" s="20">
        <v>0</v>
      </c>
      <c r="AU133" s="20">
        <f t="shared" si="224"/>
        <v>4761.4396161192908</v>
      </c>
      <c r="AV133" s="20">
        <f t="shared" si="225"/>
        <v>4761.4396187316506</v>
      </c>
      <c r="AW133" s="51">
        <f t="shared" si="213"/>
        <v>0</v>
      </c>
      <c r="AX133" s="51">
        <f t="shared" si="14"/>
        <v>0</v>
      </c>
      <c r="AY133" s="51">
        <f t="shared" si="15"/>
        <v>0</v>
      </c>
      <c r="AZ133" s="51">
        <f t="shared" si="16"/>
        <v>0</v>
      </c>
      <c r="BA133" s="51">
        <f t="shared" si="17"/>
        <v>0</v>
      </c>
      <c r="BB133" s="51">
        <f t="shared" si="18"/>
        <v>0</v>
      </c>
      <c r="BC133" s="51">
        <f t="shared" si="19"/>
        <v>0</v>
      </c>
      <c r="BD133" s="51">
        <f t="shared" si="20"/>
        <v>0</v>
      </c>
      <c r="BE133" s="51">
        <f t="shared" si="21"/>
        <v>0</v>
      </c>
      <c r="BF133" s="51">
        <f t="shared" si="22"/>
        <v>0</v>
      </c>
      <c r="BG133" s="51">
        <f t="shared" si="23"/>
        <v>0</v>
      </c>
      <c r="BH133" s="51">
        <f t="shared" si="24"/>
        <v>0</v>
      </c>
      <c r="BI133" s="51">
        <f t="shared" si="226"/>
        <v>0</v>
      </c>
      <c r="BJ133" s="51">
        <f t="shared" si="227"/>
        <v>0</v>
      </c>
      <c r="BK133" s="51">
        <f t="shared" si="228"/>
        <v>0</v>
      </c>
      <c r="BL133" s="51">
        <f t="shared" si="229"/>
        <v>0</v>
      </c>
      <c r="BM133" s="51">
        <f t="shared" si="230"/>
        <v>0</v>
      </c>
      <c r="BN133" s="51">
        <f t="shared" si="231"/>
        <v>0</v>
      </c>
      <c r="BO133" s="51">
        <f t="shared" si="232"/>
        <v>0</v>
      </c>
      <c r="BP133" s="51">
        <f t="shared" si="233"/>
        <v>0</v>
      </c>
      <c r="BQ133" s="51">
        <f t="shared" si="234"/>
        <v>0</v>
      </c>
      <c r="BR133" s="51">
        <f t="shared" si="235"/>
        <v>0</v>
      </c>
      <c r="BS133" s="51">
        <f t="shared" si="236"/>
        <v>0</v>
      </c>
      <c r="BT133" s="51">
        <f t="shared" si="237"/>
        <v>0</v>
      </c>
      <c r="BU133" s="20">
        <f t="shared" si="238"/>
        <v>4761.4396159910393</v>
      </c>
      <c r="BV133" s="20">
        <f t="shared" si="239"/>
        <v>4761.4396159015932</v>
      </c>
      <c r="BW133" s="20">
        <f t="shared" si="240"/>
        <v>57137.27539343149</v>
      </c>
      <c r="BX133" s="20">
        <f t="shared" si="241"/>
        <v>57137.275391892472</v>
      </c>
      <c r="BY133" s="20">
        <f t="shared" si="242"/>
        <v>57137.275390819123</v>
      </c>
      <c r="BZ133" s="21">
        <f t="shared" si="243"/>
        <v>57137.27539204769</v>
      </c>
      <c r="CA133" s="19">
        <f t="shared" si="216"/>
        <v>1428431.8848011922</v>
      </c>
      <c r="CB133" s="20">
        <f t="shared" si="244"/>
        <v>1428431.8847601202</v>
      </c>
      <c r="CC133" s="20">
        <f t="shared" si="245"/>
        <v>1428431.8847522766</v>
      </c>
      <c r="CD133" s="20">
        <f t="shared" si="217"/>
        <v>0</v>
      </c>
      <c r="CE133" s="20">
        <f t="shared" si="220"/>
        <v>1400000</v>
      </c>
      <c r="CF133" s="20">
        <f t="shared" si="214"/>
        <v>692408.15019420453</v>
      </c>
      <c r="CG133" s="20">
        <f t="shared" si="246"/>
        <v>27696.326007768181</v>
      </c>
      <c r="CH133" s="20">
        <f t="shared" si="215"/>
        <v>2308.0271673140151</v>
      </c>
      <c r="CI133" s="20">
        <f t="shared" si="247"/>
        <v>681995.3401659081</v>
      </c>
      <c r="CJ133" s="24">
        <f t="shared" si="248"/>
        <v>0.4847330541844368</v>
      </c>
      <c r="CK133" s="24">
        <f t="shared" si="249"/>
        <v>1.5296042682058421E-2</v>
      </c>
      <c r="CL133" s="24">
        <f t="shared" si="250"/>
        <v>4.7069694811929665E-2</v>
      </c>
      <c r="CM133" s="25">
        <f t="shared" si="251"/>
        <v>0.21289348583315915</v>
      </c>
      <c r="CN133" s="17"/>
      <c r="CO133" s="17"/>
      <c r="CP133" s="17"/>
      <c r="CQ133" s="17"/>
      <c r="CR133" s="17"/>
      <c r="CS133" s="17"/>
      <c r="CT133" s="17"/>
      <c r="CU133" s="17"/>
      <c r="CV133" s="17"/>
      <c r="CW133" s="30">
        <v>0</v>
      </c>
      <c r="CX133" s="17"/>
      <c r="CY133" s="17"/>
      <c r="CZ133" s="17"/>
      <c r="DA133" s="17"/>
      <c r="DB133" s="17"/>
    </row>
    <row r="134" spans="1:106" ht="15.75" thickBot="1" x14ac:dyDescent="0.3">
      <c r="A134" s="5">
        <f t="shared" si="218"/>
        <v>34</v>
      </c>
      <c r="B134" s="5">
        <f t="shared" si="218"/>
        <v>33</v>
      </c>
      <c r="C134" s="1">
        <v>46296</v>
      </c>
      <c r="D134" s="4"/>
      <c r="E134" s="30"/>
      <c r="F134" s="30"/>
      <c r="G134" s="30">
        <f t="shared" si="222"/>
        <v>0</v>
      </c>
      <c r="H134" s="30"/>
      <c r="I134" s="10">
        <v>0</v>
      </c>
      <c r="J134" s="60">
        <v>9000</v>
      </c>
      <c r="K134" s="11">
        <v>550</v>
      </c>
      <c r="L134" s="60">
        <f t="shared" si="72"/>
        <v>10214.051184753507</v>
      </c>
      <c r="M134" s="11">
        <v>305</v>
      </c>
      <c r="N134" s="60">
        <v>0</v>
      </c>
      <c r="O134" s="11">
        <v>0</v>
      </c>
      <c r="P134" s="11">
        <v>0</v>
      </c>
      <c r="Q134" s="60">
        <f>(Q133*($K$1/12))+Q133 + $Q$6</f>
        <v>101309.14309108058</v>
      </c>
      <c r="R134" s="60">
        <f>(R133*($K$1/12))+R133</f>
        <v>7649.2053281446861</v>
      </c>
      <c r="S134" s="60">
        <f>(S133*($K$1/12))+S133</f>
        <v>6641.0447146597744</v>
      </c>
      <c r="T134" s="60">
        <f>(T133*($K$1/12))+T133+$T$6 + ((3%/12)*T$11)</f>
        <v>407515.58269785211</v>
      </c>
      <c r="U134" s="60">
        <f>(U133*$K$1/12) + U133 + ((U$11/12*7%))</f>
        <v>53305.343731606044</v>
      </c>
      <c r="V134" s="60">
        <v>3100</v>
      </c>
      <c r="W134" s="60">
        <f>(W133*($K$1/12))+W133+$W$6</f>
        <v>36726.488047506704</v>
      </c>
      <c r="X134" s="11">
        <v>0</v>
      </c>
      <c r="Y134" s="60">
        <f>(Y133*($K$1/12))+Y133+$Y$7</f>
        <v>89749.390063573272</v>
      </c>
      <c r="Z134" s="60">
        <f>'Mortgage and Loans'!U96</f>
        <v>63944.47</v>
      </c>
      <c r="AA134" s="12">
        <f t="shared" si="212"/>
        <v>790009.71885917662</v>
      </c>
      <c r="AB134" s="56">
        <f t="shared" si="221"/>
        <v>750</v>
      </c>
      <c r="AC134" s="56">
        <f t="shared" si="221"/>
        <v>750</v>
      </c>
      <c r="AD134" s="56">
        <f t="shared" si="221"/>
        <v>750</v>
      </c>
      <c r="AE134" s="56">
        <f t="shared" si="221"/>
        <v>750</v>
      </c>
      <c r="AF134" s="56">
        <f t="shared" si="219"/>
        <v>261.43961590159398</v>
      </c>
      <c r="AG134" s="56">
        <f t="shared" si="221"/>
        <v>750</v>
      </c>
      <c r="AH134" s="56">
        <f>'Mortgage and Loans'!AF91</f>
        <v>0</v>
      </c>
      <c r="AI134" s="56">
        <f>'Mortgage and Loans'!AQ91</f>
        <v>0</v>
      </c>
      <c r="AJ134" s="56">
        <f>'Mortgage and Loans'!BB91</f>
        <v>0</v>
      </c>
      <c r="AK134" s="56">
        <f>'Mortgage and Loans'!BM91</f>
        <v>0</v>
      </c>
      <c r="AL134" s="56">
        <f>'Mortgage and Loans'!T96</f>
        <v>116055.53</v>
      </c>
      <c r="AM134" s="12">
        <f t="shared" si="12"/>
        <v>-120066.96961590159</v>
      </c>
      <c r="AN134" s="75">
        <f t="shared" si="85"/>
        <v>669942.74924327503</v>
      </c>
      <c r="AO134" s="86">
        <f>'Mortgage and Loans'!G97</f>
        <v>1454.82</v>
      </c>
      <c r="AP134" s="79">
        <f>('Salary Tax Breakdown'!B$16/12)-Data!AO134</f>
        <v>1992.68</v>
      </c>
      <c r="AQ134" s="87"/>
      <c r="AR134" s="20">
        <f t="shared" si="223"/>
        <v>4011.4396159015942</v>
      </c>
      <c r="AS134" s="20">
        <v>750</v>
      </c>
      <c r="AT134" s="20">
        <v>0</v>
      </c>
      <c r="AU134" s="20">
        <f t="shared" si="224"/>
        <v>4761.4396159015942</v>
      </c>
      <c r="AV134" s="20">
        <f t="shared" si="225"/>
        <v>4761.4396197445576</v>
      </c>
      <c r="AW134" s="51">
        <f t="shared" si="213"/>
        <v>0</v>
      </c>
      <c r="AX134" s="51">
        <f t="shared" si="14"/>
        <v>0</v>
      </c>
      <c r="AY134" s="51">
        <f t="shared" si="15"/>
        <v>0</v>
      </c>
      <c r="AZ134" s="51">
        <f t="shared" si="16"/>
        <v>0</v>
      </c>
      <c r="BA134" s="51">
        <f t="shared" si="17"/>
        <v>0</v>
      </c>
      <c r="BB134" s="51">
        <f t="shared" si="18"/>
        <v>0</v>
      </c>
      <c r="BC134" s="51">
        <f t="shared" si="19"/>
        <v>0</v>
      </c>
      <c r="BD134" s="51">
        <f t="shared" si="20"/>
        <v>0</v>
      </c>
      <c r="BE134" s="51">
        <f t="shared" si="21"/>
        <v>0</v>
      </c>
      <c r="BF134" s="51">
        <f t="shared" si="22"/>
        <v>0</v>
      </c>
      <c r="BG134" s="51">
        <f t="shared" si="23"/>
        <v>0</v>
      </c>
      <c r="BH134" s="51">
        <f t="shared" si="24"/>
        <v>0</v>
      </c>
      <c r="BI134" s="51">
        <f t="shared" si="226"/>
        <v>0</v>
      </c>
      <c r="BJ134" s="51">
        <f t="shared" si="227"/>
        <v>0</v>
      </c>
      <c r="BK134" s="51">
        <f t="shared" si="228"/>
        <v>0</v>
      </c>
      <c r="BL134" s="51">
        <f t="shared" si="229"/>
        <v>0</v>
      </c>
      <c r="BM134" s="51">
        <f t="shared" si="230"/>
        <v>0</v>
      </c>
      <c r="BN134" s="51">
        <f t="shared" si="231"/>
        <v>0</v>
      </c>
      <c r="BO134" s="51">
        <f t="shared" si="232"/>
        <v>0</v>
      </c>
      <c r="BP134" s="51">
        <f t="shared" si="233"/>
        <v>0</v>
      </c>
      <c r="BQ134" s="51">
        <f t="shared" si="234"/>
        <v>0</v>
      </c>
      <c r="BR134" s="51">
        <f t="shared" si="235"/>
        <v>0</v>
      </c>
      <c r="BS134" s="51">
        <f t="shared" si="236"/>
        <v>0</v>
      </c>
      <c r="BT134" s="51">
        <f t="shared" si="237"/>
        <v>0</v>
      </c>
      <c r="BU134" s="20">
        <f t="shared" si="238"/>
        <v>4761.4396160398273</v>
      </c>
      <c r="BV134" s="20">
        <f t="shared" si="239"/>
        <v>4761.4396155813465</v>
      </c>
      <c r="BW134" s="20">
        <f t="shared" si="240"/>
        <v>57137.27539081913</v>
      </c>
      <c r="BX134" s="20">
        <f t="shared" si="241"/>
        <v>57137.275392477924</v>
      </c>
      <c r="BY134" s="20">
        <f t="shared" si="242"/>
        <v>57137.275386976158</v>
      </c>
      <c r="BZ134" s="21">
        <f t="shared" si="243"/>
        <v>57137.275390091068</v>
      </c>
      <c r="CA134" s="19">
        <f t="shared" si="216"/>
        <v>1428431.8847522766</v>
      </c>
      <c r="CB134" s="20">
        <f t="shared" si="244"/>
        <v>1428431.8847802521</v>
      </c>
      <c r="CC134" s="20">
        <f t="shared" si="245"/>
        <v>1428431.8846738206</v>
      </c>
      <c r="CD134" s="20">
        <f t="shared" si="217"/>
        <v>0</v>
      </c>
      <c r="CE134" s="20">
        <f t="shared" si="220"/>
        <v>1400000</v>
      </c>
      <c r="CF134" s="20">
        <f t="shared" si="214"/>
        <v>702896.19767442311</v>
      </c>
      <c r="CG134" s="20">
        <f t="shared" si="246"/>
        <v>28115.847906976924</v>
      </c>
      <c r="CH134" s="20">
        <f t="shared" si="215"/>
        <v>2342.9873255814105</v>
      </c>
      <c r="CI134" s="20">
        <f t="shared" si="247"/>
        <v>692426.98492514016</v>
      </c>
      <c r="CJ134" s="24">
        <f t="shared" si="248"/>
        <v>0.49207540461934984</v>
      </c>
      <c r="CK134" s="24">
        <f t="shared" si="249"/>
        <v>1.5147203968175305E-2</v>
      </c>
      <c r="CL134" s="24">
        <f t="shared" si="250"/>
        <v>4.659749167149696E-2</v>
      </c>
      <c r="CM134" s="25">
        <f t="shared" si="251"/>
        <v>0.21042342589312271</v>
      </c>
      <c r="CN134" s="17"/>
      <c r="CO134" s="17"/>
      <c r="CP134" s="17"/>
      <c r="CQ134" s="17"/>
      <c r="CR134" s="17"/>
      <c r="CS134" s="17"/>
      <c r="CT134" s="17"/>
      <c r="CU134" s="17"/>
      <c r="CV134" s="17"/>
      <c r="CW134" s="30">
        <v>0</v>
      </c>
      <c r="CX134" s="17"/>
      <c r="CY134" s="17"/>
      <c r="CZ134" s="17"/>
      <c r="DA134" s="17"/>
      <c r="DB134" s="17"/>
    </row>
    <row r="135" spans="1:106" ht="15.75" thickBot="1" x14ac:dyDescent="0.3">
      <c r="A135" s="5">
        <f t="shared" si="218"/>
        <v>34</v>
      </c>
      <c r="B135" s="5">
        <f t="shared" si="218"/>
        <v>33</v>
      </c>
      <c r="C135" s="1">
        <v>46327</v>
      </c>
      <c r="D135" s="4"/>
      <c r="E135" s="30"/>
      <c r="F135" s="30"/>
      <c r="G135" s="30">
        <f t="shared" si="222"/>
        <v>0</v>
      </c>
      <c r="H135" s="30"/>
      <c r="I135" s="10">
        <v>0</v>
      </c>
      <c r="J135" s="60">
        <v>9000</v>
      </c>
      <c r="K135" s="11">
        <v>550</v>
      </c>
      <c r="L135" s="60">
        <f t="shared" si="72"/>
        <v>10226.393163268416</v>
      </c>
      <c r="M135" s="11">
        <v>305</v>
      </c>
      <c r="N135" s="60">
        <v>0</v>
      </c>
      <c r="O135" s="11">
        <v>0</v>
      </c>
      <c r="P135" s="11">
        <v>0</v>
      </c>
      <c r="Q135" s="60">
        <f>(Q134*($K$1/12))+Q134 + $Q$6</f>
        <v>102774.5709494906</v>
      </c>
      <c r="R135" s="60">
        <f>(R134*($K$1/12))+R134</f>
        <v>7690.6385236721362</v>
      </c>
      <c r="S135" s="60">
        <f>(S134*($K$1/12))+S134</f>
        <v>6677.0170401975147</v>
      </c>
      <c r="T135" s="60">
        <f>(T134*($K$1/12))+T134+$T$6 + ((3%/12)*T$11)</f>
        <v>412897.95877079881</v>
      </c>
      <c r="U135" s="60">
        <f>(U134*$K$1/12) + U134 + ((U$11/12*7%))</f>
        <v>54002.41434348558</v>
      </c>
      <c r="V135" s="60">
        <v>3100</v>
      </c>
      <c r="W135" s="60">
        <f>(W134*($K$1/12))+W134+$W$6</f>
        <v>37212.923191097369</v>
      </c>
      <c r="X135" s="11">
        <v>0</v>
      </c>
      <c r="Y135" s="60">
        <f>(Y134*($K$1/12))+Y134+$Y$7</f>
        <v>92185.532593084296</v>
      </c>
      <c r="Z135" s="60">
        <f>'Mortgage and Loans'!U97</f>
        <v>64999.87</v>
      </c>
      <c r="AA135" s="12">
        <f t="shared" si="212"/>
        <v>801622.31857509469</v>
      </c>
      <c r="AB135" s="56">
        <f t="shared" si="221"/>
        <v>750</v>
      </c>
      <c r="AC135" s="56">
        <f t="shared" si="221"/>
        <v>750</v>
      </c>
      <c r="AD135" s="56">
        <f t="shared" si="221"/>
        <v>750</v>
      </c>
      <c r="AE135" s="56">
        <f t="shared" si="221"/>
        <v>750</v>
      </c>
      <c r="AF135" s="56">
        <f t="shared" si="219"/>
        <v>261.43961558134703</v>
      </c>
      <c r="AG135" s="56">
        <f t="shared" si="221"/>
        <v>750</v>
      </c>
      <c r="AH135" s="56">
        <f>'Mortgage and Loans'!AF92</f>
        <v>0</v>
      </c>
      <c r="AI135" s="56">
        <f>'Mortgage and Loans'!AQ92</f>
        <v>0</v>
      </c>
      <c r="AJ135" s="56">
        <f>'Mortgage and Loans'!BB92</f>
        <v>0</v>
      </c>
      <c r="AK135" s="56">
        <f>'Mortgage and Loans'!BM92</f>
        <v>0</v>
      </c>
      <c r="AL135" s="56">
        <f>'Mortgage and Loans'!T97</f>
        <v>115000.12999999999</v>
      </c>
      <c r="AM135" s="12">
        <f t="shared" si="12"/>
        <v>-119011.56961558133</v>
      </c>
      <c r="AN135" s="75">
        <f t="shared" si="85"/>
        <v>682610.74895951338</v>
      </c>
      <c r="AO135" s="86">
        <f>'Mortgage and Loans'!G98</f>
        <v>1454.82</v>
      </c>
      <c r="AP135" s="79">
        <f>('Salary Tax Breakdown'!B$16/12)-Data!AO135</f>
        <v>1992.68</v>
      </c>
      <c r="AQ135" s="87"/>
      <c r="AR135" s="20">
        <f t="shared" si="223"/>
        <v>4011.439615581347</v>
      </c>
      <c r="AS135" s="20">
        <v>750</v>
      </c>
      <c r="AT135" s="20">
        <v>0</v>
      </c>
      <c r="AU135" s="20">
        <f t="shared" si="224"/>
        <v>4761.4396155813465</v>
      </c>
      <c r="AV135" s="20">
        <f t="shared" si="225"/>
        <v>4761.4396190841217</v>
      </c>
      <c r="AW135" s="51">
        <f t="shared" si="213"/>
        <v>0</v>
      </c>
      <c r="AX135" s="51">
        <f t="shared" si="14"/>
        <v>0</v>
      </c>
      <c r="AY135" s="51">
        <f t="shared" si="15"/>
        <v>0</v>
      </c>
      <c r="AZ135" s="51">
        <f t="shared" si="16"/>
        <v>0</v>
      </c>
      <c r="BA135" s="51">
        <f t="shared" si="17"/>
        <v>0</v>
      </c>
      <c r="BB135" s="51">
        <f t="shared" si="18"/>
        <v>0</v>
      </c>
      <c r="BC135" s="51">
        <f t="shared" si="19"/>
        <v>0</v>
      </c>
      <c r="BD135" s="51">
        <f t="shared" si="20"/>
        <v>0</v>
      </c>
      <c r="BE135" s="51">
        <f t="shared" si="21"/>
        <v>0</v>
      </c>
      <c r="BF135" s="51">
        <f t="shared" si="22"/>
        <v>0</v>
      </c>
      <c r="BG135" s="51">
        <f t="shared" si="23"/>
        <v>0</v>
      </c>
      <c r="BH135" s="51">
        <f t="shared" si="24"/>
        <v>0</v>
      </c>
      <c r="BI135" s="51">
        <f t="shared" si="226"/>
        <v>0</v>
      </c>
      <c r="BJ135" s="51">
        <f t="shared" si="227"/>
        <v>0</v>
      </c>
      <c r="BK135" s="51">
        <f t="shared" si="228"/>
        <v>0</v>
      </c>
      <c r="BL135" s="51">
        <f t="shared" si="229"/>
        <v>0</v>
      </c>
      <c r="BM135" s="51">
        <f t="shared" si="230"/>
        <v>0</v>
      </c>
      <c r="BN135" s="51">
        <f t="shared" si="231"/>
        <v>0</v>
      </c>
      <c r="BO135" s="51">
        <f t="shared" si="232"/>
        <v>0</v>
      </c>
      <c r="BP135" s="51">
        <f t="shared" si="233"/>
        <v>0</v>
      </c>
      <c r="BQ135" s="51">
        <f t="shared" si="234"/>
        <v>0</v>
      </c>
      <c r="BR135" s="51">
        <f t="shared" si="235"/>
        <v>0</v>
      </c>
      <c r="BS135" s="51">
        <f t="shared" si="236"/>
        <v>0</v>
      </c>
      <c r="BT135" s="51">
        <f t="shared" si="237"/>
        <v>0</v>
      </c>
      <c r="BU135" s="20">
        <f t="shared" si="238"/>
        <v>4761.4396158674108</v>
      </c>
      <c r="BV135" s="20">
        <f t="shared" si="239"/>
        <v>4761.4396152894487</v>
      </c>
      <c r="BW135" s="20">
        <f t="shared" si="240"/>
        <v>57137.275386976158</v>
      </c>
      <c r="BX135" s="20">
        <f t="shared" si="241"/>
        <v>57137.275390408933</v>
      </c>
      <c r="BY135" s="20">
        <f t="shared" si="242"/>
        <v>57137.275383473389</v>
      </c>
      <c r="BZ135" s="21">
        <f t="shared" si="243"/>
        <v>57137.275386952831</v>
      </c>
      <c r="CA135" s="19">
        <f t="shared" si="216"/>
        <v>1428431.8846738208</v>
      </c>
      <c r="CB135" s="20">
        <f t="shared" si="244"/>
        <v>1428431.8847424297</v>
      </c>
      <c r="CC135" s="20">
        <f t="shared" si="245"/>
        <v>1428431.8845990605</v>
      </c>
      <c r="CD135" s="20">
        <f t="shared" si="217"/>
        <v>0</v>
      </c>
      <c r="CE135" s="20">
        <f t="shared" si="220"/>
        <v>1400000</v>
      </c>
      <c r="CF135" s="20">
        <f t="shared" si="214"/>
        <v>713441.05541182624</v>
      </c>
      <c r="CG135" s="20">
        <f t="shared" si="246"/>
        <v>28537.64221647305</v>
      </c>
      <c r="CH135" s="20">
        <f t="shared" si="215"/>
        <v>2378.1368513727543</v>
      </c>
      <c r="CI135" s="20">
        <f t="shared" si="247"/>
        <v>702915.13442681788</v>
      </c>
      <c r="CJ135" s="24">
        <f t="shared" si="248"/>
        <v>0.49945752613921218</v>
      </c>
      <c r="CK135" s="24">
        <f t="shared" si="249"/>
        <v>1.5002012775558418E-2</v>
      </c>
      <c r="CL135" s="24">
        <f t="shared" si="250"/>
        <v>4.6137137529900202E-2</v>
      </c>
      <c r="CM135" s="25">
        <f t="shared" si="251"/>
        <v>0.20802287928603877</v>
      </c>
      <c r="CN135" s="17"/>
      <c r="CO135" s="17"/>
      <c r="CP135" s="17"/>
      <c r="CQ135" s="17"/>
      <c r="CR135" s="17"/>
      <c r="CS135" s="17"/>
      <c r="CT135" s="17"/>
      <c r="CU135" s="17"/>
      <c r="CV135" s="17"/>
      <c r="CW135" s="30">
        <v>0</v>
      </c>
      <c r="CX135" s="17"/>
      <c r="CY135" s="17"/>
      <c r="CZ135" s="17"/>
      <c r="DA135" s="17"/>
      <c r="DB135" s="17"/>
    </row>
    <row r="136" spans="1:106" ht="15.75" thickBot="1" x14ac:dyDescent="0.3">
      <c r="A136" s="5">
        <f t="shared" si="218"/>
        <v>35</v>
      </c>
      <c r="B136" s="5">
        <f t="shared" si="218"/>
        <v>33</v>
      </c>
      <c r="C136" s="1">
        <v>46357</v>
      </c>
      <c r="D136" s="4"/>
      <c r="E136" s="30"/>
      <c r="F136" s="30"/>
      <c r="G136" s="30">
        <f t="shared" si="222"/>
        <v>0</v>
      </c>
      <c r="H136" s="30"/>
      <c r="I136" s="10">
        <v>0</v>
      </c>
      <c r="J136" s="60">
        <v>9000</v>
      </c>
      <c r="K136" s="11">
        <v>550</v>
      </c>
      <c r="L136" s="60">
        <f t="shared" si="72"/>
        <v>10238.750055007366</v>
      </c>
      <c r="M136" s="11">
        <v>305</v>
      </c>
      <c r="N136" s="60">
        <v>0</v>
      </c>
      <c r="O136" s="11">
        <v>0</v>
      </c>
      <c r="P136" s="11">
        <v>0</v>
      </c>
      <c r="Q136" s="60">
        <f>(Q135*($K$1/12))+Q135 + $Q$6</f>
        <v>104247.93654213367</v>
      </c>
      <c r="R136" s="60">
        <f>(R135*($K$1/12))+R135</f>
        <v>7732.2961490086936</v>
      </c>
      <c r="S136" s="60">
        <f>(S135*($K$1/12))+S135</f>
        <v>6713.1842158319178</v>
      </c>
      <c r="T136" s="60">
        <f>(T135*($K$1/12))+T135+$T$6 + ((3%/12)*T$11)</f>
        <v>418309.48938080732</v>
      </c>
      <c r="U136" s="60">
        <f>(U135*$K$1/12) + U135 + ((U$11/12*7%))</f>
        <v>54703.260754512798</v>
      </c>
      <c r="V136" s="60">
        <v>3100</v>
      </c>
      <c r="W136" s="60">
        <f>(W135*($K$1/12))+W135+$W$6</f>
        <v>37701.99319171581</v>
      </c>
      <c r="X136" s="11">
        <v>0</v>
      </c>
      <c r="Y136" s="60">
        <f>(Y135*($K$1/12))+Y135+$Y$7</f>
        <v>94634.870894630163</v>
      </c>
      <c r="Z136" s="60">
        <f>'Mortgage and Loans'!U98</f>
        <v>66058.899999999994</v>
      </c>
      <c r="AA136" s="12">
        <f t="shared" si="212"/>
        <v>813295.68118364771</v>
      </c>
      <c r="AB136" s="56">
        <f t="shared" si="221"/>
        <v>750</v>
      </c>
      <c r="AC136" s="56">
        <f t="shared" si="221"/>
        <v>750</v>
      </c>
      <c r="AD136" s="56">
        <f t="shared" si="221"/>
        <v>750</v>
      </c>
      <c r="AE136" s="56">
        <f t="shared" si="221"/>
        <v>750</v>
      </c>
      <c r="AF136" s="56">
        <f t="shared" si="219"/>
        <v>261.43961528944914</v>
      </c>
      <c r="AG136" s="56">
        <f t="shared" si="221"/>
        <v>750</v>
      </c>
      <c r="AH136" s="56">
        <f>'Mortgage and Loans'!AF93</f>
        <v>0</v>
      </c>
      <c r="AI136" s="56">
        <f>'Mortgage and Loans'!AQ93</f>
        <v>0</v>
      </c>
      <c r="AJ136" s="56">
        <f>'Mortgage and Loans'!BB93</f>
        <v>0</v>
      </c>
      <c r="AK136" s="56">
        <f>'Mortgage and Loans'!BM93</f>
        <v>0</v>
      </c>
      <c r="AL136" s="56">
        <f>'Mortgage and Loans'!T98</f>
        <v>113941.09999999999</v>
      </c>
      <c r="AM136" s="12">
        <f t="shared" si="12"/>
        <v>-117952.53961528944</v>
      </c>
      <c r="AN136" s="75">
        <f t="shared" si="85"/>
        <v>695343.14156835829</v>
      </c>
      <c r="AO136" s="86">
        <f>'Mortgage and Loans'!G99</f>
        <v>1454.82</v>
      </c>
      <c r="AP136" s="79">
        <f>('Salary Tax Breakdown'!B$16/12)-Data!AO136</f>
        <v>1992.68</v>
      </c>
      <c r="AQ136" s="87"/>
      <c r="AR136" s="20">
        <f t="shared" si="223"/>
        <v>4011.4396152894492</v>
      </c>
      <c r="AS136" s="20">
        <v>750</v>
      </c>
      <c r="AT136" s="20">
        <v>0</v>
      </c>
      <c r="AU136" s="20">
        <f t="shared" si="224"/>
        <v>4761.4396152894496</v>
      </c>
      <c r="AV136" s="20">
        <f t="shared" si="225"/>
        <v>4761.4396174385356</v>
      </c>
      <c r="AW136" s="51">
        <f t="shared" si="213"/>
        <v>0</v>
      </c>
      <c r="AX136" s="51">
        <f t="shared" si="14"/>
        <v>0</v>
      </c>
      <c r="AY136" s="51">
        <f t="shared" si="15"/>
        <v>0</v>
      </c>
      <c r="AZ136" s="51">
        <f t="shared" si="16"/>
        <v>0</v>
      </c>
      <c r="BA136" s="51">
        <f t="shared" si="17"/>
        <v>0</v>
      </c>
      <c r="BB136" s="51">
        <f t="shared" si="18"/>
        <v>0</v>
      </c>
      <c r="BC136" s="51">
        <f t="shared" si="19"/>
        <v>0</v>
      </c>
      <c r="BD136" s="51">
        <f t="shared" si="20"/>
        <v>0</v>
      </c>
      <c r="BE136" s="51">
        <f t="shared" si="21"/>
        <v>0</v>
      </c>
      <c r="BF136" s="51">
        <f t="shared" si="22"/>
        <v>0</v>
      </c>
      <c r="BG136" s="51">
        <f t="shared" si="23"/>
        <v>0</v>
      </c>
      <c r="BH136" s="51">
        <f t="shared" si="24"/>
        <v>0</v>
      </c>
      <c r="BI136" s="51">
        <f t="shared" si="226"/>
        <v>0</v>
      </c>
      <c r="BJ136" s="51">
        <f t="shared" si="227"/>
        <v>0</v>
      </c>
      <c r="BK136" s="51">
        <f t="shared" si="228"/>
        <v>0</v>
      </c>
      <c r="BL136" s="51">
        <f t="shared" si="229"/>
        <v>0</v>
      </c>
      <c r="BM136" s="51">
        <f t="shared" si="230"/>
        <v>0</v>
      </c>
      <c r="BN136" s="51">
        <f t="shared" si="231"/>
        <v>0</v>
      </c>
      <c r="BO136" s="51">
        <f t="shared" si="232"/>
        <v>0</v>
      </c>
      <c r="BP136" s="51">
        <f t="shared" si="233"/>
        <v>0</v>
      </c>
      <c r="BQ136" s="51">
        <f t="shared" si="234"/>
        <v>0</v>
      </c>
      <c r="BR136" s="51">
        <f t="shared" si="235"/>
        <v>0</v>
      </c>
      <c r="BS136" s="51">
        <f t="shared" si="236"/>
        <v>0</v>
      </c>
      <c r="BT136" s="51">
        <f t="shared" si="237"/>
        <v>0</v>
      </c>
      <c r="BU136" s="20">
        <f t="shared" si="238"/>
        <v>4761.4396155907971</v>
      </c>
      <c r="BV136" s="20">
        <f t="shared" si="239"/>
        <v>4761.4396151103583</v>
      </c>
      <c r="BW136" s="20">
        <f t="shared" si="240"/>
        <v>57137.275383473396</v>
      </c>
      <c r="BX136" s="20">
        <f t="shared" si="241"/>
        <v>57137.275387089569</v>
      </c>
      <c r="BY136" s="20">
        <f t="shared" si="242"/>
        <v>57137.275381324303</v>
      </c>
      <c r="BZ136" s="21">
        <f t="shared" si="243"/>
        <v>57137.275383962413</v>
      </c>
      <c r="CA136" s="19">
        <f t="shared" si="216"/>
        <v>1428431.8845990603</v>
      </c>
      <c r="CB136" s="20">
        <f t="shared" si="244"/>
        <v>1428431.8846750527</v>
      </c>
      <c r="CC136" s="20">
        <f t="shared" si="245"/>
        <v>1428431.8845505591</v>
      </c>
      <c r="CD136" s="20">
        <f t="shared" si="217"/>
        <v>0</v>
      </c>
      <c r="CE136" s="20">
        <f t="shared" si="220"/>
        <v>1400000</v>
      </c>
      <c r="CF136" s="20">
        <f t="shared" si="214"/>
        <v>724043.03112864052</v>
      </c>
      <c r="CG136" s="20">
        <f t="shared" si="246"/>
        <v>28961.721245145622</v>
      </c>
      <c r="CH136" s="20">
        <f t="shared" si="215"/>
        <v>2413.476770428802</v>
      </c>
      <c r="CI136" s="20">
        <f t="shared" si="247"/>
        <v>713460.09473829658</v>
      </c>
      <c r="CJ136" s="24">
        <f t="shared" si="248"/>
        <v>0.50687963416144943</v>
      </c>
      <c r="CK136" s="24">
        <f t="shared" si="249"/>
        <v>1.4860338687257639E-2</v>
      </c>
      <c r="CL136" s="24">
        <f t="shared" si="250"/>
        <v>4.5688198392181169E-2</v>
      </c>
      <c r="CM136" s="25">
        <f t="shared" si="251"/>
        <v>0.20568898590648182</v>
      </c>
      <c r="CN136" s="17"/>
      <c r="CO136" s="17"/>
      <c r="CP136" s="17"/>
      <c r="CQ136" s="17"/>
      <c r="CR136" s="17"/>
      <c r="CS136" s="17"/>
      <c r="CT136" s="17"/>
      <c r="CU136" s="17"/>
      <c r="CV136" s="17"/>
      <c r="CW136" s="30">
        <v>0</v>
      </c>
      <c r="CX136" s="17"/>
      <c r="CY136" s="17"/>
      <c r="CZ136" s="17"/>
      <c r="DA136" s="17"/>
      <c r="DB136" s="17"/>
    </row>
    <row r="137" spans="1:106" ht="15.75" thickBot="1" x14ac:dyDescent="0.3">
      <c r="A137" s="5">
        <f t="shared" si="218"/>
        <v>35</v>
      </c>
      <c r="B137" s="5">
        <f t="shared" si="218"/>
        <v>33</v>
      </c>
      <c r="C137" s="1">
        <v>46388</v>
      </c>
      <c r="D137" s="4"/>
      <c r="E137" s="30"/>
      <c r="F137" s="30"/>
      <c r="G137" s="30">
        <f t="shared" si="222"/>
        <v>0</v>
      </c>
      <c r="H137" s="30"/>
      <c r="I137" s="10">
        <v>0</v>
      </c>
      <c r="J137" s="60">
        <v>9000</v>
      </c>
      <c r="K137" s="11">
        <v>550</v>
      </c>
      <c r="L137" s="60">
        <f t="shared" si="72"/>
        <v>10251.121877990499</v>
      </c>
      <c r="M137" s="11">
        <v>305</v>
      </c>
      <c r="N137" s="60">
        <v>0</v>
      </c>
      <c r="O137" s="11">
        <v>0</v>
      </c>
      <c r="P137" s="11">
        <v>0</v>
      </c>
      <c r="Q137" s="60">
        <f>(Q136*($K$1/12))+Q136 + $Q$6</f>
        <v>105729.28286507023</v>
      </c>
      <c r="R137" s="60">
        <f>(R136*($K$1/12))+R136</f>
        <v>7774.1794198158241</v>
      </c>
      <c r="S137" s="60">
        <f>(S136*($K$1/12))+S136</f>
        <v>6749.5472970010069</v>
      </c>
      <c r="T137" s="60">
        <f>(T136*($K$1/12))+T136+$T$6 + ((3%/12)*T$11)</f>
        <v>423750.3324482867</v>
      </c>
      <c r="U137" s="60">
        <f>(U136*$K$1/12) + U136 + ((U$11/12*7%))</f>
        <v>55407.903416933077</v>
      </c>
      <c r="V137" s="60">
        <v>3100</v>
      </c>
      <c r="W137" s="60">
        <f>(W136*($K$1/12))+W136+$W$6</f>
        <v>38193.712321504274</v>
      </c>
      <c r="X137" s="11">
        <v>0</v>
      </c>
      <c r="Y137" s="60">
        <f>(Y136*($K$1/12))+Y136+$Y$7</f>
        <v>97097.47644530941</v>
      </c>
      <c r="Z137" s="60">
        <f>'Mortgage and Loans'!U99</f>
        <v>67121.570000000007</v>
      </c>
      <c r="AA137" s="12">
        <f t="shared" si="212"/>
        <v>825030.12609191099</v>
      </c>
      <c r="AB137" s="56">
        <f t="shared" si="221"/>
        <v>750</v>
      </c>
      <c r="AC137" s="56">
        <f t="shared" si="221"/>
        <v>750</v>
      </c>
      <c r="AD137" s="56">
        <f t="shared" si="221"/>
        <v>750</v>
      </c>
      <c r="AE137" s="56">
        <f t="shared" si="221"/>
        <v>750</v>
      </c>
      <c r="AF137" s="56">
        <f t="shared" si="219"/>
        <v>261.4396151103586</v>
      </c>
      <c r="AG137" s="56">
        <f t="shared" si="221"/>
        <v>750</v>
      </c>
      <c r="AH137" s="56">
        <f>'Mortgage and Loans'!AF94</f>
        <v>0</v>
      </c>
      <c r="AI137" s="56">
        <f>'Mortgage and Loans'!AQ94</f>
        <v>0</v>
      </c>
      <c r="AJ137" s="56">
        <f>'Mortgage and Loans'!BB94</f>
        <v>0</v>
      </c>
      <c r="AK137" s="56">
        <f>'Mortgage and Loans'!BM94</f>
        <v>0</v>
      </c>
      <c r="AL137" s="56">
        <f>'Mortgage and Loans'!T99</f>
        <v>112878.43</v>
      </c>
      <c r="AM137" s="12">
        <f t="shared" si="12"/>
        <v>-116889.86961511035</v>
      </c>
      <c r="AN137" s="75">
        <f t="shared" si="85"/>
        <v>708140.25647680066</v>
      </c>
      <c r="AO137" s="86">
        <f>'Mortgage and Loans'!G100</f>
        <v>1454.82</v>
      </c>
      <c r="AP137" s="79">
        <f>('Salary Tax Breakdown'!B$16/12)-Data!AO137</f>
        <v>1992.68</v>
      </c>
      <c r="AQ137" s="87"/>
      <c r="AR137" s="20">
        <f t="shared" si="223"/>
        <v>4011.4396151103588</v>
      </c>
      <c r="AS137" s="20">
        <v>750</v>
      </c>
      <c r="AT137" s="20">
        <v>0</v>
      </c>
      <c r="AU137" s="20">
        <f t="shared" si="224"/>
        <v>4761.4396151103592</v>
      </c>
      <c r="AV137" s="20">
        <f t="shared" si="225"/>
        <v>4761.4396156164894</v>
      </c>
      <c r="AW137" s="51">
        <f t="shared" si="213"/>
        <v>0</v>
      </c>
      <c r="AX137" s="51">
        <f t="shared" si="14"/>
        <v>0</v>
      </c>
      <c r="AY137" s="51">
        <f t="shared" si="15"/>
        <v>0</v>
      </c>
      <c r="AZ137" s="51">
        <f t="shared" si="16"/>
        <v>0</v>
      </c>
      <c r="BA137" s="51">
        <f t="shared" si="17"/>
        <v>0</v>
      </c>
      <c r="BB137" s="51">
        <f t="shared" si="18"/>
        <v>0</v>
      </c>
      <c r="BC137" s="51">
        <f t="shared" si="19"/>
        <v>0</v>
      </c>
      <c r="BD137" s="51">
        <f t="shared" si="20"/>
        <v>0</v>
      </c>
      <c r="BE137" s="51">
        <f t="shared" si="21"/>
        <v>0</v>
      </c>
      <c r="BF137" s="51">
        <f t="shared" si="22"/>
        <v>0</v>
      </c>
      <c r="BG137" s="51">
        <f t="shared" si="23"/>
        <v>0</v>
      </c>
      <c r="BH137" s="51">
        <f t="shared" si="24"/>
        <v>0</v>
      </c>
      <c r="BI137" s="51">
        <f t="shared" si="226"/>
        <v>0</v>
      </c>
      <c r="BJ137" s="51">
        <f t="shared" si="227"/>
        <v>0</v>
      </c>
      <c r="BK137" s="51">
        <f t="shared" si="228"/>
        <v>0</v>
      </c>
      <c r="BL137" s="51">
        <f t="shared" si="229"/>
        <v>0</v>
      </c>
      <c r="BM137" s="51">
        <f t="shared" si="230"/>
        <v>0</v>
      </c>
      <c r="BN137" s="51">
        <f t="shared" si="231"/>
        <v>0</v>
      </c>
      <c r="BO137" s="51">
        <f t="shared" si="232"/>
        <v>0</v>
      </c>
      <c r="BP137" s="51">
        <f t="shared" si="233"/>
        <v>0</v>
      </c>
      <c r="BQ137" s="51">
        <f t="shared" si="234"/>
        <v>0</v>
      </c>
      <c r="BR137" s="51">
        <f t="shared" si="235"/>
        <v>0</v>
      </c>
      <c r="BS137" s="51">
        <f t="shared" si="236"/>
        <v>0</v>
      </c>
      <c r="BT137" s="51">
        <f t="shared" si="237"/>
        <v>0</v>
      </c>
      <c r="BU137" s="20">
        <f t="shared" si="238"/>
        <v>4761.4396153270518</v>
      </c>
      <c r="BV137" s="20">
        <f t="shared" si="239"/>
        <v>4761.4396150681814</v>
      </c>
      <c r="BW137" s="20">
        <f t="shared" si="240"/>
        <v>57137.275381324311</v>
      </c>
      <c r="BX137" s="20">
        <f t="shared" si="241"/>
        <v>57137.275383924622</v>
      </c>
      <c r="BY137" s="20">
        <f t="shared" si="242"/>
        <v>57137.275380818173</v>
      </c>
      <c r="BZ137" s="21">
        <f t="shared" si="243"/>
        <v>57137.275382022373</v>
      </c>
      <c r="CA137" s="19">
        <f t="shared" si="216"/>
        <v>1428431.8845505593</v>
      </c>
      <c r="CB137" s="20">
        <f t="shared" si="244"/>
        <v>1428431.8846078136</v>
      </c>
      <c r="CC137" s="20">
        <f t="shared" si="245"/>
        <v>1428431.88453622</v>
      </c>
      <c r="CD137" s="20">
        <f t="shared" si="217"/>
        <v>0</v>
      </c>
      <c r="CE137" s="20">
        <f t="shared" si="220"/>
        <v>1400000</v>
      </c>
      <c r="CF137" s="20">
        <f t="shared" si="214"/>
        <v>734702.4342139205</v>
      </c>
      <c r="CG137" s="20">
        <f t="shared" si="246"/>
        <v>29388.097368556821</v>
      </c>
      <c r="CH137" s="20">
        <f t="shared" si="215"/>
        <v>2449.0081140464017</v>
      </c>
      <c r="CI137" s="20">
        <f t="shared" si="247"/>
        <v>724062.17358479567</v>
      </c>
      <c r="CJ137" s="24">
        <f t="shared" si="248"/>
        <v>0.51434194526933175</v>
      </c>
      <c r="CK137" s="24">
        <f t="shared" si="249"/>
        <v>1.4722057428912846E-2</v>
      </c>
      <c r="CL137" s="24">
        <f t="shared" si="250"/>
        <v>4.5250261197500218E-2</v>
      </c>
      <c r="CM137" s="25">
        <f t="shared" si="251"/>
        <v>0.20341904040787595</v>
      </c>
      <c r="CN137" s="17"/>
      <c r="CO137" s="17"/>
      <c r="CP137" s="17"/>
      <c r="CQ137" s="17"/>
      <c r="CR137" s="17"/>
      <c r="CS137" s="17"/>
      <c r="CT137" s="17"/>
      <c r="CU137" s="17"/>
      <c r="CV137" s="17"/>
      <c r="CW137" s="30">
        <v>0</v>
      </c>
      <c r="CX137" s="17"/>
      <c r="CY137" s="17"/>
      <c r="CZ137" s="17"/>
      <c r="DA137" s="17"/>
      <c r="DB137" s="17"/>
    </row>
    <row r="138" spans="1:106" ht="15.75" thickBot="1" x14ac:dyDescent="0.3">
      <c r="A138" s="5">
        <f t="shared" si="218"/>
        <v>35</v>
      </c>
      <c r="B138" s="5">
        <f t="shared" si="218"/>
        <v>33</v>
      </c>
      <c r="C138" s="1">
        <v>46419</v>
      </c>
      <c r="D138" s="4"/>
      <c r="E138" s="30"/>
      <c r="F138" s="30"/>
      <c r="G138" s="30">
        <f t="shared" si="222"/>
        <v>0</v>
      </c>
      <c r="H138" s="30"/>
      <c r="I138" s="10">
        <v>0</v>
      </c>
      <c r="J138" s="60">
        <v>9000</v>
      </c>
      <c r="K138" s="11">
        <v>550</v>
      </c>
      <c r="L138" s="60">
        <f t="shared" si="72"/>
        <v>10263.508650259737</v>
      </c>
      <c r="M138" s="11">
        <v>305</v>
      </c>
      <c r="N138" s="60">
        <v>0</v>
      </c>
      <c r="O138" s="11">
        <v>0</v>
      </c>
      <c r="P138" s="11">
        <v>0</v>
      </c>
      <c r="Q138" s="60">
        <f>(Q137*($K$1/12))+Q137 + $Q$6</f>
        <v>107218.65314725603</v>
      </c>
      <c r="R138" s="60">
        <f>(R137*($K$1/12))+R137</f>
        <v>7816.2895583398267</v>
      </c>
      <c r="S138" s="60">
        <f>(S137*($K$1/12))+S137</f>
        <v>6786.1073448597626</v>
      </c>
      <c r="T138" s="60">
        <f>(T137*($K$1/12))+T137+$T$6 + ((3%/12)*T$11)</f>
        <v>429220.64674904826</v>
      </c>
      <c r="U138" s="60">
        <f>(U137*$K$1/12) + U137 + ((U$11/12*7%))</f>
        <v>56116.3628937748</v>
      </c>
      <c r="V138" s="60">
        <v>3100</v>
      </c>
      <c r="W138" s="60">
        <f>(W137*($K$1/12))+W137+$W$6</f>
        <v>38688.094929912419</v>
      </c>
      <c r="X138" s="11">
        <v>0</v>
      </c>
      <c r="Y138" s="60">
        <f>(Y137*($K$1/12))+Y137+$Y$7</f>
        <v>99573.421109388175</v>
      </c>
      <c r="Z138" s="60">
        <f>'Mortgage and Loans'!U100</f>
        <v>68187.899999999994</v>
      </c>
      <c r="AA138" s="12">
        <f t="shared" si="212"/>
        <v>836825.98438283906</v>
      </c>
      <c r="AB138" s="56">
        <f t="shared" si="221"/>
        <v>750</v>
      </c>
      <c r="AC138" s="56">
        <f t="shared" si="221"/>
        <v>750</v>
      </c>
      <c r="AD138" s="56">
        <f t="shared" si="221"/>
        <v>750</v>
      </c>
      <c r="AE138" s="56">
        <f t="shared" si="221"/>
        <v>750</v>
      </c>
      <c r="AF138" s="56">
        <f t="shared" si="219"/>
        <v>261.43961506818101</v>
      </c>
      <c r="AG138" s="56">
        <f t="shared" si="221"/>
        <v>750</v>
      </c>
      <c r="AH138" s="56">
        <f>'Mortgage and Loans'!AF95</f>
        <v>0</v>
      </c>
      <c r="AI138" s="56">
        <f>'Mortgage and Loans'!AQ95</f>
        <v>0</v>
      </c>
      <c r="AJ138" s="56">
        <f>'Mortgage and Loans'!BB95</f>
        <v>0</v>
      </c>
      <c r="AK138" s="56">
        <f>'Mortgage and Loans'!BM95</f>
        <v>0</v>
      </c>
      <c r="AL138" s="56">
        <f>'Mortgage and Loans'!T100</f>
        <v>111812.09999999999</v>
      </c>
      <c r="AM138" s="12">
        <f t="shared" si="12"/>
        <v>-115823.53961506818</v>
      </c>
      <c r="AN138" s="75">
        <f t="shared" si="85"/>
        <v>721002.44476777082</v>
      </c>
      <c r="AO138" s="86">
        <f>'Mortgage and Loans'!G101</f>
        <v>1454.82</v>
      </c>
      <c r="AP138" s="79">
        <f>('Salary Tax Breakdown'!B$16/12)-Data!AO138</f>
        <v>1992.68</v>
      </c>
      <c r="AQ138" s="87"/>
      <c r="AR138" s="20">
        <f t="shared" si="223"/>
        <v>4011.439615068181</v>
      </c>
      <c r="AS138" s="20">
        <v>750</v>
      </c>
      <c r="AT138" s="20">
        <v>0</v>
      </c>
      <c r="AU138" s="20">
        <f t="shared" si="224"/>
        <v>4761.4396150681805</v>
      </c>
      <c r="AV138" s="20">
        <f t="shared" si="225"/>
        <v>4761.4396142300784</v>
      </c>
      <c r="AW138" s="51">
        <f t="shared" si="213"/>
        <v>0</v>
      </c>
      <c r="AX138" s="51">
        <f t="shared" si="14"/>
        <v>0</v>
      </c>
      <c r="AY138" s="51">
        <f t="shared" si="15"/>
        <v>0</v>
      </c>
      <c r="AZ138" s="51">
        <f t="shared" si="16"/>
        <v>0</v>
      </c>
      <c r="BA138" s="51">
        <f t="shared" si="17"/>
        <v>0</v>
      </c>
      <c r="BB138" s="51">
        <f t="shared" si="18"/>
        <v>0</v>
      </c>
      <c r="BC138" s="51">
        <f t="shared" si="19"/>
        <v>0</v>
      </c>
      <c r="BD138" s="51">
        <f t="shared" si="20"/>
        <v>0</v>
      </c>
      <c r="BE138" s="51">
        <f t="shared" si="21"/>
        <v>0</v>
      </c>
      <c r="BF138" s="51">
        <f t="shared" si="22"/>
        <v>0</v>
      </c>
      <c r="BG138" s="51">
        <f t="shared" si="23"/>
        <v>0</v>
      </c>
      <c r="BH138" s="51">
        <f t="shared" si="24"/>
        <v>0</v>
      </c>
      <c r="BI138" s="51">
        <f t="shared" si="226"/>
        <v>0</v>
      </c>
      <c r="BJ138" s="51">
        <f t="shared" si="227"/>
        <v>0</v>
      </c>
      <c r="BK138" s="51">
        <f t="shared" si="228"/>
        <v>0</v>
      </c>
      <c r="BL138" s="51">
        <f t="shared" si="229"/>
        <v>0</v>
      </c>
      <c r="BM138" s="51">
        <f t="shared" si="230"/>
        <v>0</v>
      </c>
      <c r="BN138" s="51">
        <f t="shared" si="231"/>
        <v>0</v>
      </c>
      <c r="BO138" s="51">
        <f t="shared" si="232"/>
        <v>0</v>
      </c>
      <c r="BP138" s="51">
        <f t="shared" si="233"/>
        <v>0</v>
      </c>
      <c r="BQ138" s="51">
        <f t="shared" si="234"/>
        <v>0</v>
      </c>
      <c r="BR138" s="51">
        <f t="shared" si="235"/>
        <v>0</v>
      </c>
      <c r="BS138" s="51">
        <f t="shared" si="236"/>
        <v>0</v>
      </c>
      <c r="BT138" s="51">
        <f t="shared" si="237"/>
        <v>0</v>
      </c>
      <c r="BU138" s="20">
        <f t="shared" si="238"/>
        <v>4761.4396151559968</v>
      </c>
      <c r="BV138" s="20">
        <f t="shared" si="239"/>
        <v>4761.4396151380224</v>
      </c>
      <c r="BW138" s="20">
        <f t="shared" si="240"/>
        <v>57137.275380818166</v>
      </c>
      <c r="BX138" s="20">
        <f t="shared" si="241"/>
        <v>57137.275381871965</v>
      </c>
      <c r="BY138" s="20">
        <f t="shared" si="242"/>
        <v>57137.275381656269</v>
      </c>
      <c r="BZ138" s="21">
        <f t="shared" si="243"/>
        <v>57137.275381448802</v>
      </c>
      <c r="CA138" s="19">
        <f t="shared" si="216"/>
        <v>1428431.88453622</v>
      </c>
      <c r="CB138" s="20">
        <f t="shared" si="244"/>
        <v>1428431.8845619466</v>
      </c>
      <c r="CC138" s="20">
        <f t="shared" si="245"/>
        <v>1428431.8845510606</v>
      </c>
      <c r="CD138" s="20">
        <f t="shared" si="217"/>
        <v>0</v>
      </c>
      <c r="CE138" s="20">
        <f t="shared" si="220"/>
        <v>1400000</v>
      </c>
      <c r="CF138" s="20">
        <f t="shared" si="214"/>
        <v>745419.57573257911</v>
      </c>
      <c r="CG138" s="20">
        <f t="shared" si="246"/>
        <v>29816.783029303166</v>
      </c>
      <c r="CH138" s="20">
        <f t="shared" si="215"/>
        <v>2484.7319191085971</v>
      </c>
      <c r="CI138" s="20">
        <f t="shared" si="247"/>
        <v>734721.68035838008</v>
      </c>
      <c r="CJ138" s="24">
        <f t="shared" si="248"/>
        <v>0.52184467722181582</v>
      </c>
      <c r="CK138" s="24">
        <f t="shared" si="249"/>
        <v>1.4587050511306921E-2</v>
      </c>
      <c r="CL138" s="24">
        <f t="shared" si="250"/>
        <v>4.4822932571904776E-2</v>
      </c>
      <c r="CM138" s="25">
        <f t="shared" si="251"/>
        <v>0.20121048187451221</v>
      </c>
      <c r="CN138" s="17"/>
      <c r="CO138" s="17"/>
      <c r="CP138" s="17"/>
      <c r="CQ138" s="17"/>
      <c r="CR138" s="17"/>
      <c r="CS138" s="17"/>
      <c r="CT138" s="17"/>
      <c r="CU138" s="17"/>
      <c r="CV138" s="17"/>
      <c r="CW138" s="30">
        <v>0</v>
      </c>
      <c r="CX138" s="17"/>
      <c r="CY138" s="17"/>
      <c r="CZ138" s="17"/>
      <c r="DA138" s="17"/>
      <c r="DB138" s="17"/>
    </row>
    <row r="139" spans="1:106" ht="15.75" thickBot="1" x14ac:dyDescent="0.3">
      <c r="A139" s="5">
        <f t="shared" si="218"/>
        <v>35</v>
      </c>
      <c r="B139" s="5">
        <f t="shared" si="218"/>
        <v>33</v>
      </c>
      <c r="C139" s="1">
        <v>46447</v>
      </c>
      <c r="D139" s="4"/>
      <c r="E139" s="30"/>
      <c r="F139" s="30"/>
      <c r="G139" s="30">
        <f t="shared" si="222"/>
        <v>0</v>
      </c>
      <c r="H139" s="30"/>
      <c r="I139" s="10">
        <v>0</v>
      </c>
      <c r="J139" s="60">
        <v>9000</v>
      </c>
      <c r="K139" s="11">
        <v>550</v>
      </c>
      <c r="L139" s="60">
        <f t="shared" si="72"/>
        <v>10275.9103898788</v>
      </c>
      <c r="M139" s="11">
        <v>305</v>
      </c>
      <c r="N139" s="60">
        <v>0</v>
      </c>
      <c r="O139" s="11">
        <v>0</v>
      </c>
      <c r="P139" s="11">
        <v>0</v>
      </c>
      <c r="Q139" s="60">
        <f>(Q138*($K$1/12))+Q138 + $Q$6</f>
        <v>108716.09085180366</v>
      </c>
      <c r="R139" s="60">
        <f>(R138*($K$1/12))+R138</f>
        <v>7858.6277934475011</v>
      </c>
      <c r="S139" s="60">
        <f>(S138*($K$1/12))+S138</f>
        <v>6822.8654263110866</v>
      </c>
      <c r="T139" s="60">
        <f>(T138*($K$1/12))+T138+$T$6 + ((3%/12)*T$11)</f>
        <v>434720.59191893897</v>
      </c>
      <c r="U139" s="60">
        <f>(U138*$K$1/12) + U138 + ((U$11/12*7%))</f>
        <v>56828.659859449413</v>
      </c>
      <c r="V139" s="60">
        <v>3100</v>
      </c>
      <c r="W139" s="60">
        <f>(W138*($K$1/12))+W138+$W$6</f>
        <v>39185.155444116113</v>
      </c>
      <c r="X139" s="11">
        <v>0</v>
      </c>
      <c r="Y139" s="60">
        <f>(Y138*($K$1/12))+Y138+$Y$7</f>
        <v>102062.77714039736</v>
      </c>
      <c r="Z139" s="60">
        <f>'Mortgage and Loans'!U101</f>
        <v>69257.899999999994</v>
      </c>
      <c r="AA139" s="12">
        <f t="shared" si="212"/>
        <v>848683.57882434281</v>
      </c>
      <c r="AB139" s="56">
        <f t="shared" si="221"/>
        <v>750</v>
      </c>
      <c r="AC139" s="56">
        <f t="shared" si="221"/>
        <v>750</v>
      </c>
      <c r="AD139" s="56">
        <f t="shared" si="221"/>
        <v>750</v>
      </c>
      <c r="AE139" s="56">
        <f t="shared" si="221"/>
        <v>750</v>
      </c>
      <c r="AF139" s="56">
        <f t="shared" si="219"/>
        <v>261.43961513802287</v>
      </c>
      <c r="AG139" s="56">
        <f t="shared" si="221"/>
        <v>750</v>
      </c>
      <c r="AH139" s="56">
        <f>'Mortgage and Loans'!AF96</f>
        <v>0</v>
      </c>
      <c r="AI139" s="56">
        <f>'Mortgage and Loans'!AQ96</f>
        <v>0</v>
      </c>
      <c r="AJ139" s="56">
        <f>'Mortgage and Loans'!BB96</f>
        <v>0</v>
      </c>
      <c r="AK139" s="56">
        <f>'Mortgage and Loans'!BM96</f>
        <v>0</v>
      </c>
      <c r="AL139" s="56">
        <f>'Mortgage and Loans'!T101</f>
        <v>110742.09999999999</v>
      </c>
      <c r="AM139" s="12">
        <f t="shared" si="12"/>
        <v>-114753.53961513801</v>
      </c>
      <c r="AN139" s="75">
        <f t="shared" si="85"/>
        <v>733930.03920920484</v>
      </c>
      <c r="AO139" s="86">
        <f>'Mortgage and Loans'!G102</f>
        <v>1454.82</v>
      </c>
      <c r="AP139" s="79">
        <f>('Salary Tax Breakdown'!B$16/12)-Data!AO139</f>
        <v>1992.68</v>
      </c>
      <c r="AQ139" s="87"/>
      <c r="AR139" s="20">
        <f t="shared" si="223"/>
        <v>4011.4396151380229</v>
      </c>
      <c r="AS139" s="20">
        <v>750</v>
      </c>
      <c r="AT139" s="20">
        <v>0</v>
      </c>
      <c r="AU139" s="20">
        <f t="shared" si="224"/>
        <v>4761.4396151380224</v>
      </c>
      <c r="AV139" s="20">
        <f t="shared" si="225"/>
        <v>4761.4396135895477</v>
      </c>
      <c r="AW139" s="51">
        <f t="shared" si="213"/>
        <v>0</v>
      </c>
      <c r="AX139" s="51">
        <f t="shared" si="14"/>
        <v>0</v>
      </c>
      <c r="AY139" s="51">
        <f t="shared" si="15"/>
        <v>0</v>
      </c>
      <c r="AZ139" s="51">
        <f t="shared" si="16"/>
        <v>0</v>
      </c>
      <c r="BA139" s="51">
        <f t="shared" si="17"/>
        <v>0</v>
      </c>
      <c r="BB139" s="51">
        <f t="shared" si="18"/>
        <v>0</v>
      </c>
      <c r="BC139" s="51">
        <f t="shared" si="19"/>
        <v>0</v>
      </c>
      <c r="BD139" s="51">
        <f t="shared" si="20"/>
        <v>0</v>
      </c>
      <c r="BE139" s="51">
        <f t="shared" si="21"/>
        <v>0</v>
      </c>
      <c r="BF139" s="51">
        <f t="shared" si="22"/>
        <v>0</v>
      </c>
      <c r="BG139" s="51">
        <f t="shared" si="23"/>
        <v>0</v>
      </c>
      <c r="BH139" s="51">
        <f t="shared" si="24"/>
        <v>0</v>
      </c>
      <c r="BI139" s="51">
        <f t="shared" si="226"/>
        <v>0</v>
      </c>
      <c r="BJ139" s="51">
        <f t="shared" si="227"/>
        <v>0</v>
      </c>
      <c r="BK139" s="51">
        <f t="shared" si="228"/>
        <v>0</v>
      </c>
      <c r="BL139" s="51">
        <f t="shared" si="229"/>
        <v>0</v>
      </c>
      <c r="BM139" s="51">
        <f t="shared" si="230"/>
        <v>0</v>
      </c>
      <c r="BN139" s="51">
        <f t="shared" si="231"/>
        <v>0</v>
      </c>
      <c r="BO139" s="51">
        <f t="shared" si="232"/>
        <v>0</v>
      </c>
      <c r="BP139" s="51">
        <f t="shared" si="233"/>
        <v>0</v>
      </c>
      <c r="BQ139" s="51">
        <f t="shared" si="234"/>
        <v>0</v>
      </c>
      <c r="BR139" s="51">
        <f t="shared" si="235"/>
        <v>0</v>
      </c>
      <c r="BS139" s="51">
        <f t="shared" si="236"/>
        <v>0</v>
      </c>
      <c r="BT139" s="51">
        <f t="shared" si="237"/>
        <v>0</v>
      </c>
      <c r="BU139" s="20">
        <f t="shared" si="238"/>
        <v>4761.4396151055207</v>
      </c>
      <c r="BV139" s="20">
        <f t="shared" si="239"/>
        <v>4761.4396152670624</v>
      </c>
      <c r="BW139" s="20">
        <f t="shared" si="240"/>
        <v>57137.275381656269</v>
      </c>
      <c r="BX139" s="20">
        <f t="shared" si="241"/>
        <v>57137.275381266249</v>
      </c>
      <c r="BY139" s="20">
        <f t="shared" si="242"/>
        <v>57137.275383204746</v>
      </c>
      <c r="BZ139" s="21">
        <f t="shared" si="243"/>
        <v>57137.275382042419</v>
      </c>
      <c r="CA139" s="19">
        <f t="shared" si="216"/>
        <v>1428431.8845510604</v>
      </c>
      <c r="CB139" s="20">
        <f t="shared" si="244"/>
        <v>1428431.8845459465</v>
      </c>
      <c r="CC139" s="20">
        <f t="shared" si="245"/>
        <v>1428431.8845822224</v>
      </c>
      <c r="CD139" s="20">
        <f t="shared" si="217"/>
        <v>0</v>
      </c>
      <c r="CE139" s="20">
        <f t="shared" si="220"/>
        <v>1400000</v>
      </c>
      <c r="CF139" s="20">
        <f t="shared" si="214"/>
        <v>756194.768434464</v>
      </c>
      <c r="CG139" s="20">
        <f t="shared" si="246"/>
        <v>30247.79073737856</v>
      </c>
      <c r="CH139" s="20">
        <f t="shared" si="215"/>
        <v>2520.6492281148799</v>
      </c>
      <c r="CI139" s="20">
        <f t="shared" si="247"/>
        <v>745438.92612698779</v>
      </c>
      <c r="CJ139" s="24">
        <f t="shared" si="248"/>
        <v>0.52938804896170077</v>
      </c>
      <c r="CK139" s="24">
        <f t="shared" si="249"/>
        <v>1.4455204897584442E-2</v>
      </c>
      <c r="CL139" s="24">
        <f t="shared" si="250"/>
        <v>4.4405837669213188E-2</v>
      </c>
      <c r="CM139" s="25">
        <f t="shared" si="251"/>
        <v>0.19906088430976332</v>
      </c>
      <c r="CN139" s="17"/>
      <c r="CO139" s="17"/>
      <c r="CP139" s="17"/>
      <c r="CQ139" s="17"/>
      <c r="CR139" s="17"/>
      <c r="CS139" s="17"/>
      <c r="CT139" s="17"/>
      <c r="CU139" s="17"/>
      <c r="CV139" s="17"/>
      <c r="CW139" s="30">
        <v>0</v>
      </c>
      <c r="CX139" s="17"/>
      <c r="CY139" s="17"/>
      <c r="CZ139" s="17"/>
      <c r="DA139" s="17"/>
      <c r="DB139" s="17"/>
    </row>
    <row r="140" spans="1:106" ht="15.75" thickBot="1" x14ac:dyDescent="0.3">
      <c r="A140" s="5">
        <f t="shared" si="218"/>
        <v>35</v>
      </c>
      <c r="B140" s="5">
        <f t="shared" si="218"/>
        <v>33</v>
      </c>
      <c r="C140" s="1">
        <v>46478</v>
      </c>
      <c r="D140" s="4"/>
      <c r="E140" s="30"/>
      <c r="F140" s="30"/>
      <c r="G140" s="30">
        <f t="shared" si="222"/>
        <v>0</v>
      </c>
      <c r="H140" s="30"/>
      <c r="I140" s="10">
        <v>0</v>
      </c>
      <c r="J140" s="60">
        <v>9000</v>
      </c>
      <c r="K140" s="11">
        <v>550</v>
      </c>
      <c r="L140" s="60">
        <f t="shared" si="72"/>
        <v>10288.327114933236</v>
      </c>
      <c r="M140" s="11">
        <v>305</v>
      </c>
      <c r="N140" s="60">
        <v>0</v>
      </c>
      <c r="O140" s="11">
        <v>0</v>
      </c>
      <c r="P140" s="11">
        <v>0</v>
      </c>
      <c r="Q140" s="60">
        <f>(Q139*($K$1/12))+Q139 + $Q$6</f>
        <v>110221.63967725093</v>
      </c>
      <c r="R140" s="60">
        <f>(R139*($K$1/12))+R139</f>
        <v>7901.1953606620082</v>
      </c>
      <c r="S140" s="60">
        <f>(S139*($K$1/12))+S139</f>
        <v>6859.8226140369379</v>
      </c>
      <c r="T140" s="60">
        <f>(T139*($K$1/12))+T139+$T$6 + ((3%/12)*T$11)</f>
        <v>440250.32845849986</v>
      </c>
      <c r="U140" s="60">
        <f>(U139*$K$1/12) + U139 + ((U$11/12*7%))</f>
        <v>57544.815100354768</v>
      </c>
      <c r="V140" s="60">
        <v>3100</v>
      </c>
      <c r="W140" s="60">
        <f>(W139*($K$1/12))+W139+$W$6</f>
        <v>39684.90836943841</v>
      </c>
      <c r="X140" s="11">
        <v>0</v>
      </c>
      <c r="Y140" s="60">
        <f>(Y139*($K$1/12))+Y139+$Y$7</f>
        <v>104565.61718324118</v>
      </c>
      <c r="Z140" s="60">
        <f>'Mortgage and Loans'!U102</f>
        <v>70331.58</v>
      </c>
      <c r="AA140" s="12">
        <f t="shared" si="212"/>
        <v>860603.23387841717</v>
      </c>
      <c r="AB140" s="56">
        <f t="shared" si="221"/>
        <v>750</v>
      </c>
      <c r="AC140" s="56">
        <f t="shared" si="221"/>
        <v>750</v>
      </c>
      <c r="AD140" s="56">
        <f t="shared" si="221"/>
        <v>750</v>
      </c>
      <c r="AE140" s="56">
        <f t="shared" si="221"/>
        <v>750</v>
      </c>
      <c r="AF140" s="56">
        <f t="shared" si="219"/>
        <v>261.43961526706249</v>
      </c>
      <c r="AG140" s="56">
        <f t="shared" si="221"/>
        <v>750</v>
      </c>
      <c r="AH140" s="56">
        <f>'Mortgage and Loans'!AF97</f>
        <v>0</v>
      </c>
      <c r="AI140" s="56">
        <f>'Mortgage and Loans'!AQ97</f>
        <v>0</v>
      </c>
      <c r="AJ140" s="56">
        <f>'Mortgage and Loans'!BB97</f>
        <v>0</v>
      </c>
      <c r="AK140" s="56">
        <f>'Mortgage and Loans'!BM97</f>
        <v>0</v>
      </c>
      <c r="AL140" s="56">
        <f>'Mortgage and Loans'!T102</f>
        <v>109668.41999999998</v>
      </c>
      <c r="AM140" s="12">
        <f t="shared" si="12"/>
        <v>-113679.85961526705</v>
      </c>
      <c r="AN140" s="75">
        <f t="shared" si="85"/>
        <v>746923.37426315015</v>
      </c>
      <c r="AO140" s="86">
        <f>'Mortgage and Loans'!G103</f>
        <v>1454.82</v>
      </c>
      <c r="AP140" s="79">
        <f>('Salary Tax Breakdown'!B$16/12)-Data!AO140</f>
        <v>1992.68</v>
      </c>
      <c r="AQ140" s="87"/>
      <c r="AR140" s="20">
        <f t="shared" si="223"/>
        <v>4011.4396152670624</v>
      </c>
      <c r="AS140" s="20">
        <v>750</v>
      </c>
      <c r="AT140" s="20">
        <v>0</v>
      </c>
      <c r="AU140" s="20">
        <f t="shared" si="224"/>
        <v>4761.4396152670624</v>
      </c>
      <c r="AV140" s="20">
        <f t="shared" si="225"/>
        <v>4761.4396137029526</v>
      </c>
      <c r="AW140" s="51">
        <f t="shared" si="213"/>
        <v>0</v>
      </c>
      <c r="AX140" s="51">
        <f t="shared" si="14"/>
        <v>0</v>
      </c>
      <c r="AY140" s="51">
        <f t="shared" si="15"/>
        <v>0</v>
      </c>
      <c r="AZ140" s="51">
        <f t="shared" si="16"/>
        <v>0</v>
      </c>
      <c r="BA140" s="51">
        <f t="shared" si="17"/>
        <v>0</v>
      </c>
      <c r="BB140" s="51">
        <f t="shared" si="18"/>
        <v>0</v>
      </c>
      <c r="BC140" s="51">
        <f t="shared" si="19"/>
        <v>0</v>
      </c>
      <c r="BD140" s="51">
        <f t="shared" si="20"/>
        <v>0</v>
      </c>
      <c r="BE140" s="51">
        <f t="shared" si="21"/>
        <v>0</v>
      </c>
      <c r="BF140" s="51">
        <f t="shared" si="22"/>
        <v>0</v>
      </c>
      <c r="BG140" s="51">
        <f t="shared" si="23"/>
        <v>0</v>
      </c>
      <c r="BH140" s="51">
        <f t="shared" si="24"/>
        <v>0</v>
      </c>
      <c r="BI140" s="51">
        <f t="shared" si="226"/>
        <v>0</v>
      </c>
      <c r="BJ140" s="51">
        <f t="shared" si="227"/>
        <v>0</v>
      </c>
      <c r="BK140" s="51">
        <f t="shared" si="228"/>
        <v>0</v>
      </c>
      <c r="BL140" s="51">
        <f t="shared" si="229"/>
        <v>0</v>
      </c>
      <c r="BM140" s="51">
        <f t="shared" si="230"/>
        <v>0</v>
      </c>
      <c r="BN140" s="51">
        <f t="shared" si="231"/>
        <v>0</v>
      </c>
      <c r="BO140" s="51">
        <f t="shared" si="232"/>
        <v>0</v>
      </c>
      <c r="BP140" s="51">
        <f t="shared" si="233"/>
        <v>0</v>
      </c>
      <c r="BQ140" s="51">
        <f t="shared" si="234"/>
        <v>0</v>
      </c>
      <c r="BR140" s="51">
        <f t="shared" si="235"/>
        <v>0</v>
      </c>
      <c r="BS140" s="51">
        <f t="shared" si="236"/>
        <v>0</v>
      </c>
      <c r="BT140" s="51">
        <f t="shared" si="237"/>
        <v>0</v>
      </c>
      <c r="BU140" s="20">
        <f t="shared" si="238"/>
        <v>4761.4396151577557</v>
      </c>
      <c r="BV140" s="20">
        <f t="shared" si="239"/>
        <v>4761.4396153974039</v>
      </c>
      <c r="BW140" s="20">
        <f t="shared" si="240"/>
        <v>57137.275383204746</v>
      </c>
      <c r="BX140" s="20">
        <f t="shared" si="241"/>
        <v>57137.275381893065</v>
      </c>
      <c r="BY140" s="20">
        <f t="shared" si="242"/>
        <v>57137.275384768844</v>
      </c>
      <c r="BZ140" s="21">
        <f t="shared" si="243"/>
        <v>57137.275383288885</v>
      </c>
      <c r="CA140" s="19">
        <f t="shared" si="216"/>
        <v>1428431.884582222</v>
      </c>
      <c r="CB140" s="20">
        <f t="shared" si="244"/>
        <v>1428431.8845565009</v>
      </c>
      <c r="CC140" s="20">
        <f t="shared" si="245"/>
        <v>1428431.8846151372</v>
      </c>
      <c r="CD140" s="20">
        <f t="shared" si="217"/>
        <v>0</v>
      </c>
      <c r="CE140" s="20">
        <f t="shared" si="220"/>
        <v>1400000</v>
      </c>
      <c r="CF140" s="20">
        <f t="shared" si="214"/>
        <v>767028.32676348404</v>
      </c>
      <c r="CG140" s="20">
        <f t="shared" si="246"/>
        <v>30681.133070539363</v>
      </c>
      <c r="CH140" s="20">
        <f t="shared" si="215"/>
        <v>2556.7610892116136</v>
      </c>
      <c r="CI140" s="20">
        <f t="shared" si="247"/>
        <v>756214.22364350909</v>
      </c>
      <c r="CJ140" s="24">
        <f t="shared" si="248"/>
        <v>0.53697228062199887</v>
      </c>
      <c r="CK140" s="24">
        <f t="shared" si="249"/>
        <v>1.4326412693185592E-2</v>
      </c>
      <c r="CL140" s="24">
        <f t="shared" si="250"/>
        <v>4.3998619092843978E-2</v>
      </c>
      <c r="CM140" s="25">
        <f t="shared" si="251"/>
        <v>0.19696794786623092</v>
      </c>
      <c r="CN140" s="17"/>
      <c r="CO140" s="17"/>
      <c r="CP140" s="17"/>
      <c r="CQ140" s="17"/>
      <c r="CR140" s="17"/>
      <c r="CS140" s="17"/>
      <c r="CT140" s="17"/>
      <c r="CU140" s="17"/>
      <c r="CV140" s="17"/>
      <c r="CW140" s="30">
        <v>0</v>
      </c>
      <c r="CX140" s="17"/>
      <c r="CY140" s="17"/>
      <c r="CZ140" s="17"/>
      <c r="DA140" s="17"/>
      <c r="DB140" s="17"/>
    </row>
    <row r="141" spans="1:106" ht="15.75" thickBot="1" x14ac:dyDescent="0.3">
      <c r="A141" s="5">
        <f t="shared" si="218"/>
        <v>35</v>
      </c>
      <c r="B141" s="5">
        <f t="shared" si="218"/>
        <v>33</v>
      </c>
      <c r="C141" s="1">
        <v>46508</v>
      </c>
      <c r="D141" s="4"/>
      <c r="E141" s="30"/>
      <c r="F141" s="30"/>
      <c r="G141" s="30">
        <f t="shared" si="222"/>
        <v>0</v>
      </c>
      <c r="H141" s="30"/>
      <c r="I141" s="10">
        <v>0</v>
      </c>
      <c r="J141" s="60">
        <v>9000</v>
      </c>
      <c r="K141" s="11">
        <v>550</v>
      </c>
      <c r="L141" s="60">
        <f t="shared" si="72"/>
        <v>10300.758843530446</v>
      </c>
      <c r="M141" s="11">
        <v>305</v>
      </c>
      <c r="N141" s="60">
        <v>0</v>
      </c>
      <c r="O141" s="11">
        <v>0</v>
      </c>
      <c r="P141" s="11">
        <v>0</v>
      </c>
      <c r="Q141" s="60">
        <f>(Q140*($K$1/12))+Q140 + $Q$6</f>
        <v>111735.34355883604</v>
      </c>
      <c r="R141" s="60">
        <f>(R140*($K$1/12))+R140</f>
        <v>7943.9935021989277</v>
      </c>
      <c r="S141" s="60">
        <f>(S140*($K$1/12))+S140</f>
        <v>6896.9799865296382</v>
      </c>
      <c r="T141" s="60">
        <f>(T140*($K$1/12))+T140+$T$6 + ((3%/12)*T$11)</f>
        <v>445810.01773765008</v>
      </c>
      <c r="U141" s="60">
        <f>(U140*$K$1/12) + U140 + ((U$11/12*7%))</f>
        <v>58264.849515481692</v>
      </c>
      <c r="V141" s="60">
        <v>3100</v>
      </c>
      <c r="W141" s="60">
        <f>(W140*($K$1/12))+W140+$W$6</f>
        <v>40187.368289772865</v>
      </c>
      <c r="X141" s="11">
        <v>0</v>
      </c>
      <c r="Y141" s="60">
        <f>(Y140*($K$1/12))+Y140+$Y$7</f>
        <v>107082.01427631707</v>
      </c>
      <c r="Z141" s="60">
        <f>'Mortgage and Loans'!U103</f>
        <v>71408.959999999992</v>
      </c>
      <c r="AA141" s="12">
        <f t="shared" si="212"/>
        <v>872585.28571031685</v>
      </c>
      <c r="AB141" s="56">
        <f t="shared" si="221"/>
        <v>750</v>
      </c>
      <c r="AC141" s="56">
        <f t="shared" si="221"/>
        <v>750</v>
      </c>
      <c r="AD141" s="56">
        <f t="shared" si="221"/>
        <v>750</v>
      </c>
      <c r="AE141" s="56">
        <f t="shared" si="221"/>
        <v>750</v>
      </c>
      <c r="AF141" s="56">
        <f t="shared" si="219"/>
        <v>261.43961539740496</v>
      </c>
      <c r="AG141" s="56">
        <f t="shared" si="221"/>
        <v>750</v>
      </c>
      <c r="AH141" s="56">
        <f>'Mortgage and Loans'!AF98</f>
        <v>0</v>
      </c>
      <c r="AI141" s="56">
        <f>'Mortgage and Loans'!AQ98</f>
        <v>0</v>
      </c>
      <c r="AJ141" s="56">
        <f>'Mortgage and Loans'!BB98</f>
        <v>0</v>
      </c>
      <c r="AK141" s="56">
        <f>'Mortgage and Loans'!BM98</f>
        <v>0</v>
      </c>
      <c r="AL141" s="56">
        <f>'Mortgage and Loans'!T103</f>
        <v>108591.03999999998</v>
      </c>
      <c r="AM141" s="12">
        <f t="shared" si="12"/>
        <v>-112602.47961539739</v>
      </c>
      <c r="AN141" s="75">
        <f t="shared" si="85"/>
        <v>759982.80609491945</v>
      </c>
      <c r="AO141" s="86">
        <f>'Mortgage and Loans'!G104</f>
        <v>1454.82</v>
      </c>
      <c r="AP141" s="79">
        <f>('Salary Tax Breakdown'!B$16/12)-Data!AO141</f>
        <v>1992.68</v>
      </c>
      <c r="AQ141" s="87"/>
      <c r="AR141" s="20">
        <f t="shared" si="223"/>
        <v>4011.4396153974049</v>
      </c>
      <c r="AS141" s="20">
        <v>750</v>
      </c>
      <c r="AT141" s="20">
        <v>0</v>
      </c>
      <c r="AU141" s="20">
        <f t="shared" si="224"/>
        <v>4761.4396153974049</v>
      </c>
      <c r="AV141" s="20">
        <f t="shared" si="225"/>
        <v>4761.4396143286094</v>
      </c>
      <c r="AW141" s="51">
        <f t="shared" si="213"/>
        <v>0</v>
      </c>
      <c r="AX141" s="51">
        <f t="shared" si="14"/>
        <v>0</v>
      </c>
      <c r="AY141" s="51">
        <f t="shared" si="15"/>
        <v>0</v>
      </c>
      <c r="AZ141" s="51">
        <f t="shared" si="16"/>
        <v>0</v>
      </c>
      <c r="BA141" s="51">
        <f t="shared" si="17"/>
        <v>0</v>
      </c>
      <c r="BB141" s="51">
        <f t="shared" si="18"/>
        <v>0</v>
      </c>
      <c r="BC141" s="51">
        <f t="shared" si="19"/>
        <v>0</v>
      </c>
      <c r="BD141" s="51">
        <f t="shared" si="20"/>
        <v>0</v>
      </c>
      <c r="BE141" s="51">
        <f t="shared" si="21"/>
        <v>0</v>
      </c>
      <c r="BF141" s="51">
        <f t="shared" si="22"/>
        <v>0</v>
      </c>
      <c r="BG141" s="51">
        <f t="shared" si="23"/>
        <v>0</v>
      </c>
      <c r="BH141" s="51">
        <f t="shared" si="24"/>
        <v>0</v>
      </c>
      <c r="BI141" s="51">
        <f t="shared" si="226"/>
        <v>0</v>
      </c>
      <c r="BJ141" s="51">
        <f t="shared" si="227"/>
        <v>0</v>
      </c>
      <c r="BK141" s="51">
        <f t="shared" si="228"/>
        <v>0</v>
      </c>
      <c r="BL141" s="51">
        <f t="shared" si="229"/>
        <v>0</v>
      </c>
      <c r="BM141" s="51">
        <f t="shared" si="230"/>
        <v>0</v>
      </c>
      <c r="BN141" s="51">
        <f t="shared" si="231"/>
        <v>0</v>
      </c>
      <c r="BO141" s="51">
        <f t="shared" si="232"/>
        <v>0</v>
      </c>
      <c r="BP141" s="51">
        <f t="shared" si="233"/>
        <v>0</v>
      </c>
      <c r="BQ141" s="51">
        <f t="shared" si="234"/>
        <v>0</v>
      </c>
      <c r="BR141" s="51">
        <f t="shared" si="235"/>
        <v>0</v>
      </c>
      <c r="BS141" s="51">
        <f t="shared" si="236"/>
        <v>0</v>
      </c>
      <c r="BT141" s="51">
        <f t="shared" si="237"/>
        <v>0</v>
      </c>
      <c r="BU141" s="20">
        <f t="shared" si="238"/>
        <v>4761.4396152674963</v>
      </c>
      <c r="BV141" s="20">
        <f t="shared" si="239"/>
        <v>4761.4396154864708</v>
      </c>
      <c r="BW141" s="20">
        <f t="shared" si="240"/>
        <v>57137.275384768858</v>
      </c>
      <c r="BX141" s="20">
        <f t="shared" si="241"/>
        <v>57137.275383209955</v>
      </c>
      <c r="BY141" s="20">
        <f t="shared" si="242"/>
        <v>57137.275385837653</v>
      </c>
      <c r="BZ141" s="21">
        <f t="shared" si="243"/>
        <v>57137.275384605491</v>
      </c>
      <c r="CA141" s="19">
        <f t="shared" si="216"/>
        <v>1428431.8846151372</v>
      </c>
      <c r="CB141" s="20">
        <f t="shared" si="244"/>
        <v>1428431.8845828064</v>
      </c>
      <c r="CC141" s="20">
        <f t="shared" si="245"/>
        <v>1428431.884638787</v>
      </c>
      <c r="CD141" s="20">
        <f t="shared" si="217"/>
        <v>0</v>
      </c>
      <c r="CE141" s="20">
        <f t="shared" si="220"/>
        <v>1400000</v>
      </c>
      <c r="CF141" s="20">
        <f t="shared" si="214"/>
        <v>777920.56686678634</v>
      </c>
      <c r="CG141" s="20">
        <f t="shared" si="246"/>
        <v>31116.822674671454</v>
      </c>
      <c r="CH141" s="20">
        <f t="shared" si="215"/>
        <v>2593.0685562226213</v>
      </c>
      <c r="CI141" s="20">
        <f t="shared" si="247"/>
        <v>767047.88735491142</v>
      </c>
      <c r="CJ141" s="24">
        <f t="shared" si="248"/>
        <v>0.54459759353102721</v>
      </c>
      <c r="CK141" s="24">
        <f t="shared" si="249"/>
        <v>1.4200570856701818E-2</v>
      </c>
      <c r="CL141" s="24">
        <f t="shared" si="250"/>
        <v>4.3600935892066019E-2</v>
      </c>
      <c r="CM141" s="25">
        <f t="shared" si="251"/>
        <v>0.19492949075117341</v>
      </c>
      <c r="CN141" s="17"/>
      <c r="CO141" s="17"/>
      <c r="CP141" s="17"/>
      <c r="CQ141" s="17"/>
      <c r="CR141" s="17"/>
      <c r="CS141" s="17"/>
      <c r="CT141" s="17"/>
      <c r="CU141" s="17"/>
      <c r="CV141" s="17"/>
      <c r="CW141" s="30">
        <v>0</v>
      </c>
      <c r="CX141" s="17"/>
      <c r="CY141" s="17"/>
      <c r="CZ141" s="17"/>
      <c r="DA141" s="17"/>
      <c r="DB141" s="17"/>
    </row>
    <row r="142" spans="1:106" ht="15.75" thickBot="1" x14ac:dyDescent="0.3">
      <c r="A142" s="5">
        <f t="shared" si="218"/>
        <v>35</v>
      </c>
      <c r="B142" s="5">
        <f t="shared" si="218"/>
        <v>33</v>
      </c>
      <c r="C142" s="1">
        <v>46539</v>
      </c>
      <c r="D142" s="4"/>
      <c r="E142" s="30"/>
      <c r="F142" s="30"/>
      <c r="G142" s="30">
        <f t="shared" si="222"/>
        <v>0</v>
      </c>
      <c r="H142" s="30"/>
      <c r="I142" s="10">
        <v>0</v>
      </c>
      <c r="J142" s="60">
        <v>9000</v>
      </c>
      <c r="K142" s="11">
        <v>550</v>
      </c>
      <c r="L142" s="60">
        <f t="shared" si="72"/>
        <v>10313.205593799712</v>
      </c>
      <c r="M142" s="11">
        <v>305</v>
      </c>
      <c r="N142" s="60">
        <v>0</v>
      </c>
      <c r="O142" s="11">
        <v>0</v>
      </c>
      <c r="P142" s="11">
        <v>0</v>
      </c>
      <c r="Q142" s="60">
        <f>(Q141*($K$1/12))+Q141 + $Q$6</f>
        <v>113257.24666977974</v>
      </c>
      <c r="R142" s="60">
        <f>(R141*($K$1/12))+R141</f>
        <v>7987.0234670025056</v>
      </c>
      <c r="S142" s="60">
        <f>(S141*($K$1/12))+S141</f>
        <v>6934.3386281233406</v>
      </c>
      <c r="T142" s="60">
        <f>(T141*($K$1/12))+T141+$T$6 + ((3%/12)*T$11)</f>
        <v>451399.82200039568</v>
      </c>
      <c r="U142" s="60">
        <f>(U141*$K$1/12) + U141 + ((U$11/12*7%))</f>
        <v>58988.78411702389</v>
      </c>
      <c r="V142" s="60">
        <v>3100</v>
      </c>
      <c r="W142" s="60">
        <f>(W141*($K$1/12))+W141+$W$6</f>
        <v>40692.549868009133</v>
      </c>
      <c r="X142" s="11">
        <v>0</v>
      </c>
      <c r="Y142" s="60">
        <f>(Y141*($K$1/12))+Y141+$Y$7</f>
        <v>109612.04185364713</v>
      </c>
      <c r="Z142" s="60">
        <f>'Mortgage and Loans'!U104</f>
        <v>72490.049999999988</v>
      </c>
      <c r="AA142" s="12">
        <f t="shared" ref="AA142:AA205" si="252">SUM(I142:Z142)</f>
        <v>884630.06219778117</v>
      </c>
      <c r="AB142" s="56">
        <f t="shared" si="221"/>
        <v>750</v>
      </c>
      <c r="AC142" s="56">
        <f t="shared" si="221"/>
        <v>750</v>
      </c>
      <c r="AD142" s="56">
        <f t="shared" si="221"/>
        <v>750</v>
      </c>
      <c r="AE142" s="56">
        <f t="shared" si="221"/>
        <v>750</v>
      </c>
      <c r="AF142" s="56">
        <f t="shared" si="219"/>
        <v>261.43961548647127</v>
      </c>
      <c r="AG142" s="56">
        <f t="shared" si="221"/>
        <v>750</v>
      </c>
      <c r="AH142" s="56">
        <f>'Mortgage and Loans'!AF99</f>
        <v>0</v>
      </c>
      <c r="AI142" s="56">
        <f>'Mortgage and Loans'!AQ99</f>
        <v>0</v>
      </c>
      <c r="AJ142" s="56">
        <f>'Mortgage and Loans'!BB99</f>
        <v>0</v>
      </c>
      <c r="AK142" s="56">
        <f>'Mortgage and Loans'!BM99</f>
        <v>0</v>
      </c>
      <c r="AL142" s="56">
        <f>'Mortgage and Loans'!T104</f>
        <v>107509.94999999998</v>
      </c>
      <c r="AM142" s="12">
        <f t="shared" si="12"/>
        <v>-111521.38961548645</v>
      </c>
      <c r="AN142" s="75">
        <f t="shared" si="85"/>
        <v>773108.67258229468</v>
      </c>
      <c r="AO142" s="86">
        <f>'Mortgage and Loans'!G105</f>
        <v>1454.82</v>
      </c>
      <c r="AP142" s="79">
        <f>('Salary Tax Breakdown'!B$16/12)-Data!AO142</f>
        <v>1992.68</v>
      </c>
      <c r="AQ142" s="87"/>
      <c r="AR142" s="20">
        <f t="shared" si="223"/>
        <v>4011.4396154864712</v>
      </c>
      <c r="AS142" s="20">
        <v>750</v>
      </c>
      <c r="AT142" s="20">
        <v>0</v>
      </c>
      <c r="AU142" s="20">
        <f t="shared" si="224"/>
        <v>4761.4396154864717</v>
      </c>
      <c r="AV142" s="20">
        <f t="shared" si="225"/>
        <v>4761.4396151111177</v>
      </c>
      <c r="AW142" s="51">
        <f t="shared" ref="AW142:AW205" si="253">IF(D142=0,0,IF(MONTH($D142)=1,1,0))</f>
        <v>0</v>
      </c>
      <c r="AX142" s="51">
        <f t="shared" si="14"/>
        <v>0</v>
      </c>
      <c r="AY142" s="51">
        <f t="shared" si="15"/>
        <v>0</v>
      </c>
      <c r="AZ142" s="51">
        <f t="shared" si="16"/>
        <v>0</v>
      </c>
      <c r="BA142" s="51">
        <f t="shared" si="17"/>
        <v>0</v>
      </c>
      <c r="BB142" s="51">
        <f t="shared" si="18"/>
        <v>0</v>
      </c>
      <c r="BC142" s="51">
        <f t="shared" si="19"/>
        <v>0</v>
      </c>
      <c r="BD142" s="51">
        <f t="shared" si="20"/>
        <v>0</v>
      </c>
      <c r="BE142" s="51">
        <f t="shared" si="21"/>
        <v>0</v>
      </c>
      <c r="BF142" s="51">
        <f t="shared" si="22"/>
        <v>0</v>
      </c>
      <c r="BG142" s="51">
        <f t="shared" si="23"/>
        <v>0</v>
      </c>
      <c r="BH142" s="51">
        <f t="shared" si="24"/>
        <v>0</v>
      </c>
      <c r="BI142" s="51">
        <f t="shared" si="226"/>
        <v>0</v>
      </c>
      <c r="BJ142" s="51">
        <f t="shared" si="227"/>
        <v>0</v>
      </c>
      <c r="BK142" s="51">
        <f t="shared" si="228"/>
        <v>0</v>
      </c>
      <c r="BL142" s="51">
        <f t="shared" si="229"/>
        <v>0</v>
      </c>
      <c r="BM142" s="51">
        <f t="shared" si="230"/>
        <v>0</v>
      </c>
      <c r="BN142" s="51">
        <f t="shared" si="231"/>
        <v>0</v>
      </c>
      <c r="BO142" s="51">
        <f t="shared" si="232"/>
        <v>0</v>
      </c>
      <c r="BP142" s="51">
        <f t="shared" si="233"/>
        <v>0</v>
      </c>
      <c r="BQ142" s="51">
        <f t="shared" si="234"/>
        <v>0</v>
      </c>
      <c r="BR142" s="51">
        <f t="shared" si="235"/>
        <v>0</v>
      </c>
      <c r="BS142" s="51">
        <f t="shared" si="236"/>
        <v>0</v>
      </c>
      <c r="BT142" s="51">
        <f t="shared" si="237"/>
        <v>0</v>
      </c>
      <c r="BU142" s="20">
        <f t="shared" si="238"/>
        <v>4761.4396153836469</v>
      </c>
      <c r="BV142" s="20">
        <f t="shared" si="239"/>
        <v>4761.4396155177501</v>
      </c>
      <c r="BW142" s="20">
        <f t="shared" si="240"/>
        <v>57137.27538583766</v>
      </c>
      <c r="BX142" s="20">
        <f t="shared" si="241"/>
        <v>57137.275384603767</v>
      </c>
      <c r="BY142" s="20">
        <f t="shared" si="242"/>
        <v>57137.275386213005</v>
      </c>
      <c r="BZ142" s="21">
        <f t="shared" si="243"/>
        <v>57137.275385551475</v>
      </c>
      <c r="CA142" s="19">
        <f t="shared" si="216"/>
        <v>1428431.8846387868</v>
      </c>
      <c r="CB142" s="20">
        <f t="shared" si="244"/>
        <v>1428431.8846120487</v>
      </c>
      <c r="CC142" s="20">
        <f t="shared" si="245"/>
        <v>1428431.8846482921</v>
      </c>
      <c r="CD142" s="20">
        <f t="shared" si="217"/>
        <v>0</v>
      </c>
      <c r="CE142" s="20">
        <f t="shared" si="220"/>
        <v>1400000</v>
      </c>
      <c r="CF142" s="20">
        <f t="shared" si="214"/>
        <v>788871.80660398141</v>
      </c>
      <c r="CG142" s="20">
        <f t="shared" si="246"/>
        <v>31554.872264159258</v>
      </c>
      <c r="CH142" s="20">
        <f t="shared" si="215"/>
        <v>2629.572688679938</v>
      </c>
      <c r="CI142" s="20">
        <f t="shared" si="247"/>
        <v>777940.23341141734</v>
      </c>
      <c r="CJ142" s="24">
        <f t="shared" si="248"/>
        <v>0.55226421021694916</v>
      </c>
      <c r="CK142" s="24">
        <f t="shared" si="249"/>
        <v>1.4077580930021105E-2</v>
      </c>
      <c r="CL142" s="24">
        <f t="shared" si="250"/>
        <v>4.3212462626749035E-2</v>
      </c>
      <c r="CM142" s="25">
        <f t="shared" si="251"/>
        <v>0.19294344174731537</v>
      </c>
      <c r="CN142" s="17"/>
      <c r="CO142" s="17"/>
      <c r="CP142" s="17"/>
      <c r="CQ142" s="17"/>
      <c r="CR142" s="17"/>
      <c r="CS142" s="17"/>
      <c r="CT142" s="17"/>
      <c r="CU142" s="17"/>
      <c r="CV142" s="17"/>
      <c r="CW142" s="30">
        <v>0</v>
      </c>
      <c r="CX142" s="17"/>
      <c r="CY142" s="17"/>
      <c r="CZ142" s="17"/>
      <c r="DA142" s="17"/>
      <c r="DB142" s="17"/>
    </row>
    <row r="143" spans="1:106" ht="15.75" thickBot="1" x14ac:dyDescent="0.3">
      <c r="A143" s="5">
        <f t="shared" si="218"/>
        <v>35</v>
      </c>
      <c r="B143" s="5">
        <f t="shared" si="218"/>
        <v>33</v>
      </c>
      <c r="C143" s="1">
        <v>46569</v>
      </c>
      <c r="D143" s="4"/>
      <c r="E143" s="30"/>
      <c r="F143" s="30"/>
      <c r="G143" s="30">
        <f t="shared" si="222"/>
        <v>0</v>
      </c>
      <c r="H143" s="30"/>
      <c r="I143" s="10">
        <v>0</v>
      </c>
      <c r="J143" s="60">
        <v>9000</v>
      </c>
      <c r="K143" s="11">
        <v>550</v>
      </c>
      <c r="L143" s="60">
        <f t="shared" si="72"/>
        <v>10325.66738389222</v>
      </c>
      <c r="M143" s="11">
        <v>305</v>
      </c>
      <c r="N143" s="60">
        <v>0</v>
      </c>
      <c r="O143" s="11">
        <v>0</v>
      </c>
      <c r="P143" s="11">
        <v>0</v>
      </c>
      <c r="Q143" s="60">
        <f>(Q142*($K$1/12))+Q142 + $Q$6</f>
        <v>114787.39342257437</v>
      </c>
      <c r="R143" s="60">
        <f>(R142*($K$1/12))+R142</f>
        <v>8030.2865107821026</v>
      </c>
      <c r="S143" s="60">
        <f>(S142*($K$1/12))+S142</f>
        <v>6971.8996290256755</v>
      </c>
      <c r="T143" s="60">
        <f>(T142*($K$1/12))+T142+$T$6 + ((3%/12)*T$11)</f>
        <v>457019.90436956449</v>
      </c>
      <c r="U143" s="60">
        <f>(U142*$K$1/12) + U142 + ((U$11/12*7%))</f>
        <v>59716.640030991104</v>
      </c>
      <c r="V143" s="60">
        <v>3100</v>
      </c>
      <c r="W143" s="60">
        <f>(W142*($K$1/12))+W142+$W$6</f>
        <v>41200.467846460851</v>
      </c>
      <c r="X143" s="11">
        <v>0</v>
      </c>
      <c r="Y143" s="60">
        <f>(Y142*($K$1/12))+Y142+$Y$7</f>
        <v>112155.77374702104</v>
      </c>
      <c r="Z143" s="60">
        <f>'Mortgage and Loans'!U105</f>
        <v>73574.859999999986</v>
      </c>
      <c r="AA143" s="12">
        <f t="shared" si="252"/>
        <v>896737.89294031181</v>
      </c>
      <c r="AB143" s="56">
        <f t="shared" si="221"/>
        <v>750</v>
      </c>
      <c r="AC143" s="56">
        <f t="shared" si="221"/>
        <v>750</v>
      </c>
      <c r="AD143" s="56">
        <f t="shared" si="221"/>
        <v>750</v>
      </c>
      <c r="AE143" s="56">
        <f t="shared" si="221"/>
        <v>750</v>
      </c>
      <c r="AF143" s="56">
        <f t="shared" si="219"/>
        <v>261.43961551775072</v>
      </c>
      <c r="AG143" s="56">
        <f t="shared" si="221"/>
        <v>750</v>
      </c>
      <c r="AH143" s="56">
        <f>'Mortgage and Loans'!AF100</f>
        <v>0</v>
      </c>
      <c r="AI143" s="56">
        <f>'Mortgage and Loans'!AQ100</f>
        <v>0</v>
      </c>
      <c r="AJ143" s="56">
        <f>'Mortgage and Loans'!BB100</f>
        <v>0</v>
      </c>
      <c r="AK143" s="56">
        <f>'Mortgage and Loans'!BM100</f>
        <v>0</v>
      </c>
      <c r="AL143" s="56">
        <f>'Mortgage and Loans'!T105</f>
        <v>106425.13999999998</v>
      </c>
      <c r="AM143" s="12">
        <f t="shared" si="12"/>
        <v>-110436.57961551774</v>
      </c>
      <c r="AN143" s="75">
        <f t="shared" si="85"/>
        <v>786301.31332479406</v>
      </c>
      <c r="AO143" s="86">
        <f>'Mortgage and Loans'!G106</f>
        <v>1454.82</v>
      </c>
      <c r="AP143" s="79">
        <f>('Salary Tax Breakdown'!B$16/12)-Data!AO143</f>
        <v>1992.68</v>
      </c>
      <c r="AQ143" s="87"/>
      <c r="AR143" s="20">
        <f t="shared" si="223"/>
        <v>4011.4396155177506</v>
      </c>
      <c r="AS143" s="20">
        <v>750</v>
      </c>
      <c r="AT143" s="20">
        <v>0</v>
      </c>
      <c r="AU143" s="20">
        <f t="shared" si="224"/>
        <v>4761.439615517751</v>
      </c>
      <c r="AV143" s="20">
        <f t="shared" si="225"/>
        <v>4761.4396157552283</v>
      </c>
      <c r="AW143" s="51">
        <f t="shared" si="253"/>
        <v>0</v>
      </c>
      <c r="AX143" s="51">
        <f t="shared" si="14"/>
        <v>0</v>
      </c>
      <c r="AY143" s="51">
        <f t="shared" si="15"/>
        <v>0</v>
      </c>
      <c r="AZ143" s="51">
        <f t="shared" si="16"/>
        <v>0</v>
      </c>
      <c r="BA143" s="51">
        <f t="shared" si="17"/>
        <v>0</v>
      </c>
      <c r="BB143" s="51">
        <f t="shared" si="18"/>
        <v>0</v>
      </c>
      <c r="BC143" s="51">
        <f t="shared" si="19"/>
        <v>0</v>
      </c>
      <c r="BD143" s="51">
        <f t="shared" si="20"/>
        <v>0</v>
      </c>
      <c r="BE143" s="51">
        <f t="shared" si="21"/>
        <v>0</v>
      </c>
      <c r="BF143" s="51">
        <f t="shared" si="22"/>
        <v>0</v>
      </c>
      <c r="BG143" s="51">
        <f t="shared" si="23"/>
        <v>0</v>
      </c>
      <c r="BH143" s="51">
        <f t="shared" si="24"/>
        <v>0</v>
      </c>
      <c r="BI143" s="51">
        <f t="shared" si="226"/>
        <v>0</v>
      </c>
      <c r="BJ143" s="51">
        <f t="shared" si="227"/>
        <v>0</v>
      </c>
      <c r="BK143" s="51">
        <f t="shared" si="228"/>
        <v>0</v>
      </c>
      <c r="BL143" s="51">
        <f t="shared" si="229"/>
        <v>0</v>
      </c>
      <c r="BM143" s="51">
        <f t="shared" si="230"/>
        <v>0</v>
      </c>
      <c r="BN143" s="51">
        <f t="shared" si="231"/>
        <v>0</v>
      </c>
      <c r="BO143" s="51">
        <f t="shared" si="232"/>
        <v>0</v>
      </c>
      <c r="BP143" s="51">
        <f t="shared" si="233"/>
        <v>0</v>
      </c>
      <c r="BQ143" s="51">
        <f t="shared" si="234"/>
        <v>0</v>
      </c>
      <c r="BR143" s="51">
        <f t="shared" si="235"/>
        <v>0</v>
      </c>
      <c r="BS143" s="51">
        <f t="shared" si="236"/>
        <v>0</v>
      </c>
      <c r="BT143" s="51">
        <f t="shared" si="237"/>
        <v>0</v>
      </c>
      <c r="BU143" s="20">
        <f t="shared" si="238"/>
        <v>4761.4396154672095</v>
      </c>
      <c r="BV143" s="20">
        <f t="shared" si="239"/>
        <v>4761.4396154979604</v>
      </c>
      <c r="BW143" s="20">
        <f t="shared" si="240"/>
        <v>57137.275386213012</v>
      </c>
      <c r="BX143" s="20">
        <f t="shared" si="241"/>
        <v>57137.27538560651</v>
      </c>
      <c r="BY143" s="20">
        <f t="shared" si="242"/>
        <v>57137.275385975525</v>
      </c>
      <c r="BZ143" s="21">
        <f t="shared" si="243"/>
        <v>57137.27538593168</v>
      </c>
      <c r="CA143" s="19">
        <f t="shared" si="216"/>
        <v>1428431.8846482919</v>
      </c>
      <c r="CB143" s="20">
        <f t="shared" si="244"/>
        <v>1428431.884634072</v>
      </c>
      <c r="CC143" s="20">
        <f t="shared" si="245"/>
        <v>1428431.8846446599</v>
      </c>
      <c r="CD143" s="20">
        <f t="shared" si="217"/>
        <v>0</v>
      </c>
      <c r="CE143" s="20">
        <f t="shared" si="220"/>
        <v>1400000</v>
      </c>
      <c r="CF143" s="20">
        <f t="shared" ref="CF143:CF206" si="254">SUM(O143, P143, Q143, R143, S143, T143, W143, X143, Y143,U143)</f>
        <v>799882.36555641959</v>
      </c>
      <c r="CG143" s="20">
        <f t="shared" si="246"/>
        <v>31995.294622256784</v>
      </c>
      <c r="CH143" s="20">
        <f t="shared" ref="CH143:CH206" si="255">CG143/12</f>
        <v>2666.2745518547322</v>
      </c>
      <c r="CI143" s="20">
        <f t="shared" si="247"/>
        <v>788891.57967572904</v>
      </c>
      <c r="CJ143" s="24">
        <f t="shared" si="248"/>
        <v>0.5599723544124956</v>
      </c>
      <c r="CK143" s="24">
        <f t="shared" si="249"/>
        <v>1.3957348786284549E-2</v>
      </c>
      <c r="CL143" s="24">
        <f t="shared" si="250"/>
        <v>4.2832888495220087E-2</v>
      </c>
      <c r="CM143" s="25">
        <f t="shared" si="251"/>
        <v>0.1910078332951472</v>
      </c>
      <c r="CN143" s="17"/>
      <c r="CO143" s="17"/>
      <c r="CP143" s="17"/>
      <c r="CQ143" s="17"/>
      <c r="CR143" s="17"/>
      <c r="CS143" s="17"/>
      <c r="CT143" s="17"/>
      <c r="CU143" s="17"/>
      <c r="CV143" s="17"/>
      <c r="CW143" s="30">
        <v>0</v>
      </c>
      <c r="CX143" s="17"/>
      <c r="CY143" s="17"/>
      <c r="CZ143" s="17"/>
      <c r="DA143" s="17"/>
      <c r="DB143" s="17"/>
    </row>
    <row r="144" spans="1:106" ht="15.75" thickBot="1" x14ac:dyDescent="0.3">
      <c r="A144" s="5">
        <f t="shared" si="218"/>
        <v>35</v>
      </c>
      <c r="B144" s="5">
        <f t="shared" si="218"/>
        <v>33</v>
      </c>
      <c r="C144" s="1">
        <v>46600</v>
      </c>
      <c r="D144" s="4"/>
      <c r="E144" s="30"/>
      <c r="F144" s="30"/>
      <c r="G144" s="30">
        <f t="shared" si="222"/>
        <v>0</v>
      </c>
      <c r="H144" s="30"/>
      <c r="I144" s="10">
        <v>0</v>
      </c>
      <c r="J144" s="60">
        <v>9000</v>
      </c>
      <c r="K144" s="11">
        <v>550</v>
      </c>
      <c r="L144" s="60">
        <f t="shared" si="72"/>
        <v>10338.144231981089</v>
      </c>
      <c r="M144" s="11">
        <v>305</v>
      </c>
      <c r="N144" s="60">
        <v>0</v>
      </c>
      <c r="O144" s="11">
        <v>0</v>
      </c>
      <c r="P144" s="11">
        <v>0</v>
      </c>
      <c r="Q144" s="60">
        <f>(Q143*($K$1/12))+Q143 + $Q$6</f>
        <v>116325.82847027999</v>
      </c>
      <c r="R144" s="60">
        <f>(R143*($K$1/12))+R143</f>
        <v>8073.7838960488389</v>
      </c>
      <c r="S144" s="60">
        <f>(S143*($K$1/12))+S143</f>
        <v>7009.6640853495646</v>
      </c>
      <c r="T144" s="60">
        <f>(T143*($K$1/12))+T143+$T$6 + ((3%/12)*T$11)</f>
        <v>462670.42885156628</v>
      </c>
      <c r="U144" s="60">
        <f>(U143*$K$1/12) + U143 + ((U$11/12*7%))</f>
        <v>60448.438497825642</v>
      </c>
      <c r="V144" s="60">
        <v>3100</v>
      </c>
      <c r="W144" s="60">
        <f>(W143*($K$1/12))+W143+$W$6</f>
        <v>41711.137047295844</v>
      </c>
      <c r="X144" s="11">
        <v>0</v>
      </c>
      <c r="Y144" s="60">
        <f>(Y143*($K$1/12))+Y143+$Y$7</f>
        <v>114713.28418815073</v>
      </c>
      <c r="Z144" s="60">
        <f>'Mortgage and Loans'!U106</f>
        <v>74663.399999999994</v>
      </c>
      <c r="AA144" s="12">
        <f t="shared" si="252"/>
        <v>908909.10926849802</v>
      </c>
      <c r="AB144" s="56">
        <f t="shared" si="221"/>
        <v>750</v>
      </c>
      <c r="AC144" s="56">
        <f t="shared" si="221"/>
        <v>750</v>
      </c>
      <c r="AD144" s="56">
        <f t="shared" si="221"/>
        <v>750</v>
      </c>
      <c r="AE144" s="56">
        <f t="shared" si="221"/>
        <v>750</v>
      </c>
      <c r="AF144" s="56">
        <f t="shared" si="219"/>
        <v>261.43961549796092</v>
      </c>
      <c r="AG144" s="56">
        <f t="shared" si="221"/>
        <v>750</v>
      </c>
      <c r="AH144" s="56">
        <f>'Mortgage and Loans'!AF101</f>
        <v>0</v>
      </c>
      <c r="AI144" s="56">
        <f>'Mortgage and Loans'!AQ101</f>
        <v>0</v>
      </c>
      <c r="AJ144" s="56">
        <f>'Mortgage and Loans'!BB101</f>
        <v>0</v>
      </c>
      <c r="AK144" s="56">
        <f>'Mortgage and Loans'!BM101</f>
        <v>0</v>
      </c>
      <c r="AL144" s="56">
        <f>'Mortgage and Loans'!T106</f>
        <v>105336.59999999998</v>
      </c>
      <c r="AM144" s="12">
        <f t="shared" si="12"/>
        <v>-109348.03961549794</v>
      </c>
      <c r="AN144" s="75">
        <f t="shared" si="85"/>
        <v>799561.0696530001</v>
      </c>
      <c r="AO144" s="86">
        <f>'Mortgage and Loans'!G107</f>
        <v>1454.82</v>
      </c>
      <c r="AP144" s="79">
        <f>('Salary Tax Breakdown'!B$16/12)-Data!AO144</f>
        <v>1992.68</v>
      </c>
      <c r="AQ144" s="87"/>
      <c r="AR144" s="20">
        <f t="shared" si="223"/>
        <v>4011.4396154979609</v>
      </c>
      <c r="AS144" s="20">
        <v>750</v>
      </c>
      <c r="AT144" s="20">
        <v>0</v>
      </c>
      <c r="AU144" s="20">
        <f t="shared" si="224"/>
        <v>4761.4396154979604</v>
      </c>
      <c r="AV144" s="20">
        <f t="shared" si="225"/>
        <v>4761.4396160985989</v>
      </c>
      <c r="AW144" s="51">
        <f t="shared" si="253"/>
        <v>0</v>
      </c>
      <c r="AX144" s="51">
        <f t="shared" si="14"/>
        <v>0</v>
      </c>
      <c r="AY144" s="51">
        <f t="shared" si="15"/>
        <v>0</v>
      </c>
      <c r="AZ144" s="51">
        <f t="shared" si="16"/>
        <v>0</v>
      </c>
      <c r="BA144" s="51">
        <f t="shared" si="17"/>
        <v>0</v>
      </c>
      <c r="BB144" s="51">
        <f t="shared" si="18"/>
        <v>0</v>
      </c>
      <c r="BC144" s="51">
        <f t="shared" si="19"/>
        <v>0</v>
      </c>
      <c r="BD144" s="51">
        <f t="shared" si="20"/>
        <v>0</v>
      </c>
      <c r="BE144" s="51">
        <f t="shared" si="21"/>
        <v>0</v>
      </c>
      <c r="BF144" s="51">
        <f t="shared" si="22"/>
        <v>0</v>
      </c>
      <c r="BG144" s="51">
        <f t="shared" si="23"/>
        <v>0</v>
      </c>
      <c r="BH144" s="51">
        <f t="shared" si="24"/>
        <v>0</v>
      </c>
      <c r="BI144" s="51">
        <f t="shared" si="226"/>
        <v>0</v>
      </c>
      <c r="BJ144" s="51">
        <f t="shared" si="227"/>
        <v>0</v>
      </c>
      <c r="BK144" s="51">
        <f t="shared" si="228"/>
        <v>0</v>
      </c>
      <c r="BL144" s="51">
        <f t="shared" si="229"/>
        <v>0</v>
      </c>
      <c r="BM144" s="51">
        <f t="shared" si="230"/>
        <v>0</v>
      </c>
      <c r="BN144" s="51">
        <f t="shared" si="231"/>
        <v>0</v>
      </c>
      <c r="BO144" s="51">
        <f t="shared" si="232"/>
        <v>0</v>
      </c>
      <c r="BP144" s="51">
        <f t="shared" si="233"/>
        <v>0</v>
      </c>
      <c r="BQ144" s="51">
        <f t="shared" si="234"/>
        <v>0</v>
      </c>
      <c r="BR144" s="51">
        <f t="shared" si="235"/>
        <v>0</v>
      </c>
      <c r="BS144" s="51">
        <f t="shared" si="236"/>
        <v>0</v>
      </c>
      <c r="BT144" s="51">
        <f t="shared" si="237"/>
        <v>0</v>
      </c>
      <c r="BU144" s="20">
        <f t="shared" si="238"/>
        <v>4761.439615500728</v>
      </c>
      <c r="BV144" s="20">
        <f t="shared" si="239"/>
        <v>4761.4396154479082</v>
      </c>
      <c r="BW144" s="20">
        <f t="shared" si="240"/>
        <v>57137.275385975525</v>
      </c>
      <c r="BX144" s="20">
        <f t="shared" si="241"/>
        <v>57137.27538600874</v>
      </c>
      <c r="BY144" s="20">
        <f t="shared" si="242"/>
        <v>57137.275385374902</v>
      </c>
      <c r="BZ144" s="21">
        <f t="shared" si="243"/>
        <v>57137.275385786394</v>
      </c>
      <c r="CA144" s="19">
        <f t="shared" si="216"/>
        <v>1428431.8846446597</v>
      </c>
      <c r="CB144" s="20">
        <f t="shared" si="244"/>
        <v>1428431.884643913</v>
      </c>
      <c r="CC144" s="20">
        <f t="shared" si="245"/>
        <v>1428431.8846327739</v>
      </c>
      <c r="CD144" s="20">
        <f t="shared" si="217"/>
        <v>0</v>
      </c>
      <c r="CE144" s="20">
        <f t="shared" si="220"/>
        <v>1400000</v>
      </c>
      <c r="CF144" s="20">
        <f t="shared" si="254"/>
        <v>810952.56503651687</v>
      </c>
      <c r="CG144" s="20">
        <f t="shared" si="246"/>
        <v>32438.102601460676</v>
      </c>
      <c r="CH144" s="20">
        <f t="shared" si="255"/>
        <v>2703.1752167883897</v>
      </c>
      <c r="CI144" s="20">
        <f t="shared" si="247"/>
        <v>799902.24573230592</v>
      </c>
      <c r="CJ144" s="24">
        <f t="shared" si="248"/>
        <v>0.56772225106041752</v>
      </c>
      <c r="CK144" s="24">
        <f t="shared" si="249"/>
        <v>1.3839784394292213E-2</v>
      </c>
      <c r="CL144" s="24">
        <f t="shared" si="250"/>
        <v>4.2461916520311054E-2</v>
      </c>
      <c r="CM144" s="25">
        <f t="shared" si="251"/>
        <v>0.1891207950881392</v>
      </c>
      <c r="CN144" s="17"/>
      <c r="CO144" s="17"/>
      <c r="CP144" s="17"/>
      <c r="CQ144" s="17"/>
      <c r="CR144" s="17"/>
      <c r="CS144" s="17"/>
      <c r="CT144" s="17"/>
      <c r="CU144" s="17"/>
      <c r="CV144" s="17"/>
      <c r="CW144" s="30">
        <v>0</v>
      </c>
      <c r="CX144" s="17"/>
      <c r="CY144" s="17"/>
      <c r="CZ144" s="17"/>
      <c r="DA144" s="17"/>
      <c r="DB144" s="17"/>
    </row>
    <row r="145" spans="1:106" ht="15.75" thickBot="1" x14ac:dyDescent="0.3">
      <c r="A145" s="5">
        <f t="shared" si="218"/>
        <v>35</v>
      </c>
      <c r="B145" s="5">
        <f t="shared" si="218"/>
        <v>33</v>
      </c>
      <c r="C145" s="1">
        <v>46631</v>
      </c>
      <c r="D145" s="4"/>
      <c r="E145" s="30"/>
      <c r="F145" s="30"/>
      <c r="G145" s="30">
        <f t="shared" si="222"/>
        <v>0</v>
      </c>
      <c r="H145" s="30"/>
      <c r="I145" s="10">
        <v>0</v>
      </c>
      <c r="J145" s="60">
        <v>9000</v>
      </c>
      <c r="K145" s="11">
        <v>550</v>
      </c>
      <c r="L145" s="60">
        <f t="shared" si="72"/>
        <v>10350.636156261398</v>
      </c>
      <c r="M145" s="11">
        <v>305</v>
      </c>
      <c r="N145" s="60">
        <v>0</v>
      </c>
      <c r="O145" s="11">
        <v>0</v>
      </c>
      <c r="P145" s="11">
        <v>0</v>
      </c>
      <c r="Q145" s="60">
        <f>(Q144*($K$1/12))+Q144 + $Q$6</f>
        <v>117872.59670782734</v>
      </c>
      <c r="R145" s="60">
        <f>(R144*($K$1/12))+R144</f>
        <v>8117.5168921524364</v>
      </c>
      <c r="S145" s="60">
        <f>(S144*($K$1/12))+S144</f>
        <v>7047.6330991452078</v>
      </c>
      <c r="T145" s="60">
        <f>(T144*($K$1/12))+T144+$T$6 + ((3%/12)*T$11)</f>
        <v>468351.56034117891</v>
      </c>
      <c r="U145" s="60">
        <f>(U144*$K$1/12) + U144 + ((U$11/12*7%))</f>
        <v>61184.200873022201</v>
      </c>
      <c r="V145" s="60">
        <v>3100</v>
      </c>
      <c r="W145" s="60">
        <f>(W144*($K$1/12))+W144+$W$6</f>
        <v>42224.572372968694</v>
      </c>
      <c r="X145" s="11">
        <v>0</v>
      </c>
      <c r="Y145" s="60">
        <f>(Y144*($K$1/12))+Y144+$Y$7</f>
        <v>117284.64781083656</v>
      </c>
      <c r="Z145" s="60">
        <f>'Mortgage and Loans'!U107</f>
        <v>75755.69</v>
      </c>
      <c r="AA145" s="12">
        <f t="shared" si="252"/>
        <v>921144.05425339262</v>
      </c>
      <c r="AB145" s="56">
        <f t="shared" si="221"/>
        <v>750</v>
      </c>
      <c r="AC145" s="56">
        <f t="shared" si="221"/>
        <v>750</v>
      </c>
      <c r="AD145" s="56">
        <f t="shared" si="221"/>
        <v>750</v>
      </c>
      <c r="AE145" s="56">
        <f t="shared" si="221"/>
        <v>750</v>
      </c>
      <c r="AF145" s="56">
        <f t="shared" si="219"/>
        <v>261.43961544790778</v>
      </c>
      <c r="AG145" s="56">
        <f t="shared" si="221"/>
        <v>750</v>
      </c>
      <c r="AH145" s="56">
        <f>'Mortgage and Loans'!AF102</f>
        <v>0</v>
      </c>
      <c r="AI145" s="56">
        <f>'Mortgage and Loans'!AQ102</f>
        <v>0</v>
      </c>
      <c r="AJ145" s="56">
        <f>'Mortgage and Loans'!BB102</f>
        <v>0</v>
      </c>
      <c r="AK145" s="56">
        <f>'Mortgage and Loans'!BM102</f>
        <v>0</v>
      </c>
      <c r="AL145" s="56">
        <f>'Mortgage and Loans'!T107</f>
        <v>104244.30999999997</v>
      </c>
      <c r="AM145" s="12">
        <f t="shared" si="12"/>
        <v>-108255.74961544787</v>
      </c>
      <c r="AN145" s="75">
        <f t="shared" si="85"/>
        <v>812888.30463794479</v>
      </c>
      <c r="AO145" s="86">
        <f>'Mortgage and Loans'!G108</f>
        <v>1454.82</v>
      </c>
      <c r="AP145" s="79">
        <f>('Salary Tax Breakdown'!B$16/12)-Data!AO145</f>
        <v>1992.68</v>
      </c>
      <c r="AQ145" s="87"/>
      <c r="AR145" s="20">
        <f t="shared" si="223"/>
        <v>4011.4396154479077</v>
      </c>
      <c r="AS145" s="20">
        <v>750</v>
      </c>
      <c r="AT145" s="20">
        <v>0</v>
      </c>
      <c r="AU145" s="20">
        <f t="shared" si="224"/>
        <v>4761.4396154479073</v>
      </c>
      <c r="AV145" s="20">
        <f t="shared" si="225"/>
        <v>4761.4396161192908</v>
      </c>
      <c r="AW145" s="51">
        <f t="shared" si="253"/>
        <v>0</v>
      </c>
      <c r="AX145" s="51">
        <f t="shared" si="14"/>
        <v>0</v>
      </c>
      <c r="AY145" s="51">
        <f t="shared" si="15"/>
        <v>0</v>
      </c>
      <c r="AZ145" s="51">
        <f t="shared" si="16"/>
        <v>0</v>
      </c>
      <c r="BA145" s="51">
        <f t="shared" si="17"/>
        <v>0</v>
      </c>
      <c r="BB145" s="51">
        <f t="shared" si="18"/>
        <v>0</v>
      </c>
      <c r="BC145" s="51">
        <f t="shared" si="19"/>
        <v>0</v>
      </c>
      <c r="BD145" s="51">
        <f t="shared" si="20"/>
        <v>0</v>
      </c>
      <c r="BE145" s="51">
        <f t="shared" si="21"/>
        <v>0</v>
      </c>
      <c r="BF145" s="51">
        <f t="shared" si="22"/>
        <v>0</v>
      </c>
      <c r="BG145" s="51">
        <f t="shared" si="23"/>
        <v>0</v>
      </c>
      <c r="BH145" s="51">
        <f t="shared" si="24"/>
        <v>0</v>
      </c>
      <c r="BI145" s="51">
        <f t="shared" si="226"/>
        <v>0</v>
      </c>
      <c r="BJ145" s="51">
        <f t="shared" si="227"/>
        <v>0</v>
      </c>
      <c r="BK145" s="51">
        <f t="shared" si="228"/>
        <v>0</v>
      </c>
      <c r="BL145" s="51">
        <f t="shared" si="229"/>
        <v>0</v>
      </c>
      <c r="BM145" s="51">
        <f t="shared" si="230"/>
        <v>0</v>
      </c>
      <c r="BN145" s="51">
        <f t="shared" si="231"/>
        <v>0</v>
      </c>
      <c r="BO145" s="51">
        <f t="shared" si="232"/>
        <v>0</v>
      </c>
      <c r="BP145" s="51">
        <f t="shared" si="233"/>
        <v>0</v>
      </c>
      <c r="BQ145" s="51">
        <f t="shared" si="234"/>
        <v>0</v>
      </c>
      <c r="BR145" s="51">
        <f t="shared" si="235"/>
        <v>0</v>
      </c>
      <c r="BS145" s="51">
        <f t="shared" si="236"/>
        <v>0</v>
      </c>
      <c r="BT145" s="51">
        <f t="shared" si="237"/>
        <v>0</v>
      </c>
      <c r="BU145" s="20">
        <f t="shared" si="238"/>
        <v>4761.4396154878732</v>
      </c>
      <c r="BV145" s="20">
        <f t="shared" si="239"/>
        <v>4761.4396153919597</v>
      </c>
      <c r="BW145" s="20">
        <f t="shared" si="240"/>
        <v>57137.275385374887</v>
      </c>
      <c r="BX145" s="20">
        <f t="shared" si="241"/>
        <v>57137.275385854475</v>
      </c>
      <c r="BY145" s="20">
        <f t="shared" si="242"/>
        <v>57137.27538470352</v>
      </c>
      <c r="BZ145" s="21">
        <f t="shared" si="243"/>
        <v>57137.275385310961</v>
      </c>
      <c r="CA145" s="19">
        <f t="shared" si="216"/>
        <v>1428431.8846327739</v>
      </c>
      <c r="CB145" s="20">
        <f t="shared" si="244"/>
        <v>1428431.8846419083</v>
      </c>
      <c r="CC145" s="20">
        <f t="shared" si="245"/>
        <v>1428431.8846187389</v>
      </c>
      <c r="CD145" s="20">
        <f t="shared" si="217"/>
        <v>0</v>
      </c>
      <c r="CE145" s="20">
        <f t="shared" si="220"/>
        <v>1400000</v>
      </c>
      <c r="CF145" s="20">
        <f t="shared" si="254"/>
        <v>822082.72809713136</v>
      </c>
      <c r="CG145" s="20">
        <f t="shared" si="246"/>
        <v>32883.309123885258</v>
      </c>
      <c r="CH145" s="20">
        <f t="shared" si="255"/>
        <v>2740.2757603237715</v>
      </c>
      <c r="CI145" s="20">
        <f t="shared" si="247"/>
        <v>810972.55289668927</v>
      </c>
      <c r="CJ145" s="24">
        <f t="shared" si="248"/>
        <v>0.57551412631986876</v>
      </c>
      <c r="CK145" s="24">
        <f t="shared" si="249"/>
        <v>1.3724801598122208E-2</v>
      </c>
      <c r="CL145" s="24">
        <f t="shared" si="250"/>
        <v>4.2099262789121371E-2</v>
      </c>
      <c r="CM145" s="25">
        <f t="shared" si="251"/>
        <v>0.18728054813704331</v>
      </c>
      <c r="CN145" s="17"/>
      <c r="CO145" s="17"/>
      <c r="CP145" s="17"/>
      <c r="CQ145" s="17"/>
      <c r="CR145" s="17"/>
      <c r="CS145" s="17"/>
      <c r="CT145" s="17"/>
      <c r="CU145" s="17"/>
      <c r="CV145" s="17"/>
      <c r="CW145" s="30">
        <v>0</v>
      </c>
      <c r="CX145" s="17"/>
      <c r="CY145" s="17"/>
      <c r="CZ145" s="17"/>
      <c r="DA145" s="17"/>
      <c r="DB145" s="17"/>
    </row>
    <row r="146" spans="1:106" ht="15.75" thickBot="1" x14ac:dyDescent="0.3">
      <c r="A146" s="5">
        <f t="shared" si="218"/>
        <v>35</v>
      </c>
      <c r="B146" s="5">
        <f t="shared" si="218"/>
        <v>34</v>
      </c>
      <c r="C146" s="1">
        <v>46661</v>
      </c>
      <c r="D146" s="4"/>
      <c r="E146" s="30"/>
      <c r="F146" s="30"/>
      <c r="G146" s="30">
        <f t="shared" si="222"/>
        <v>0</v>
      </c>
      <c r="H146" s="30"/>
      <c r="I146" s="10">
        <v>0</v>
      </c>
      <c r="J146" s="60">
        <v>9000</v>
      </c>
      <c r="K146" s="11">
        <v>550</v>
      </c>
      <c r="L146" s="60">
        <f t="shared" si="72"/>
        <v>10363.143174950214</v>
      </c>
      <c r="M146" s="11">
        <v>305</v>
      </c>
      <c r="N146" s="60">
        <v>0</v>
      </c>
      <c r="O146" s="11">
        <v>0</v>
      </c>
      <c r="P146" s="11">
        <v>0</v>
      </c>
      <c r="Q146" s="60">
        <f>(Q145*($K$1/12))+Q145 + $Q$6</f>
        <v>119427.74327332807</v>
      </c>
      <c r="R146" s="60">
        <f>(R145*($K$1/12))+R145</f>
        <v>8161.4867753182625</v>
      </c>
      <c r="S146" s="60">
        <f>(S145*($K$1/12))+S145</f>
        <v>7085.807778432244</v>
      </c>
      <c r="T146" s="60">
        <f>(T145*($K$1/12))+T145+$T$6 + ((3%/12)*T$11)</f>
        <v>474063.46462636028</v>
      </c>
      <c r="U146" s="60">
        <f>(U145*$K$1/12) + U145 + ((U$11/12*7%))</f>
        <v>61923.948627751073</v>
      </c>
      <c r="V146" s="60">
        <v>3100</v>
      </c>
      <c r="W146" s="60">
        <f>(W145*($K$1/12))+W145+$W$6</f>
        <v>42740.788806655612</v>
      </c>
      <c r="X146" s="11">
        <v>0</v>
      </c>
      <c r="Y146" s="60">
        <f>(Y145*($K$1/12))+Y145+$Y$7</f>
        <v>119869.93965314525</v>
      </c>
      <c r="Z146" s="60">
        <f>'Mortgage and Loans'!U108</f>
        <v>76851.739999999991</v>
      </c>
      <c r="AA146" s="12">
        <f t="shared" si="252"/>
        <v>933443.06271594099</v>
      </c>
      <c r="AB146" s="56">
        <f t="shared" si="221"/>
        <v>750</v>
      </c>
      <c r="AC146" s="56">
        <f t="shared" si="221"/>
        <v>750</v>
      </c>
      <c r="AD146" s="56">
        <f t="shared" si="221"/>
        <v>750</v>
      </c>
      <c r="AE146" s="56">
        <f t="shared" si="221"/>
        <v>750</v>
      </c>
      <c r="AF146" s="56">
        <f t="shared" si="219"/>
        <v>261.43961539195919</v>
      </c>
      <c r="AG146" s="56">
        <f t="shared" si="221"/>
        <v>750</v>
      </c>
      <c r="AH146" s="56">
        <f>'Mortgage and Loans'!AF103</f>
        <v>0</v>
      </c>
      <c r="AI146" s="56">
        <f>'Mortgage and Loans'!AQ103</f>
        <v>0</v>
      </c>
      <c r="AJ146" s="56">
        <f>'Mortgage and Loans'!BB103</f>
        <v>0</v>
      </c>
      <c r="AK146" s="56">
        <f>'Mortgage and Loans'!BM103</f>
        <v>0</v>
      </c>
      <c r="AL146" s="56">
        <f>'Mortgage and Loans'!T108</f>
        <v>103148.25999999997</v>
      </c>
      <c r="AM146" s="12">
        <f t="shared" si="12"/>
        <v>-107159.69961539193</v>
      </c>
      <c r="AN146" s="75">
        <f t="shared" si="85"/>
        <v>826283.36310054909</v>
      </c>
      <c r="AO146" s="86">
        <f>'Mortgage and Loans'!G109</f>
        <v>1454.82</v>
      </c>
      <c r="AP146" s="79">
        <f>('Salary Tax Breakdown'!B$16/12)-Data!AO146</f>
        <v>1992.68</v>
      </c>
      <c r="AQ146" s="87"/>
      <c r="AR146" s="20">
        <f t="shared" si="223"/>
        <v>4011.4396153919593</v>
      </c>
      <c r="AS146" s="20">
        <v>750</v>
      </c>
      <c r="AT146" s="20">
        <v>0</v>
      </c>
      <c r="AU146" s="20">
        <f t="shared" si="224"/>
        <v>4761.4396153919588</v>
      </c>
      <c r="AV146" s="20">
        <f t="shared" si="225"/>
        <v>4761.4396159015942</v>
      </c>
      <c r="AW146" s="51">
        <f t="shared" si="253"/>
        <v>0</v>
      </c>
      <c r="AX146" s="51">
        <f t="shared" si="14"/>
        <v>0</v>
      </c>
      <c r="AY146" s="51">
        <f t="shared" si="15"/>
        <v>0</v>
      </c>
      <c r="AZ146" s="51">
        <f t="shared" si="16"/>
        <v>0</v>
      </c>
      <c r="BA146" s="51">
        <f t="shared" si="17"/>
        <v>0</v>
      </c>
      <c r="BB146" s="51">
        <f t="shared" si="18"/>
        <v>0</v>
      </c>
      <c r="BC146" s="51">
        <f t="shared" si="19"/>
        <v>0</v>
      </c>
      <c r="BD146" s="51">
        <f t="shared" si="20"/>
        <v>0</v>
      </c>
      <c r="BE146" s="51">
        <f t="shared" si="21"/>
        <v>0</v>
      </c>
      <c r="BF146" s="51">
        <f t="shared" si="22"/>
        <v>0</v>
      </c>
      <c r="BG146" s="51">
        <f t="shared" si="23"/>
        <v>0</v>
      </c>
      <c r="BH146" s="51">
        <f t="shared" si="24"/>
        <v>0</v>
      </c>
      <c r="BI146" s="51">
        <f t="shared" si="226"/>
        <v>0</v>
      </c>
      <c r="BJ146" s="51">
        <f t="shared" si="227"/>
        <v>0</v>
      </c>
      <c r="BK146" s="51">
        <f t="shared" si="228"/>
        <v>0</v>
      </c>
      <c r="BL146" s="51">
        <f t="shared" si="229"/>
        <v>0</v>
      </c>
      <c r="BM146" s="51">
        <f t="shared" si="230"/>
        <v>0</v>
      </c>
      <c r="BN146" s="51">
        <f t="shared" si="231"/>
        <v>0</v>
      </c>
      <c r="BO146" s="51">
        <f t="shared" si="232"/>
        <v>0</v>
      </c>
      <c r="BP146" s="51">
        <f t="shared" si="233"/>
        <v>0</v>
      </c>
      <c r="BQ146" s="51">
        <f t="shared" si="234"/>
        <v>0</v>
      </c>
      <c r="BR146" s="51">
        <f t="shared" si="235"/>
        <v>0</v>
      </c>
      <c r="BS146" s="51">
        <f t="shared" si="236"/>
        <v>0</v>
      </c>
      <c r="BT146" s="51">
        <f t="shared" si="237"/>
        <v>0</v>
      </c>
      <c r="BU146" s="20">
        <f t="shared" si="238"/>
        <v>4761.4396154459419</v>
      </c>
      <c r="BV146" s="20">
        <f t="shared" si="239"/>
        <v>4761.4396153494899</v>
      </c>
      <c r="BW146" s="20">
        <f t="shared" si="240"/>
        <v>57137.275384703506</v>
      </c>
      <c r="BX146" s="20">
        <f t="shared" si="241"/>
        <v>57137.275385351299</v>
      </c>
      <c r="BY146" s="20">
        <f t="shared" si="242"/>
        <v>57137.275384193883</v>
      </c>
      <c r="BZ146" s="21">
        <f t="shared" si="243"/>
        <v>57137.275384749555</v>
      </c>
      <c r="CA146" s="19">
        <f t="shared" si="216"/>
        <v>1428431.8846187389</v>
      </c>
      <c r="CB146" s="20">
        <f t="shared" si="244"/>
        <v>1428431.8846320575</v>
      </c>
      <c r="CC146" s="20">
        <f t="shared" si="245"/>
        <v>1428431.884607611</v>
      </c>
      <c r="CD146" s="20">
        <f t="shared" si="217"/>
        <v>0</v>
      </c>
      <c r="CE146" s="20">
        <f t="shared" si="220"/>
        <v>1400000</v>
      </c>
      <c r="CF146" s="20">
        <f t="shared" si="254"/>
        <v>833273.17954099074</v>
      </c>
      <c r="CG146" s="20">
        <f t="shared" si="246"/>
        <v>33330.927181639629</v>
      </c>
      <c r="CH146" s="20">
        <f t="shared" si="255"/>
        <v>2777.5772651366356</v>
      </c>
      <c r="CI146" s="20">
        <f t="shared" si="247"/>
        <v>822102.82422487962</v>
      </c>
      <c r="CJ146" s="24">
        <f t="shared" si="248"/>
        <v>0.58334820757353045</v>
      </c>
      <c r="CK146" s="24">
        <f t="shared" si="249"/>
        <v>1.3612317910828547E-2</v>
      </c>
      <c r="CL146" s="24">
        <f t="shared" si="250"/>
        <v>4.1744655742402319E-2</v>
      </c>
      <c r="CM146" s="25">
        <f t="shared" si="251"/>
        <v>0.18548539926368671</v>
      </c>
      <c r="CN146" s="17"/>
      <c r="CO146" s="17"/>
      <c r="CP146" s="17"/>
      <c r="CQ146" s="17"/>
      <c r="CR146" s="17"/>
      <c r="CS146" s="17"/>
      <c r="CT146" s="17"/>
      <c r="CU146" s="17"/>
      <c r="CV146" s="17"/>
      <c r="CW146" s="30">
        <v>0</v>
      </c>
      <c r="CX146" s="17"/>
      <c r="CY146" s="17"/>
      <c r="CZ146" s="17"/>
      <c r="DA146" s="17"/>
      <c r="DB146" s="17"/>
    </row>
    <row r="147" spans="1:106" ht="15.75" thickBot="1" x14ac:dyDescent="0.3">
      <c r="A147" s="5">
        <f t="shared" si="218"/>
        <v>35</v>
      </c>
      <c r="B147" s="5">
        <f t="shared" si="218"/>
        <v>34</v>
      </c>
      <c r="C147" s="1">
        <v>46692</v>
      </c>
      <c r="D147" s="4"/>
      <c r="E147" s="30"/>
      <c r="F147" s="30"/>
      <c r="G147" s="30">
        <f t="shared" si="222"/>
        <v>0</v>
      </c>
      <c r="H147" s="30"/>
      <c r="I147" s="10">
        <v>0</v>
      </c>
      <c r="J147" s="60">
        <v>9000</v>
      </c>
      <c r="K147" s="11">
        <v>550</v>
      </c>
      <c r="L147" s="60">
        <f t="shared" si="72"/>
        <v>10375.665306286612</v>
      </c>
      <c r="M147" s="11">
        <v>305</v>
      </c>
      <c r="N147" s="60">
        <v>0</v>
      </c>
      <c r="O147" s="11">
        <v>0</v>
      </c>
      <c r="P147" s="11">
        <v>0</v>
      </c>
      <c r="Q147" s="60">
        <f>(Q146*($K$1/12))+Q146 + $Q$6</f>
        <v>120991.31354939193</v>
      </c>
      <c r="R147" s="60">
        <f>(R146*($K$1/12))+R146</f>
        <v>8205.6948286845691</v>
      </c>
      <c r="S147" s="60">
        <f>(S146*($K$1/12))+S146</f>
        <v>7124.1892372320854</v>
      </c>
      <c r="T147" s="60">
        <f>(T146*($K$1/12))+T146+$T$6 + ((3%/12)*T$11)</f>
        <v>479806.30839308642</v>
      </c>
      <c r="U147" s="60">
        <f>(U146*$K$1/12) + U146 + ((U$11/12*7%))</f>
        <v>62667.703349484727</v>
      </c>
      <c r="V147" s="60">
        <v>3100</v>
      </c>
      <c r="W147" s="60">
        <f>(W146*($K$1/12))+W146+$W$6</f>
        <v>43259.801412691661</v>
      </c>
      <c r="X147" s="11">
        <v>0</v>
      </c>
      <c r="Y147" s="60">
        <f>(Y146*($K$1/12))+Y146+$Y$7</f>
        <v>122469.23515959979</v>
      </c>
      <c r="Z147" s="60">
        <f>'Mortgage and Loans'!U109</f>
        <v>77951.56</v>
      </c>
      <c r="AA147" s="12">
        <f t="shared" si="252"/>
        <v>945806.47123645782</v>
      </c>
      <c r="AB147" s="56">
        <f t="shared" si="221"/>
        <v>750</v>
      </c>
      <c r="AC147" s="56">
        <f t="shared" si="221"/>
        <v>750</v>
      </c>
      <c r="AD147" s="56">
        <f t="shared" si="221"/>
        <v>750</v>
      </c>
      <c r="AE147" s="56">
        <f t="shared" si="221"/>
        <v>750</v>
      </c>
      <c r="AF147" s="56">
        <f t="shared" si="219"/>
        <v>261.43961534948966</v>
      </c>
      <c r="AG147" s="56">
        <f t="shared" si="221"/>
        <v>750</v>
      </c>
      <c r="AH147" s="56">
        <f>'Mortgage and Loans'!AF104</f>
        <v>0</v>
      </c>
      <c r="AI147" s="56">
        <f>'Mortgage and Loans'!AQ104</f>
        <v>0</v>
      </c>
      <c r="AJ147" s="56">
        <f>'Mortgage and Loans'!BB104</f>
        <v>0</v>
      </c>
      <c r="AK147" s="56">
        <f>'Mortgage and Loans'!BM104</f>
        <v>0</v>
      </c>
      <c r="AL147" s="56">
        <f>'Mortgage and Loans'!T109</f>
        <v>102048.43999999996</v>
      </c>
      <c r="AM147" s="12">
        <f t="shared" si="12"/>
        <v>-106059.87961534945</v>
      </c>
      <c r="AN147" s="75">
        <f t="shared" si="85"/>
        <v>839746.59162110835</v>
      </c>
      <c r="AO147" s="86">
        <f>'Mortgage and Loans'!G110</f>
        <v>1454.82</v>
      </c>
      <c r="AP147" s="79">
        <f>('Salary Tax Breakdown'!B$16/12)-Data!AO147</f>
        <v>1992.68</v>
      </c>
      <c r="AQ147" s="87"/>
      <c r="AR147" s="20">
        <f t="shared" si="223"/>
        <v>4011.4396153494895</v>
      </c>
      <c r="AS147" s="20">
        <v>750</v>
      </c>
      <c r="AT147" s="20">
        <v>0</v>
      </c>
      <c r="AU147" s="20">
        <f t="shared" si="224"/>
        <v>4761.439615349489</v>
      </c>
      <c r="AV147" s="20">
        <f t="shared" si="225"/>
        <v>4761.4396155813465</v>
      </c>
      <c r="AW147" s="51">
        <f t="shared" si="253"/>
        <v>0</v>
      </c>
      <c r="AX147" s="51">
        <f t="shared" si="14"/>
        <v>0</v>
      </c>
      <c r="AY147" s="51">
        <f t="shared" si="15"/>
        <v>0</v>
      </c>
      <c r="AZ147" s="51">
        <f t="shared" si="16"/>
        <v>0</v>
      </c>
      <c r="BA147" s="51">
        <f t="shared" si="17"/>
        <v>0</v>
      </c>
      <c r="BB147" s="51">
        <f t="shared" si="18"/>
        <v>0</v>
      </c>
      <c r="BC147" s="51">
        <f t="shared" si="19"/>
        <v>0</v>
      </c>
      <c r="BD147" s="51">
        <f t="shared" si="20"/>
        <v>0</v>
      </c>
      <c r="BE147" s="51">
        <f t="shared" si="21"/>
        <v>0</v>
      </c>
      <c r="BF147" s="51">
        <f t="shared" si="22"/>
        <v>0</v>
      </c>
      <c r="BG147" s="51">
        <f t="shared" si="23"/>
        <v>0</v>
      </c>
      <c r="BH147" s="51">
        <f t="shared" si="24"/>
        <v>0</v>
      </c>
      <c r="BI147" s="51">
        <f t="shared" si="226"/>
        <v>0</v>
      </c>
      <c r="BJ147" s="51">
        <f t="shared" si="227"/>
        <v>0</v>
      </c>
      <c r="BK147" s="51">
        <f t="shared" si="228"/>
        <v>0</v>
      </c>
      <c r="BL147" s="51">
        <f t="shared" si="229"/>
        <v>0</v>
      </c>
      <c r="BM147" s="51">
        <f t="shared" si="230"/>
        <v>0</v>
      </c>
      <c r="BN147" s="51">
        <f t="shared" si="231"/>
        <v>0</v>
      </c>
      <c r="BO147" s="51">
        <f t="shared" si="232"/>
        <v>0</v>
      </c>
      <c r="BP147" s="51">
        <f t="shared" si="233"/>
        <v>0</v>
      </c>
      <c r="BQ147" s="51">
        <f t="shared" si="234"/>
        <v>0</v>
      </c>
      <c r="BR147" s="51">
        <f t="shared" si="235"/>
        <v>0</v>
      </c>
      <c r="BS147" s="51">
        <f t="shared" si="236"/>
        <v>0</v>
      </c>
      <c r="BT147" s="51">
        <f t="shared" si="237"/>
        <v>0</v>
      </c>
      <c r="BU147" s="20">
        <f t="shared" si="238"/>
        <v>4761.4396153964517</v>
      </c>
      <c r="BV147" s="20">
        <f t="shared" si="239"/>
        <v>4761.4396153301686</v>
      </c>
      <c r="BW147" s="20">
        <f t="shared" si="240"/>
        <v>57137.275384193868</v>
      </c>
      <c r="BX147" s="20">
        <f t="shared" si="241"/>
        <v>57137.27538475742</v>
      </c>
      <c r="BY147" s="20">
        <f t="shared" si="242"/>
        <v>57137.275383962027</v>
      </c>
      <c r="BZ147" s="21">
        <f t="shared" si="243"/>
        <v>57137.275384304441</v>
      </c>
      <c r="CA147" s="19">
        <f t="shared" si="216"/>
        <v>1428431.884607611</v>
      </c>
      <c r="CB147" s="20">
        <f t="shared" si="244"/>
        <v>1428431.8846197079</v>
      </c>
      <c r="CC147" s="20">
        <f t="shared" si="245"/>
        <v>1428431.8846020934</v>
      </c>
      <c r="CD147" s="20">
        <f t="shared" si="217"/>
        <v>0</v>
      </c>
      <c r="CE147" s="20">
        <f t="shared" si="220"/>
        <v>1400000</v>
      </c>
      <c r="CF147" s="20">
        <f t="shared" si="254"/>
        <v>844524.24593017122</v>
      </c>
      <c r="CG147" s="20">
        <f t="shared" si="246"/>
        <v>33780.969837206852</v>
      </c>
      <c r="CH147" s="20">
        <f t="shared" si="255"/>
        <v>2815.0808197672377</v>
      </c>
      <c r="CI147" s="20">
        <f t="shared" si="247"/>
        <v>833293.38452276448</v>
      </c>
      <c r="CJ147" s="24">
        <f t="shared" si="248"/>
        <v>0.59122472343510402</v>
      </c>
      <c r="CK147" s="24">
        <f t="shared" si="249"/>
        <v>1.3502254321179696E-2</v>
      </c>
      <c r="CL147" s="24">
        <f t="shared" si="250"/>
        <v>4.1397835509827424E-2</v>
      </c>
      <c r="CM147" s="25">
        <f t="shared" si="251"/>
        <v>0.18373373598843232</v>
      </c>
      <c r="CN147" s="17"/>
      <c r="CO147" s="17"/>
      <c r="CP147" s="17"/>
      <c r="CQ147" s="17"/>
      <c r="CR147" s="17"/>
      <c r="CS147" s="17"/>
      <c r="CT147" s="17"/>
      <c r="CU147" s="17"/>
      <c r="CV147" s="17"/>
      <c r="CW147" s="30">
        <v>0</v>
      </c>
      <c r="CX147" s="17"/>
      <c r="CY147" s="17"/>
      <c r="CZ147" s="17"/>
      <c r="DA147" s="17"/>
      <c r="DB147" s="17"/>
    </row>
    <row r="148" spans="1:106" ht="15.75" thickBot="1" x14ac:dyDescent="0.3">
      <c r="A148" s="5">
        <f t="shared" si="218"/>
        <v>36</v>
      </c>
      <c r="B148" s="5">
        <f t="shared" si="218"/>
        <v>34</v>
      </c>
      <c r="C148" s="1">
        <v>46722</v>
      </c>
      <c r="D148" s="4"/>
      <c r="E148" s="30"/>
      <c r="F148" s="30"/>
      <c r="G148" s="30">
        <f t="shared" si="222"/>
        <v>0</v>
      </c>
      <c r="H148" s="30"/>
      <c r="I148" s="10">
        <v>0</v>
      </c>
      <c r="J148" s="60">
        <v>9000</v>
      </c>
      <c r="K148" s="11">
        <v>550</v>
      </c>
      <c r="L148" s="60">
        <f t="shared" si="72"/>
        <v>10388.202568531708</v>
      </c>
      <c r="M148" s="11">
        <v>305</v>
      </c>
      <c r="N148" s="60">
        <v>0</v>
      </c>
      <c r="O148" s="11">
        <v>0</v>
      </c>
      <c r="P148" s="11">
        <v>0</v>
      </c>
      <c r="Q148" s="60">
        <f>(Q147*($K$1/12))+Q147 + $Q$6</f>
        <v>122563.35316445112</v>
      </c>
      <c r="R148" s="60">
        <f>(R147*($K$1/12))+R147</f>
        <v>8250.1423423399447</v>
      </c>
      <c r="S148" s="60">
        <f>(S147*($K$1/12))+S147</f>
        <v>7162.7785956004254</v>
      </c>
      <c r="T148" s="60">
        <f>(T147*($K$1/12))+T147+$T$6 + ((3%/12)*T$11)</f>
        <v>485580.25923021563</v>
      </c>
      <c r="U148" s="60">
        <f>(U147*$K$1/12) + U147 + ((U$11/12*7%))</f>
        <v>63415.486742627771</v>
      </c>
      <c r="V148" s="60">
        <v>3100</v>
      </c>
      <c r="W148" s="60">
        <f>(W147*($K$1/12))+W147+$W$6</f>
        <v>43781.62533701041</v>
      </c>
      <c r="X148" s="11">
        <v>0</v>
      </c>
      <c r="Y148" s="60">
        <f>(Y147*($K$1/12))+Y147+$Y$7</f>
        <v>125082.61018338095</v>
      </c>
      <c r="Z148" s="60">
        <f>'Mortgage and Loans'!U110</f>
        <v>79055.16</v>
      </c>
      <c r="AA148" s="12">
        <f t="shared" si="252"/>
        <v>958234.61816415784</v>
      </c>
      <c r="AB148" s="56">
        <f t="shared" si="221"/>
        <v>750</v>
      </c>
      <c r="AC148" s="56">
        <f t="shared" si="221"/>
        <v>750</v>
      </c>
      <c r="AD148" s="56">
        <f t="shared" si="221"/>
        <v>750</v>
      </c>
      <c r="AE148" s="56">
        <f t="shared" si="221"/>
        <v>750</v>
      </c>
      <c r="AF148" s="56">
        <f t="shared" si="219"/>
        <v>261.43961533016818</v>
      </c>
      <c r="AG148" s="56">
        <f t="shared" si="221"/>
        <v>750</v>
      </c>
      <c r="AH148" s="56">
        <f>'Mortgage and Loans'!AF105</f>
        <v>0</v>
      </c>
      <c r="AI148" s="56">
        <f>'Mortgage and Loans'!AQ105</f>
        <v>0</v>
      </c>
      <c r="AJ148" s="56">
        <f>'Mortgage and Loans'!BB105</f>
        <v>0</v>
      </c>
      <c r="AK148" s="56">
        <f>'Mortgage and Loans'!BM105</f>
        <v>0</v>
      </c>
      <c r="AL148" s="56">
        <f>'Mortgage and Loans'!T110</f>
        <v>100944.83999999995</v>
      </c>
      <c r="AM148" s="12">
        <f t="shared" si="12"/>
        <v>-104956.27961533012</v>
      </c>
      <c r="AN148" s="75">
        <f t="shared" si="85"/>
        <v>853278.33854882768</v>
      </c>
      <c r="AO148" s="86">
        <f>'Mortgage and Loans'!G111</f>
        <v>1454.82</v>
      </c>
      <c r="AP148" s="79">
        <f>('Salary Tax Breakdown'!B$16/12)-Data!AO148</f>
        <v>1992.68</v>
      </c>
      <c r="AQ148" s="87"/>
      <c r="AR148" s="20">
        <f t="shared" si="223"/>
        <v>4011.4396153301682</v>
      </c>
      <c r="AS148" s="20">
        <v>750</v>
      </c>
      <c r="AT148" s="20">
        <v>0</v>
      </c>
      <c r="AU148" s="20">
        <f t="shared" si="224"/>
        <v>4761.4396153301677</v>
      </c>
      <c r="AV148" s="20">
        <f t="shared" si="225"/>
        <v>4761.4396152894496</v>
      </c>
      <c r="AW148" s="51">
        <f t="shared" si="253"/>
        <v>0</v>
      </c>
      <c r="AX148" s="51">
        <f t="shared" si="14"/>
        <v>0</v>
      </c>
      <c r="AY148" s="51">
        <f t="shared" si="15"/>
        <v>0</v>
      </c>
      <c r="AZ148" s="51">
        <f t="shared" si="16"/>
        <v>0</v>
      </c>
      <c r="BA148" s="51">
        <f t="shared" si="17"/>
        <v>0</v>
      </c>
      <c r="BB148" s="51">
        <f t="shared" si="18"/>
        <v>0</v>
      </c>
      <c r="BC148" s="51">
        <f t="shared" si="19"/>
        <v>0</v>
      </c>
      <c r="BD148" s="51">
        <f t="shared" si="20"/>
        <v>0</v>
      </c>
      <c r="BE148" s="51">
        <f t="shared" si="21"/>
        <v>0</v>
      </c>
      <c r="BF148" s="51">
        <f t="shared" si="22"/>
        <v>0</v>
      </c>
      <c r="BG148" s="51">
        <f t="shared" si="23"/>
        <v>0</v>
      </c>
      <c r="BH148" s="51">
        <f t="shared" si="24"/>
        <v>0</v>
      </c>
      <c r="BI148" s="51">
        <f t="shared" si="226"/>
        <v>0</v>
      </c>
      <c r="BJ148" s="51">
        <f t="shared" si="227"/>
        <v>0</v>
      </c>
      <c r="BK148" s="51">
        <f t="shared" si="228"/>
        <v>0</v>
      </c>
      <c r="BL148" s="51">
        <f t="shared" si="229"/>
        <v>0</v>
      </c>
      <c r="BM148" s="51">
        <f t="shared" si="230"/>
        <v>0</v>
      </c>
      <c r="BN148" s="51">
        <f t="shared" si="231"/>
        <v>0</v>
      </c>
      <c r="BO148" s="51">
        <f t="shared" si="232"/>
        <v>0</v>
      </c>
      <c r="BP148" s="51">
        <f t="shared" si="233"/>
        <v>0</v>
      </c>
      <c r="BQ148" s="51">
        <f t="shared" si="234"/>
        <v>0</v>
      </c>
      <c r="BR148" s="51">
        <f t="shared" si="235"/>
        <v>0</v>
      </c>
      <c r="BS148" s="51">
        <f t="shared" si="236"/>
        <v>0</v>
      </c>
      <c r="BT148" s="51">
        <f t="shared" si="237"/>
        <v>0</v>
      </c>
      <c r="BU148" s="20">
        <f t="shared" si="238"/>
        <v>4761.4396153572052</v>
      </c>
      <c r="BV148" s="20">
        <f t="shared" si="239"/>
        <v>4761.439615333562</v>
      </c>
      <c r="BW148" s="20">
        <f t="shared" si="240"/>
        <v>57137.275383962013</v>
      </c>
      <c r="BX148" s="20">
        <f t="shared" si="241"/>
        <v>57137.275384286462</v>
      </c>
      <c r="BY148" s="20">
        <f t="shared" si="242"/>
        <v>57137.275384002744</v>
      </c>
      <c r="BZ148" s="21">
        <f t="shared" si="243"/>
        <v>57137.275384083739</v>
      </c>
      <c r="CA148" s="19">
        <f t="shared" ref="CA148:CA211" si="256">$BZ148/CA$11</f>
        <v>1428431.8846020934</v>
      </c>
      <c r="CB148" s="20">
        <f t="shared" si="244"/>
        <v>1428431.8846094811</v>
      </c>
      <c r="CC148" s="20">
        <f t="shared" si="245"/>
        <v>1428431.8846023462</v>
      </c>
      <c r="CD148" s="20">
        <f t="shared" ref="CD148:CD211" si="257">CB148*G148</f>
        <v>0</v>
      </c>
      <c r="CE148" s="20">
        <f t="shared" si="220"/>
        <v>1400000</v>
      </c>
      <c r="CF148" s="20">
        <f t="shared" si="254"/>
        <v>855836.25559562631</v>
      </c>
      <c r="CG148" s="20">
        <f t="shared" si="246"/>
        <v>34233.45022382505</v>
      </c>
      <c r="CH148" s="20">
        <f t="shared" si="255"/>
        <v>2852.7875186520873</v>
      </c>
      <c r="CI148" s="20">
        <f t="shared" si="247"/>
        <v>844544.56035559613</v>
      </c>
      <c r="CJ148" s="24">
        <f t="shared" si="248"/>
        <v>0.59914390375681326</v>
      </c>
      <c r="CK148" s="24">
        <f t="shared" si="249"/>
        <v>1.3394535112483213E-2</v>
      </c>
      <c r="CL148" s="24">
        <f t="shared" si="250"/>
        <v>4.105855328772566E-2</v>
      </c>
      <c r="CM148" s="25">
        <f t="shared" si="251"/>
        <v>0.18202402177885216</v>
      </c>
      <c r="CN148" s="17"/>
      <c r="CO148" s="17"/>
      <c r="CP148" s="17"/>
      <c r="CQ148" s="17"/>
      <c r="CR148" s="17"/>
      <c r="CS148" s="17"/>
      <c r="CT148" s="17"/>
      <c r="CU148" s="17"/>
      <c r="CV148" s="17"/>
      <c r="CW148" s="30">
        <v>0</v>
      </c>
      <c r="CX148" s="17"/>
      <c r="CY148" s="17"/>
      <c r="CZ148" s="17"/>
      <c r="DA148" s="17"/>
      <c r="DB148" s="17"/>
    </row>
    <row r="149" spans="1:106" ht="15.75" thickBot="1" x14ac:dyDescent="0.3">
      <c r="A149" s="5">
        <f t="shared" si="218"/>
        <v>36</v>
      </c>
      <c r="B149" s="5">
        <f t="shared" si="218"/>
        <v>34</v>
      </c>
      <c r="C149" s="1">
        <v>46753</v>
      </c>
      <c r="D149" s="4"/>
      <c r="E149" s="30"/>
      <c r="F149" s="30"/>
      <c r="G149" s="30">
        <f t="shared" si="222"/>
        <v>0</v>
      </c>
      <c r="H149" s="30"/>
      <c r="I149" s="10">
        <v>0</v>
      </c>
      <c r="J149" s="60">
        <v>9000</v>
      </c>
      <c r="K149" s="11">
        <v>550</v>
      </c>
      <c r="L149" s="60">
        <f t="shared" si="72"/>
        <v>10400.754979968682</v>
      </c>
      <c r="M149" s="11">
        <v>305</v>
      </c>
      <c r="N149" s="60">
        <v>0</v>
      </c>
      <c r="O149" s="11">
        <v>0</v>
      </c>
      <c r="P149" s="11">
        <v>0</v>
      </c>
      <c r="Q149" s="60">
        <f>(Q148*($K$1/12))+Q148 + $Q$6</f>
        <v>124143.9079940919</v>
      </c>
      <c r="R149" s="60">
        <f>(R148*($K$1/12))+R148</f>
        <v>8294.8306133609531</v>
      </c>
      <c r="S149" s="60">
        <f>(S148*($K$1/12))+S148</f>
        <v>7201.5769796599279</v>
      </c>
      <c r="T149" s="60">
        <f>(T148*($K$1/12))+T148+$T$6 + ((3%/12)*T$11)</f>
        <v>491385.48563437932</v>
      </c>
      <c r="U149" s="60">
        <f>(U148*$K$1/12) + U148 + ((U$11/12*7%))</f>
        <v>64167.320629150337</v>
      </c>
      <c r="V149" s="60">
        <v>3100</v>
      </c>
      <c r="W149" s="60">
        <f>(W148*($K$1/12))+W148+$W$6</f>
        <v>44306.27580758588</v>
      </c>
      <c r="X149" s="11">
        <v>0</v>
      </c>
      <c r="Y149" s="60">
        <f>(Y148*($K$1/12))+Y148+$Y$7</f>
        <v>127710.14098854094</v>
      </c>
      <c r="Z149" s="60">
        <f>'Mortgage and Loans'!U111</f>
        <v>80162.559999999998</v>
      </c>
      <c r="AA149" s="12">
        <f t="shared" si="252"/>
        <v>970727.85362673807</v>
      </c>
      <c r="AB149" s="56">
        <f t="shared" si="221"/>
        <v>750</v>
      </c>
      <c r="AC149" s="56">
        <f t="shared" si="221"/>
        <v>750</v>
      </c>
      <c r="AD149" s="56">
        <f t="shared" si="221"/>
        <v>750</v>
      </c>
      <c r="AE149" s="56">
        <f t="shared" si="221"/>
        <v>750</v>
      </c>
      <c r="AF149" s="56">
        <f t="shared" si="219"/>
        <v>261.43961533356145</v>
      </c>
      <c r="AG149" s="56">
        <f t="shared" si="221"/>
        <v>750</v>
      </c>
      <c r="AH149" s="56">
        <f>'Mortgage and Loans'!AF106</f>
        <v>0</v>
      </c>
      <c r="AI149" s="56">
        <f>'Mortgage and Loans'!AQ106</f>
        <v>0</v>
      </c>
      <c r="AJ149" s="56">
        <f>'Mortgage and Loans'!BB106</f>
        <v>0</v>
      </c>
      <c r="AK149" s="56">
        <f>'Mortgage and Loans'!BM106</f>
        <v>0</v>
      </c>
      <c r="AL149" s="56">
        <f>'Mortgage and Loans'!T111</f>
        <v>99837.439999999944</v>
      </c>
      <c r="AM149" s="12">
        <f t="shared" si="12"/>
        <v>-103848.8796153335</v>
      </c>
      <c r="AN149" s="75">
        <f t="shared" si="85"/>
        <v>866878.97401140456</v>
      </c>
      <c r="AO149" s="86">
        <f>'Mortgage and Loans'!G112</f>
        <v>1454.82</v>
      </c>
      <c r="AP149" s="79">
        <f>('Salary Tax Breakdown'!B$16/12)-Data!AO149</f>
        <v>1992.68</v>
      </c>
      <c r="AQ149" s="87"/>
      <c r="AR149" s="20">
        <f t="shared" si="223"/>
        <v>4011.4396153335615</v>
      </c>
      <c r="AS149" s="20">
        <v>750</v>
      </c>
      <c r="AT149" s="20">
        <v>0</v>
      </c>
      <c r="AU149" s="20">
        <f t="shared" si="224"/>
        <v>4761.439615333562</v>
      </c>
      <c r="AV149" s="20">
        <f t="shared" si="225"/>
        <v>4761.4396151103592</v>
      </c>
      <c r="AW149" s="51">
        <f t="shared" si="253"/>
        <v>0</v>
      </c>
      <c r="AX149" s="51">
        <f t="shared" si="14"/>
        <v>0</v>
      </c>
      <c r="AY149" s="51">
        <f t="shared" si="15"/>
        <v>0</v>
      </c>
      <c r="AZ149" s="51">
        <f t="shared" si="16"/>
        <v>0</v>
      </c>
      <c r="BA149" s="51">
        <f t="shared" si="17"/>
        <v>0</v>
      </c>
      <c r="BB149" s="51">
        <f t="shared" si="18"/>
        <v>0</v>
      </c>
      <c r="BC149" s="51">
        <f t="shared" si="19"/>
        <v>0</v>
      </c>
      <c r="BD149" s="51">
        <f t="shared" si="20"/>
        <v>0</v>
      </c>
      <c r="BE149" s="51">
        <f t="shared" si="21"/>
        <v>0</v>
      </c>
      <c r="BF149" s="51">
        <f t="shared" si="22"/>
        <v>0</v>
      </c>
      <c r="BG149" s="51">
        <f t="shared" si="23"/>
        <v>0</v>
      </c>
      <c r="BH149" s="51">
        <f t="shared" si="24"/>
        <v>0</v>
      </c>
      <c r="BI149" s="51">
        <f t="shared" si="226"/>
        <v>0</v>
      </c>
      <c r="BJ149" s="51">
        <f t="shared" si="227"/>
        <v>0</v>
      </c>
      <c r="BK149" s="51">
        <f t="shared" si="228"/>
        <v>0</v>
      </c>
      <c r="BL149" s="51">
        <f t="shared" si="229"/>
        <v>0</v>
      </c>
      <c r="BM149" s="51">
        <f t="shared" si="230"/>
        <v>0</v>
      </c>
      <c r="BN149" s="51">
        <f t="shared" si="231"/>
        <v>0</v>
      </c>
      <c r="BO149" s="51">
        <f t="shared" si="232"/>
        <v>0</v>
      </c>
      <c r="BP149" s="51">
        <f t="shared" si="233"/>
        <v>0</v>
      </c>
      <c r="BQ149" s="51">
        <f t="shared" si="234"/>
        <v>0</v>
      </c>
      <c r="BR149" s="51">
        <f t="shared" si="235"/>
        <v>0</v>
      </c>
      <c r="BS149" s="51">
        <f t="shared" si="236"/>
        <v>0</v>
      </c>
      <c r="BT149" s="51">
        <f t="shared" si="237"/>
        <v>0</v>
      </c>
      <c r="BU149" s="20">
        <f t="shared" si="238"/>
        <v>4761.4396153377393</v>
      </c>
      <c r="BV149" s="20">
        <f t="shared" si="239"/>
        <v>4761.439615352162</v>
      </c>
      <c r="BW149" s="20">
        <f t="shared" si="240"/>
        <v>57137.275384002744</v>
      </c>
      <c r="BX149" s="20">
        <f t="shared" si="241"/>
        <v>57137.275384052875</v>
      </c>
      <c r="BY149" s="20">
        <f t="shared" si="242"/>
        <v>57137.275384225941</v>
      </c>
      <c r="BZ149" s="21">
        <f t="shared" si="243"/>
        <v>57137.275384093846</v>
      </c>
      <c r="CA149" s="19">
        <f t="shared" si="256"/>
        <v>1428431.8846023462</v>
      </c>
      <c r="CB149" s="20">
        <f t="shared" si="244"/>
        <v>1428431.884604017</v>
      </c>
      <c r="CC149" s="20">
        <f t="shared" si="245"/>
        <v>1428431.884606662</v>
      </c>
      <c r="CD149" s="20">
        <f t="shared" si="257"/>
        <v>0</v>
      </c>
      <c r="CE149" s="20">
        <f t="shared" si="220"/>
        <v>1400000</v>
      </c>
      <c r="CF149" s="20">
        <f t="shared" si="254"/>
        <v>867209.53864676936</v>
      </c>
      <c r="CG149" s="20">
        <f t="shared" si="246"/>
        <v>34688.381545870776</v>
      </c>
      <c r="CH149" s="20">
        <f t="shared" si="255"/>
        <v>2890.6984621558981</v>
      </c>
      <c r="CI149" s="20">
        <f t="shared" si="247"/>
        <v>855856.68005752226</v>
      </c>
      <c r="CJ149" s="24">
        <f t="shared" si="248"/>
        <v>0.60710597963666502</v>
      </c>
      <c r="CK149" s="24">
        <f t="shared" si="249"/>
        <v>1.3289087692630784E-2</v>
      </c>
      <c r="CL149" s="24">
        <f t="shared" si="250"/>
        <v>4.0726570756150458E-2</v>
      </c>
      <c r="CM149" s="25">
        <f t="shared" si="251"/>
        <v>0.18035479163019524</v>
      </c>
      <c r="CN149" s="17"/>
      <c r="CO149" s="17"/>
      <c r="CP149" s="17"/>
      <c r="CQ149" s="17"/>
      <c r="CR149" s="17"/>
      <c r="CS149" s="17"/>
      <c r="CT149" s="17"/>
      <c r="CU149" s="17"/>
      <c r="CV149" s="17"/>
      <c r="CW149" s="30">
        <v>0</v>
      </c>
      <c r="CX149" s="17"/>
      <c r="CY149" s="17"/>
      <c r="CZ149" s="17"/>
      <c r="DA149" s="17"/>
      <c r="DB149" s="17"/>
    </row>
    <row r="150" spans="1:106" ht="15.75" thickBot="1" x14ac:dyDescent="0.3">
      <c r="A150" s="5">
        <f t="shared" si="218"/>
        <v>36</v>
      </c>
      <c r="B150" s="5">
        <f t="shared" si="218"/>
        <v>34</v>
      </c>
      <c r="C150" s="1">
        <v>46784</v>
      </c>
      <c r="D150" s="4"/>
      <c r="E150" s="30"/>
      <c r="F150" s="30"/>
      <c r="G150" s="30">
        <f t="shared" si="222"/>
        <v>0</v>
      </c>
      <c r="H150" s="30"/>
      <c r="I150" s="10">
        <v>0</v>
      </c>
      <c r="J150" s="60">
        <v>9000</v>
      </c>
      <c r="K150" s="11">
        <v>550</v>
      </c>
      <c r="L150" s="60">
        <f t="shared" si="72"/>
        <v>10413.32255890281</v>
      </c>
      <c r="M150" s="11">
        <v>305</v>
      </c>
      <c r="N150" s="60">
        <v>0</v>
      </c>
      <c r="O150" s="11">
        <v>0</v>
      </c>
      <c r="P150" s="11">
        <v>0</v>
      </c>
      <c r="Q150" s="60">
        <f>(Q149*($K$1/12))+Q149 + $Q$6</f>
        <v>125733.02416239324</v>
      </c>
      <c r="R150" s="60">
        <f>(R149*($K$1/12))+R149</f>
        <v>8339.7609458499919</v>
      </c>
      <c r="S150" s="60">
        <f>(S149*($K$1/12))+S149</f>
        <v>7240.5855216330856</v>
      </c>
      <c r="T150" s="60">
        <f>(T149*($K$1/12))+T149+$T$6 + ((3%/12)*T$11)</f>
        <v>497222.1570148989</v>
      </c>
      <c r="U150" s="60">
        <f>(U149*$K$1/12) + U149 + ((U$11/12*7%))</f>
        <v>64923.226949224903</v>
      </c>
      <c r="V150" s="60">
        <v>3100</v>
      </c>
      <c r="W150" s="60">
        <f>(W149*($K$1/12))+W149+$W$6</f>
        <v>44833.768134876969</v>
      </c>
      <c r="X150" s="11">
        <v>0</v>
      </c>
      <c r="Y150" s="60">
        <f>(Y149*($K$1/12))+Y149+$Y$7</f>
        <v>130351.90425222887</v>
      </c>
      <c r="Z150" s="60">
        <f>'Mortgage and Loans'!U112</f>
        <v>81273.76999999999</v>
      </c>
      <c r="AA150" s="12">
        <f t="shared" si="252"/>
        <v>983286.51954000886</v>
      </c>
      <c r="AB150" s="56">
        <f t="shared" si="221"/>
        <v>750</v>
      </c>
      <c r="AC150" s="56">
        <f t="shared" si="221"/>
        <v>750</v>
      </c>
      <c r="AD150" s="56">
        <f t="shared" si="221"/>
        <v>750</v>
      </c>
      <c r="AE150" s="56">
        <f t="shared" si="221"/>
        <v>750</v>
      </c>
      <c r="AF150" s="56">
        <f t="shared" si="219"/>
        <v>261.4396153521617</v>
      </c>
      <c r="AG150" s="56">
        <f t="shared" si="221"/>
        <v>750</v>
      </c>
      <c r="AH150" s="56">
        <f>'Mortgage and Loans'!AF107</f>
        <v>0</v>
      </c>
      <c r="AI150" s="56">
        <f>'Mortgage and Loans'!AQ107</f>
        <v>0</v>
      </c>
      <c r="AJ150" s="56">
        <f>'Mortgage and Loans'!BB107</f>
        <v>0</v>
      </c>
      <c r="AK150" s="56">
        <f>'Mortgage and Loans'!BM107</f>
        <v>0</v>
      </c>
      <c r="AL150" s="56">
        <f>'Mortgage and Loans'!T112</f>
        <v>98726.229999999938</v>
      </c>
      <c r="AM150" s="12">
        <f t="shared" si="12"/>
        <v>-102737.6696153521</v>
      </c>
      <c r="AN150" s="75">
        <f t="shared" si="85"/>
        <v>880548.8499246568</v>
      </c>
      <c r="AO150" s="86">
        <f>'Mortgage and Loans'!G113</f>
        <v>1454.82</v>
      </c>
      <c r="AP150" s="79">
        <f>('Salary Tax Breakdown'!B$16/12)-Data!AO150</f>
        <v>1992.68</v>
      </c>
      <c r="AQ150" s="87"/>
      <c r="AR150" s="20">
        <f t="shared" si="223"/>
        <v>4011.4396153521616</v>
      </c>
      <c r="AS150" s="20">
        <v>750</v>
      </c>
      <c r="AT150" s="20">
        <v>0</v>
      </c>
      <c r="AU150" s="20">
        <f t="shared" si="224"/>
        <v>4761.4396153521611</v>
      </c>
      <c r="AV150" s="20">
        <f t="shared" si="225"/>
        <v>4761.4396150681805</v>
      </c>
      <c r="AW150" s="51">
        <f t="shared" si="253"/>
        <v>0</v>
      </c>
      <c r="AX150" s="51">
        <f t="shared" si="14"/>
        <v>0</v>
      </c>
      <c r="AY150" s="51">
        <f t="shared" si="15"/>
        <v>0</v>
      </c>
      <c r="AZ150" s="51">
        <f t="shared" si="16"/>
        <v>0</v>
      </c>
      <c r="BA150" s="51">
        <f t="shared" si="17"/>
        <v>0</v>
      </c>
      <c r="BB150" s="51">
        <f t="shared" si="18"/>
        <v>0</v>
      </c>
      <c r="BC150" s="51">
        <f t="shared" si="19"/>
        <v>0</v>
      </c>
      <c r="BD150" s="51">
        <f t="shared" si="20"/>
        <v>0</v>
      </c>
      <c r="BE150" s="51">
        <f t="shared" si="21"/>
        <v>0</v>
      </c>
      <c r="BF150" s="51">
        <f t="shared" si="22"/>
        <v>0</v>
      </c>
      <c r="BG150" s="51">
        <f t="shared" si="23"/>
        <v>0</v>
      </c>
      <c r="BH150" s="51">
        <f t="shared" si="24"/>
        <v>0</v>
      </c>
      <c r="BI150" s="51">
        <f t="shared" si="226"/>
        <v>0</v>
      </c>
      <c r="BJ150" s="51">
        <f t="shared" si="227"/>
        <v>0</v>
      </c>
      <c r="BK150" s="51">
        <f t="shared" si="228"/>
        <v>0</v>
      </c>
      <c r="BL150" s="51">
        <f t="shared" si="229"/>
        <v>0</v>
      </c>
      <c r="BM150" s="51">
        <f t="shared" si="230"/>
        <v>0</v>
      </c>
      <c r="BN150" s="51">
        <f t="shared" si="231"/>
        <v>0</v>
      </c>
      <c r="BO150" s="51">
        <f t="shared" si="232"/>
        <v>0</v>
      </c>
      <c r="BP150" s="51">
        <f t="shared" si="233"/>
        <v>0</v>
      </c>
      <c r="BQ150" s="51">
        <f t="shared" si="234"/>
        <v>0</v>
      </c>
      <c r="BR150" s="51">
        <f t="shared" si="235"/>
        <v>0</v>
      </c>
      <c r="BS150" s="51">
        <f t="shared" si="236"/>
        <v>0</v>
      </c>
      <c r="BT150" s="51">
        <f t="shared" si="237"/>
        <v>0</v>
      </c>
      <c r="BU150" s="20">
        <f t="shared" si="238"/>
        <v>4761.4396153386306</v>
      </c>
      <c r="BV150" s="20">
        <f t="shared" si="239"/>
        <v>4761.4396153758271</v>
      </c>
      <c r="BW150" s="20">
        <f t="shared" si="240"/>
        <v>57137.275384225934</v>
      </c>
      <c r="BX150" s="20">
        <f t="shared" si="241"/>
        <v>57137.275384063571</v>
      </c>
      <c r="BY150" s="20">
        <f t="shared" si="242"/>
        <v>57137.275384509921</v>
      </c>
      <c r="BZ150" s="21">
        <f t="shared" si="243"/>
        <v>57137.275384266475</v>
      </c>
      <c r="CA150" s="19">
        <f t="shared" si="256"/>
        <v>1428431.8846066617</v>
      </c>
      <c r="CB150" s="20">
        <f t="shared" si="244"/>
        <v>1428431.8846037004</v>
      </c>
      <c r="CC150" s="20">
        <f t="shared" si="245"/>
        <v>1428431.8846125316</v>
      </c>
      <c r="CD150" s="20">
        <f t="shared" si="257"/>
        <v>0</v>
      </c>
      <c r="CE150" s="20">
        <f t="shared" si="220"/>
        <v>1400000</v>
      </c>
      <c r="CF150" s="20">
        <f t="shared" si="254"/>
        <v>878644.42698110605</v>
      </c>
      <c r="CG150" s="20">
        <f t="shared" si="246"/>
        <v>35145.777079244246</v>
      </c>
      <c r="CH150" s="20">
        <f t="shared" si="255"/>
        <v>2928.8147566036873</v>
      </c>
      <c r="CI150" s="20">
        <f t="shared" si="247"/>
        <v>867230.0737411672</v>
      </c>
      <c r="CJ150" s="24">
        <f t="shared" si="248"/>
        <v>0.61511118342536464</v>
      </c>
      <c r="CK150" s="24">
        <f t="shared" si="249"/>
        <v>1.3185842434551835E-2</v>
      </c>
      <c r="CL150" s="24">
        <f t="shared" si="250"/>
        <v>4.0401659532408533E-2</v>
      </c>
      <c r="CM150" s="25">
        <f t="shared" si="251"/>
        <v>0.17872464795091678</v>
      </c>
      <c r="CN150" s="17"/>
      <c r="CO150" s="17"/>
      <c r="CP150" s="17"/>
      <c r="CQ150" s="17"/>
      <c r="CR150" s="17"/>
      <c r="CS150" s="17"/>
      <c r="CT150" s="17"/>
      <c r="CU150" s="17"/>
      <c r="CV150" s="17"/>
      <c r="CW150" s="30">
        <v>0</v>
      </c>
      <c r="CX150" s="17"/>
      <c r="CY150" s="17"/>
      <c r="CZ150" s="17"/>
      <c r="DA150" s="17"/>
      <c r="DB150" s="17"/>
    </row>
    <row r="151" spans="1:106" ht="15.75" thickBot="1" x14ac:dyDescent="0.3">
      <c r="A151" s="5">
        <f t="shared" si="218"/>
        <v>36</v>
      </c>
      <c r="B151" s="5">
        <f t="shared" si="218"/>
        <v>34</v>
      </c>
      <c r="C151" s="1">
        <v>46813</v>
      </c>
      <c r="D151" s="4"/>
      <c r="E151" s="30"/>
      <c r="F151" s="30"/>
      <c r="G151" s="30">
        <f t="shared" si="222"/>
        <v>0</v>
      </c>
      <c r="H151" s="30"/>
      <c r="I151" s="10">
        <v>0</v>
      </c>
      <c r="J151" s="60">
        <v>9000</v>
      </c>
      <c r="K151" s="11">
        <v>550</v>
      </c>
      <c r="L151" s="60">
        <f t="shared" si="72"/>
        <v>10425.905323661484</v>
      </c>
      <c r="M151" s="11">
        <v>305</v>
      </c>
      <c r="N151" s="60">
        <v>0</v>
      </c>
      <c r="O151" s="11">
        <v>0</v>
      </c>
      <c r="P151" s="11">
        <v>0</v>
      </c>
      <c r="Q151" s="60">
        <f>(Q150*($K$1/12))+Q150 + $Q$6</f>
        <v>127330.74804327286</v>
      </c>
      <c r="R151" s="60">
        <f>(R150*($K$1/12))+R150</f>
        <v>8384.9346509733459</v>
      </c>
      <c r="S151" s="60">
        <f>(S150*($K$1/12))+S150</f>
        <v>7279.8053598752649</v>
      </c>
      <c r="T151" s="60">
        <f>(T150*($K$1/12))+T150+$T$6 + ((3%/12)*T$11)</f>
        <v>503090.44369872962</v>
      </c>
      <c r="U151" s="60">
        <f>(U150*$K$1/12) + U150 + ((U$11/12*7%))</f>
        <v>65683.227761866539</v>
      </c>
      <c r="V151" s="60">
        <v>3100</v>
      </c>
      <c r="W151" s="60">
        <f>(W150*($K$1/12))+W150+$W$6</f>
        <v>45364.117712274223</v>
      </c>
      <c r="X151" s="11">
        <v>0</v>
      </c>
      <c r="Y151" s="60">
        <f>(Y150*($K$1/12))+Y150+$Y$7</f>
        <v>133007.97706692843</v>
      </c>
      <c r="Z151" s="60">
        <f>'Mortgage and Loans'!U113</f>
        <v>82388.81</v>
      </c>
      <c r="AA151" s="12">
        <f t="shared" si="252"/>
        <v>995910.96961758169</v>
      </c>
      <c r="AB151" s="56">
        <f t="shared" si="221"/>
        <v>750</v>
      </c>
      <c r="AC151" s="56">
        <f t="shared" si="221"/>
        <v>750</v>
      </c>
      <c r="AD151" s="56">
        <f t="shared" si="221"/>
        <v>750</v>
      </c>
      <c r="AE151" s="56">
        <f t="shared" si="221"/>
        <v>750</v>
      </c>
      <c r="AF151" s="56">
        <f t="shared" si="219"/>
        <v>261.43961537582675</v>
      </c>
      <c r="AG151" s="56">
        <f t="shared" si="221"/>
        <v>750</v>
      </c>
      <c r="AH151" s="56">
        <f>'Mortgage and Loans'!AF108</f>
        <v>0</v>
      </c>
      <c r="AI151" s="56">
        <f>'Mortgage and Loans'!AQ108</f>
        <v>0</v>
      </c>
      <c r="AJ151" s="56">
        <f>'Mortgage and Loans'!BB108</f>
        <v>0</v>
      </c>
      <c r="AK151" s="56">
        <f>'Mortgage and Loans'!BM108</f>
        <v>0</v>
      </c>
      <c r="AL151" s="56">
        <f>'Mortgage and Loans'!T113</f>
        <v>97611.18999999993</v>
      </c>
      <c r="AM151" s="12">
        <f t="shared" si="12"/>
        <v>-101622.62961537576</v>
      </c>
      <c r="AN151" s="75">
        <f t="shared" si="85"/>
        <v>894288.34000220592</v>
      </c>
      <c r="AO151" s="86">
        <f>'Mortgage and Loans'!G114</f>
        <v>1454.82</v>
      </c>
      <c r="AP151" s="79">
        <f>('Salary Tax Breakdown'!B$16/12)-Data!AO151</f>
        <v>1992.68</v>
      </c>
      <c r="AQ151" s="87"/>
      <c r="AR151" s="20">
        <f t="shared" si="223"/>
        <v>4011.4396153758266</v>
      </c>
      <c r="AS151" s="20">
        <v>750</v>
      </c>
      <c r="AT151" s="20">
        <v>0</v>
      </c>
      <c r="AU151" s="20">
        <f t="shared" si="224"/>
        <v>4761.4396153758262</v>
      </c>
      <c r="AV151" s="20">
        <f t="shared" si="225"/>
        <v>4761.4396151380224</v>
      </c>
      <c r="AW151" s="51">
        <f t="shared" si="253"/>
        <v>0</v>
      </c>
      <c r="AX151" s="51">
        <f t="shared" si="14"/>
        <v>0</v>
      </c>
      <c r="AY151" s="51">
        <f t="shared" si="15"/>
        <v>0</v>
      </c>
      <c r="AZ151" s="51">
        <f t="shared" si="16"/>
        <v>0</v>
      </c>
      <c r="BA151" s="51">
        <f t="shared" si="17"/>
        <v>0</v>
      </c>
      <c r="BB151" s="51">
        <f t="shared" si="18"/>
        <v>0</v>
      </c>
      <c r="BC151" s="51">
        <f t="shared" si="19"/>
        <v>0</v>
      </c>
      <c r="BD151" s="51">
        <f t="shared" si="20"/>
        <v>0</v>
      </c>
      <c r="BE151" s="51">
        <f t="shared" si="21"/>
        <v>0</v>
      </c>
      <c r="BF151" s="51">
        <f t="shared" si="22"/>
        <v>0</v>
      </c>
      <c r="BG151" s="51">
        <f t="shared" si="23"/>
        <v>0</v>
      </c>
      <c r="BH151" s="51">
        <f t="shared" si="24"/>
        <v>0</v>
      </c>
      <c r="BI151" s="51">
        <f t="shared" si="226"/>
        <v>0</v>
      </c>
      <c r="BJ151" s="51">
        <f t="shared" si="227"/>
        <v>0</v>
      </c>
      <c r="BK151" s="51">
        <f t="shared" si="228"/>
        <v>0</v>
      </c>
      <c r="BL151" s="51">
        <f t="shared" si="229"/>
        <v>0</v>
      </c>
      <c r="BM151" s="51">
        <f t="shared" si="230"/>
        <v>0</v>
      </c>
      <c r="BN151" s="51">
        <f t="shared" si="231"/>
        <v>0</v>
      </c>
      <c r="BO151" s="51">
        <f t="shared" si="232"/>
        <v>0</v>
      </c>
      <c r="BP151" s="51">
        <f t="shared" si="233"/>
        <v>0</v>
      </c>
      <c r="BQ151" s="51">
        <f t="shared" si="234"/>
        <v>0</v>
      </c>
      <c r="BR151" s="51">
        <f t="shared" si="235"/>
        <v>0</v>
      </c>
      <c r="BS151" s="51">
        <f t="shared" si="236"/>
        <v>0</v>
      </c>
      <c r="BT151" s="51">
        <f t="shared" si="237"/>
        <v>0</v>
      </c>
      <c r="BU151" s="20">
        <f t="shared" si="238"/>
        <v>4761.4396153538501</v>
      </c>
      <c r="BV151" s="20">
        <f t="shared" si="239"/>
        <v>4761.4396153956432</v>
      </c>
      <c r="BW151" s="20">
        <f t="shared" si="240"/>
        <v>57137.275384509914</v>
      </c>
      <c r="BX151" s="20">
        <f t="shared" si="241"/>
        <v>57137.275384246197</v>
      </c>
      <c r="BY151" s="20">
        <f t="shared" si="242"/>
        <v>57137.275384747714</v>
      </c>
      <c r="BZ151" s="21">
        <f t="shared" si="243"/>
        <v>57137.27538450127</v>
      </c>
      <c r="CA151" s="19">
        <f t="shared" si="256"/>
        <v>1428431.8846125316</v>
      </c>
      <c r="CB151" s="20">
        <f t="shared" si="244"/>
        <v>1428431.8846071798</v>
      </c>
      <c r="CC151" s="20">
        <f t="shared" si="245"/>
        <v>1428431.8846176544</v>
      </c>
      <c r="CD151" s="20">
        <f t="shared" si="257"/>
        <v>0</v>
      </c>
      <c r="CE151" s="20">
        <f t="shared" si="220"/>
        <v>1400000</v>
      </c>
      <c r="CF151" s="20">
        <f t="shared" si="254"/>
        <v>890141.25429392024</v>
      </c>
      <c r="CG151" s="20">
        <f t="shared" si="246"/>
        <v>35605.65017175681</v>
      </c>
      <c r="CH151" s="20">
        <f t="shared" si="255"/>
        <v>2967.1375143130676</v>
      </c>
      <c r="CI151" s="20">
        <f t="shared" si="247"/>
        <v>878665.07330726518</v>
      </c>
      <c r="CJ151" s="24">
        <f t="shared" si="248"/>
        <v>0.62315974873293312</v>
      </c>
      <c r="CK151" s="24">
        <f t="shared" si="249"/>
        <v>1.3084732526348125E-2</v>
      </c>
      <c r="CL151" s="24">
        <f t="shared" si="250"/>
        <v>4.0083600658421606E-2</v>
      </c>
      <c r="CM151" s="25">
        <f t="shared" si="251"/>
        <v>0.1771322567289948</v>
      </c>
      <c r="CN151" s="17"/>
      <c r="CO151" s="17"/>
      <c r="CP151" s="17"/>
      <c r="CQ151" s="17"/>
      <c r="CR151" s="17"/>
      <c r="CS151" s="17"/>
      <c r="CT151" s="17"/>
      <c r="CU151" s="17"/>
      <c r="CV151" s="17"/>
      <c r="CW151" s="30">
        <v>0</v>
      </c>
      <c r="CX151" s="17"/>
      <c r="CY151" s="17"/>
      <c r="CZ151" s="17"/>
      <c r="DA151" s="17"/>
      <c r="DB151" s="17"/>
    </row>
    <row r="152" spans="1:106" ht="15.75" thickBot="1" x14ac:dyDescent="0.3">
      <c r="A152" s="5">
        <f t="shared" si="218"/>
        <v>36</v>
      </c>
      <c r="B152" s="5">
        <f t="shared" si="218"/>
        <v>34</v>
      </c>
      <c r="C152" s="1">
        <v>46844</v>
      </c>
      <c r="D152" s="4"/>
      <c r="E152" s="30"/>
      <c r="F152" s="30"/>
      <c r="G152" s="30">
        <f t="shared" si="222"/>
        <v>0</v>
      </c>
      <c r="H152" s="30"/>
      <c r="I152" s="10">
        <v>0</v>
      </c>
      <c r="J152" s="60">
        <v>9000</v>
      </c>
      <c r="K152" s="11">
        <v>550</v>
      </c>
      <c r="L152" s="60">
        <f t="shared" si="72"/>
        <v>10438.50329259424</v>
      </c>
      <c r="M152" s="11">
        <v>305</v>
      </c>
      <c r="N152" s="60">
        <v>0</v>
      </c>
      <c r="O152" s="11">
        <v>0</v>
      </c>
      <c r="P152" s="11">
        <v>0</v>
      </c>
      <c r="Q152" s="60">
        <f>(Q151*($K$1/12))+Q151 + $Q$6</f>
        <v>128937.12626184059</v>
      </c>
      <c r="R152" s="60">
        <f>(R151*($K$1/12))+R151</f>
        <v>8430.3530469994512</v>
      </c>
      <c r="S152" s="60">
        <f>(S151*($K$1/12))+S151</f>
        <v>7319.2376389079227</v>
      </c>
      <c r="T152" s="60">
        <f>(T151*($K$1/12))+T151+$T$6 + ((3%/12)*T$11)</f>
        <v>508990.51693543105</v>
      </c>
      <c r="U152" s="60">
        <f>(U151*$K$1/12) + U151 + ((U$11/12*7%))</f>
        <v>66447.345245576638</v>
      </c>
      <c r="V152" s="60">
        <v>3100</v>
      </c>
      <c r="W152" s="60">
        <f>(W151*($K$1/12))+W151+$W$6</f>
        <v>45897.340016549038</v>
      </c>
      <c r="X152" s="11">
        <v>0</v>
      </c>
      <c r="Y152" s="60">
        <f>(Y151*($K$1/12))+Y151+$Y$7</f>
        <v>135678.43694270763</v>
      </c>
      <c r="Z152" s="60">
        <f>'Mortgage and Loans'!U114</f>
        <v>83507.679999999993</v>
      </c>
      <c r="AA152" s="12">
        <f t="shared" si="252"/>
        <v>1008601.5393806065</v>
      </c>
      <c r="AB152" s="56">
        <f t="shared" si="221"/>
        <v>750</v>
      </c>
      <c r="AC152" s="56">
        <f t="shared" si="221"/>
        <v>750</v>
      </c>
      <c r="AD152" s="56">
        <f t="shared" si="221"/>
        <v>750</v>
      </c>
      <c r="AE152" s="56">
        <f t="shared" si="221"/>
        <v>750</v>
      </c>
      <c r="AF152" s="56">
        <f t="shared" si="219"/>
        <v>261.43961539564373</v>
      </c>
      <c r="AG152" s="56">
        <f t="shared" si="221"/>
        <v>750</v>
      </c>
      <c r="AH152" s="56">
        <f>'Mortgage and Loans'!AF109</f>
        <v>0</v>
      </c>
      <c r="AI152" s="56">
        <f>'Mortgage and Loans'!AQ109</f>
        <v>0</v>
      </c>
      <c r="AJ152" s="56">
        <f>'Mortgage and Loans'!BB109</f>
        <v>0</v>
      </c>
      <c r="AK152" s="56">
        <f>'Mortgage and Loans'!BM109</f>
        <v>0</v>
      </c>
      <c r="AL152" s="56">
        <f>'Mortgage and Loans'!T114</f>
        <v>96492.31999999992</v>
      </c>
      <c r="AM152" s="12">
        <f t="shared" si="12"/>
        <v>-100503.75961539557</v>
      </c>
      <c r="AN152" s="75">
        <f t="shared" si="85"/>
        <v>908097.77976521093</v>
      </c>
      <c r="AO152" s="86">
        <f>'Mortgage and Loans'!G115</f>
        <v>1454.82</v>
      </c>
      <c r="AP152" s="79">
        <f>('Salary Tax Breakdown'!B$16/12)-Data!AO152</f>
        <v>1992.68</v>
      </c>
      <c r="AQ152" s="87"/>
      <c r="AR152" s="20">
        <f t="shared" si="223"/>
        <v>4011.4396153956436</v>
      </c>
      <c r="AS152" s="20">
        <v>750</v>
      </c>
      <c r="AT152" s="20">
        <v>0</v>
      </c>
      <c r="AU152" s="20">
        <f t="shared" si="224"/>
        <v>4761.4396153956441</v>
      </c>
      <c r="AV152" s="20">
        <f t="shared" si="225"/>
        <v>4761.4396152670624</v>
      </c>
      <c r="AW152" s="51">
        <f t="shared" si="253"/>
        <v>0</v>
      </c>
      <c r="AX152" s="51">
        <f t="shared" si="14"/>
        <v>0</v>
      </c>
      <c r="AY152" s="51">
        <f t="shared" si="15"/>
        <v>0</v>
      </c>
      <c r="AZ152" s="51">
        <f t="shared" si="16"/>
        <v>0</v>
      </c>
      <c r="BA152" s="51">
        <f t="shared" si="17"/>
        <v>0</v>
      </c>
      <c r="BB152" s="51">
        <f t="shared" si="18"/>
        <v>0</v>
      </c>
      <c r="BC152" s="51">
        <f t="shared" si="19"/>
        <v>0</v>
      </c>
      <c r="BD152" s="51">
        <f t="shared" si="20"/>
        <v>0</v>
      </c>
      <c r="BE152" s="51">
        <f t="shared" si="21"/>
        <v>0</v>
      </c>
      <c r="BF152" s="51">
        <f t="shared" si="22"/>
        <v>0</v>
      </c>
      <c r="BG152" s="51">
        <f t="shared" si="23"/>
        <v>0</v>
      </c>
      <c r="BH152" s="51">
        <f t="shared" si="24"/>
        <v>0</v>
      </c>
      <c r="BI152" s="51">
        <f t="shared" si="226"/>
        <v>0</v>
      </c>
      <c r="BJ152" s="51">
        <f t="shared" si="227"/>
        <v>0</v>
      </c>
      <c r="BK152" s="51">
        <f t="shared" si="228"/>
        <v>0</v>
      </c>
      <c r="BL152" s="51">
        <f t="shared" si="229"/>
        <v>0</v>
      </c>
      <c r="BM152" s="51">
        <f t="shared" si="230"/>
        <v>0</v>
      </c>
      <c r="BN152" s="51">
        <f t="shared" si="231"/>
        <v>0</v>
      </c>
      <c r="BO152" s="51">
        <f t="shared" si="232"/>
        <v>0</v>
      </c>
      <c r="BP152" s="51">
        <f t="shared" si="233"/>
        <v>0</v>
      </c>
      <c r="BQ152" s="51">
        <f t="shared" si="234"/>
        <v>0</v>
      </c>
      <c r="BR152" s="51">
        <f t="shared" si="235"/>
        <v>0</v>
      </c>
      <c r="BS152" s="51">
        <f t="shared" si="236"/>
        <v>0</v>
      </c>
      <c r="BT152" s="51">
        <f t="shared" si="237"/>
        <v>0</v>
      </c>
      <c r="BU152" s="20">
        <f t="shared" si="238"/>
        <v>4761.4396153745438</v>
      </c>
      <c r="BV152" s="20">
        <f t="shared" si="239"/>
        <v>4761.4396154063588</v>
      </c>
      <c r="BW152" s="20">
        <f t="shared" si="240"/>
        <v>57137.275384747729</v>
      </c>
      <c r="BX152" s="20">
        <f t="shared" si="241"/>
        <v>57137.275384494525</v>
      </c>
      <c r="BY152" s="20">
        <f t="shared" si="242"/>
        <v>57137.27538487631</v>
      </c>
      <c r="BZ152" s="21">
        <f t="shared" si="243"/>
        <v>57137.27538470619</v>
      </c>
      <c r="CA152" s="19">
        <f t="shared" si="256"/>
        <v>1428431.8846176548</v>
      </c>
      <c r="CB152" s="20">
        <f t="shared" si="244"/>
        <v>1428431.8846122827</v>
      </c>
      <c r="CC152" s="20">
        <f t="shared" si="245"/>
        <v>1428431.8846206071</v>
      </c>
      <c r="CD152" s="20">
        <f t="shared" si="257"/>
        <v>0</v>
      </c>
      <c r="CE152" s="20">
        <f t="shared" si="220"/>
        <v>1400000</v>
      </c>
      <c r="CF152" s="20">
        <f t="shared" si="254"/>
        <v>901700.35608801222</v>
      </c>
      <c r="CG152" s="20">
        <f t="shared" si="246"/>
        <v>36068.014243520491</v>
      </c>
      <c r="CH152" s="20">
        <f t="shared" si="255"/>
        <v>3005.6678536267077</v>
      </c>
      <c r="CI152" s="20">
        <f t="shared" si="247"/>
        <v>890162.01245434617</v>
      </c>
      <c r="CJ152" s="24">
        <f t="shared" si="248"/>
        <v>0.63125191043516893</v>
      </c>
      <c r="CK152" s="24">
        <f t="shared" si="249"/>
        <v>1.2985693830425735E-2</v>
      </c>
      <c r="CL152" s="24">
        <f t="shared" si="250"/>
        <v>3.9772184119496429E-2</v>
      </c>
      <c r="CM152" s="25">
        <f t="shared" si="251"/>
        <v>0.17557634395692245</v>
      </c>
      <c r="CN152" s="17"/>
      <c r="CO152" s="17"/>
      <c r="CP152" s="17"/>
      <c r="CQ152" s="17"/>
      <c r="CR152" s="17"/>
      <c r="CS152" s="17"/>
      <c r="CT152" s="17"/>
      <c r="CU152" s="17"/>
      <c r="CV152" s="17"/>
      <c r="CW152" s="30">
        <v>0</v>
      </c>
      <c r="CX152" s="17"/>
      <c r="CY152" s="17"/>
      <c r="CZ152" s="17"/>
      <c r="DA152" s="17"/>
      <c r="DB152" s="17"/>
    </row>
    <row r="153" spans="1:106" ht="15.75" thickBot="1" x14ac:dyDescent="0.3">
      <c r="A153" s="5">
        <f t="shared" si="218"/>
        <v>36</v>
      </c>
      <c r="B153" s="5">
        <f t="shared" si="218"/>
        <v>34</v>
      </c>
      <c r="C153" s="1">
        <v>46874</v>
      </c>
      <c r="D153" s="4"/>
      <c r="E153" s="30"/>
      <c r="F153" s="30"/>
      <c r="G153" s="30">
        <f t="shared" si="222"/>
        <v>0</v>
      </c>
      <c r="H153" s="30"/>
      <c r="I153" s="10">
        <v>0</v>
      </c>
      <c r="J153" s="60">
        <v>9000</v>
      </c>
      <c r="K153" s="11">
        <v>550</v>
      </c>
      <c r="L153" s="60">
        <f t="shared" si="72"/>
        <v>10451.116484072791</v>
      </c>
      <c r="M153" s="11">
        <v>305</v>
      </c>
      <c r="N153" s="60">
        <v>0</v>
      </c>
      <c r="O153" s="11">
        <v>0</v>
      </c>
      <c r="P153" s="11">
        <v>0</v>
      </c>
      <c r="Q153" s="60">
        <f>(Q152*($K$1/12))+Q152 + $Q$6</f>
        <v>130552.20569575889</v>
      </c>
      <c r="R153" s="60">
        <f>(R152*($K$1/12))+R152</f>
        <v>8476.0174593373649</v>
      </c>
      <c r="S153" s="60">
        <f>(S152*($K$1/12))+S152</f>
        <v>7358.8835094520073</v>
      </c>
      <c r="T153" s="60">
        <f>(T152*($K$1/12))+T152+$T$6 + ((3%/12)*T$11)</f>
        <v>514922.54890216462</v>
      </c>
      <c r="U153" s="60">
        <f>(U152*$K$1/12) + U152 + ((U$11/12*7%))</f>
        <v>67215.601698990169</v>
      </c>
      <c r="V153" s="60">
        <v>3100</v>
      </c>
      <c r="W153" s="60">
        <f>(W152*($K$1/12))+W152+$W$6</f>
        <v>46433.450608305349</v>
      </c>
      <c r="X153" s="11">
        <v>0</v>
      </c>
      <c r="Y153" s="60">
        <f>(Y152*($K$1/12))+Y152+$Y$7</f>
        <v>138363.36180948064</v>
      </c>
      <c r="Z153" s="60">
        <f>'Mortgage and Loans'!U115</f>
        <v>84630.41</v>
      </c>
      <c r="AA153" s="12">
        <f t="shared" si="252"/>
        <v>1021358.5961675619</v>
      </c>
      <c r="AB153" s="56">
        <f t="shared" si="221"/>
        <v>750</v>
      </c>
      <c r="AC153" s="56">
        <f t="shared" si="221"/>
        <v>750</v>
      </c>
      <c r="AD153" s="56">
        <f t="shared" si="221"/>
        <v>750</v>
      </c>
      <c r="AE153" s="56">
        <f t="shared" si="221"/>
        <v>750</v>
      </c>
      <c r="AF153" s="56">
        <f t="shared" si="219"/>
        <v>261.43961540635883</v>
      </c>
      <c r="AG153" s="56">
        <f t="shared" si="221"/>
        <v>750</v>
      </c>
      <c r="AH153" s="56">
        <f>'Mortgage and Loans'!AF110</f>
        <v>0</v>
      </c>
      <c r="AI153" s="56">
        <f>'Mortgage and Loans'!AQ110</f>
        <v>0</v>
      </c>
      <c r="AJ153" s="56">
        <f>'Mortgage and Loans'!BB110</f>
        <v>0</v>
      </c>
      <c r="AK153" s="56">
        <f>'Mortgage and Loans'!BM110</f>
        <v>0</v>
      </c>
      <c r="AL153" s="56">
        <f>'Mortgage and Loans'!T115</f>
        <v>95369.589999999909</v>
      </c>
      <c r="AM153" s="12">
        <f t="shared" si="12"/>
        <v>-99381.029615406267</v>
      </c>
      <c r="AN153" s="75">
        <f t="shared" si="85"/>
        <v>921977.56655215565</v>
      </c>
      <c r="AO153" s="86">
        <f>'Mortgage and Loans'!G116</f>
        <v>1454.82</v>
      </c>
      <c r="AP153" s="79">
        <f>('Salary Tax Breakdown'!B$16/12)-Data!AO153</f>
        <v>1992.68</v>
      </c>
      <c r="AQ153" s="87"/>
      <c r="AR153" s="20">
        <f t="shared" si="223"/>
        <v>4011.4396154063588</v>
      </c>
      <c r="AS153" s="20">
        <v>750</v>
      </c>
      <c r="AT153" s="20">
        <v>0</v>
      </c>
      <c r="AU153" s="20">
        <f t="shared" si="224"/>
        <v>4761.4396154063588</v>
      </c>
      <c r="AV153" s="20">
        <f t="shared" si="225"/>
        <v>4761.4396153974049</v>
      </c>
      <c r="AW153" s="51">
        <f t="shared" si="253"/>
        <v>0</v>
      </c>
      <c r="AX153" s="51">
        <f t="shared" si="14"/>
        <v>0</v>
      </c>
      <c r="AY153" s="51">
        <f t="shared" si="15"/>
        <v>0</v>
      </c>
      <c r="AZ153" s="51">
        <f t="shared" si="16"/>
        <v>0</v>
      </c>
      <c r="BA153" s="51">
        <f t="shared" si="17"/>
        <v>0</v>
      </c>
      <c r="BB153" s="51">
        <f t="shared" si="18"/>
        <v>0</v>
      </c>
      <c r="BC153" s="51">
        <f t="shared" si="19"/>
        <v>0</v>
      </c>
      <c r="BD153" s="51">
        <f t="shared" si="20"/>
        <v>0</v>
      </c>
      <c r="BE153" s="51">
        <f t="shared" si="21"/>
        <v>0</v>
      </c>
      <c r="BF153" s="51">
        <f t="shared" si="22"/>
        <v>0</v>
      </c>
      <c r="BG153" s="51">
        <f t="shared" si="23"/>
        <v>0</v>
      </c>
      <c r="BH153" s="51">
        <f t="shared" si="24"/>
        <v>0</v>
      </c>
      <c r="BI153" s="51">
        <f t="shared" si="226"/>
        <v>0</v>
      </c>
      <c r="BJ153" s="51">
        <f t="shared" si="227"/>
        <v>0</v>
      </c>
      <c r="BK153" s="51">
        <f t="shared" si="228"/>
        <v>0</v>
      </c>
      <c r="BL153" s="51">
        <f t="shared" si="229"/>
        <v>0</v>
      </c>
      <c r="BM153" s="51">
        <f t="shared" si="230"/>
        <v>0</v>
      </c>
      <c r="BN153" s="51">
        <f t="shared" si="231"/>
        <v>0</v>
      </c>
      <c r="BO153" s="51">
        <f t="shared" si="232"/>
        <v>0</v>
      </c>
      <c r="BP153" s="51">
        <f t="shared" si="233"/>
        <v>0</v>
      </c>
      <c r="BQ153" s="51">
        <f t="shared" si="234"/>
        <v>0</v>
      </c>
      <c r="BR153" s="51">
        <f t="shared" si="235"/>
        <v>0</v>
      </c>
      <c r="BS153" s="51">
        <f t="shared" si="236"/>
        <v>0</v>
      </c>
      <c r="BT153" s="51">
        <f t="shared" si="237"/>
        <v>0</v>
      </c>
      <c r="BU153" s="20">
        <f t="shared" si="238"/>
        <v>4761.43961539261</v>
      </c>
      <c r="BV153" s="20">
        <f t="shared" si="239"/>
        <v>4761.4396154071046</v>
      </c>
      <c r="BW153" s="20">
        <f t="shared" si="240"/>
        <v>57137.27538487631</v>
      </c>
      <c r="BX153" s="20">
        <f t="shared" si="241"/>
        <v>57137.27538471132</v>
      </c>
      <c r="BY153" s="20">
        <f t="shared" si="242"/>
        <v>57137.275384885259</v>
      </c>
      <c r="BZ153" s="21">
        <f t="shared" si="243"/>
        <v>57137.275384824294</v>
      </c>
      <c r="CA153" s="19">
        <f t="shared" si="256"/>
        <v>1428431.8846206074</v>
      </c>
      <c r="CB153" s="20">
        <f t="shared" si="244"/>
        <v>1428431.8846169312</v>
      </c>
      <c r="CC153" s="20">
        <f t="shared" si="245"/>
        <v>1428431.8846210632</v>
      </c>
      <c r="CD153" s="20">
        <f t="shared" si="257"/>
        <v>0</v>
      </c>
      <c r="CE153" s="20">
        <f t="shared" si="220"/>
        <v>1400000</v>
      </c>
      <c r="CF153" s="20">
        <f t="shared" si="254"/>
        <v>913322.06968348916</v>
      </c>
      <c r="CG153" s="20">
        <f t="shared" si="246"/>
        <v>36532.882787339564</v>
      </c>
      <c r="CH153" s="20">
        <f t="shared" si="255"/>
        <v>3044.4068989449638</v>
      </c>
      <c r="CI153" s="20">
        <f t="shared" si="247"/>
        <v>901721.22668847383</v>
      </c>
      <c r="CJ153" s="24">
        <f t="shared" si="248"/>
        <v>0.63938790468011619</v>
      </c>
      <c r="CK153" s="24">
        <f t="shared" si="249"/>
        <v>1.2888664751001354E-2</v>
      </c>
      <c r="CL153" s="24">
        <f t="shared" si="250"/>
        <v>3.9467208392284944E-2</v>
      </c>
      <c r="CM153" s="25">
        <f t="shared" si="251"/>
        <v>0.17405569229523843</v>
      </c>
      <c r="CN153" s="17"/>
      <c r="CO153" s="17"/>
      <c r="CP153" s="17"/>
      <c r="CQ153" s="17"/>
      <c r="CR153" s="17"/>
      <c r="CS153" s="17"/>
      <c r="CT153" s="17"/>
      <c r="CU153" s="17"/>
      <c r="CV153" s="17"/>
      <c r="CW153" s="30">
        <v>0</v>
      </c>
      <c r="CX153" s="17"/>
      <c r="CY153" s="17"/>
      <c r="CZ153" s="17"/>
      <c r="DA153" s="17"/>
      <c r="DB153" s="17"/>
    </row>
    <row r="154" spans="1:106" ht="15.75" thickBot="1" x14ac:dyDescent="0.3">
      <c r="A154" s="5">
        <f t="shared" si="218"/>
        <v>36</v>
      </c>
      <c r="B154" s="5">
        <f t="shared" si="218"/>
        <v>34</v>
      </c>
      <c r="C154" s="1">
        <v>46905</v>
      </c>
      <c r="D154" s="4"/>
      <c r="E154" s="30"/>
      <c r="F154" s="30"/>
      <c r="G154" s="30">
        <f t="shared" si="222"/>
        <v>0</v>
      </c>
      <c r="H154" s="30"/>
      <c r="I154" s="10">
        <v>0</v>
      </c>
      <c r="J154" s="60">
        <v>9000</v>
      </c>
      <c r="K154" s="11">
        <v>550</v>
      </c>
      <c r="L154" s="60">
        <f t="shared" si="72"/>
        <v>10463.744916491045</v>
      </c>
      <c r="M154" s="11">
        <v>305</v>
      </c>
      <c r="N154" s="60">
        <v>0</v>
      </c>
      <c r="O154" s="11">
        <v>0</v>
      </c>
      <c r="P154" s="11">
        <v>0</v>
      </c>
      <c r="Q154" s="60">
        <f>(Q153*($K$1/12))+Q153 + $Q$6</f>
        <v>132176.03347661093</v>
      </c>
      <c r="R154" s="60">
        <f>(R153*($K$1/12))+R153</f>
        <v>8521.9292205754427</v>
      </c>
      <c r="S154" s="60">
        <f>(S153*($K$1/12))+S153</f>
        <v>7398.7441284615388</v>
      </c>
      <c r="T154" s="60">
        <f>(T153*($K$1/12))+T153+$T$6 + ((3%/12)*T$11)</f>
        <v>520886.71270871803</v>
      </c>
      <c r="U154" s="60">
        <f>(U153*$K$1/12) + U153 + ((U$11/12*7%))</f>
        <v>67988.019541526359</v>
      </c>
      <c r="V154" s="60">
        <v>3100</v>
      </c>
      <c r="W154" s="60">
        <f>(W153*($K$1/12))+W153+$W$6</f>
        <v>46972.465132433666</v>
      </c>
      <c r="X154" s="11">
        <v>0</v>
      </c>
      <c r="Y154" s="60">
        <f>(Y153*($K$1/12))+Y153+$Y$7</f>
        <v>141062.830019282</v>
      </c>
      <c r="Z154" s="60">
        <f>'Mortgage and Loans'!U116</f>
        <v>85757</v>
      </c>
      <c r="AA154" s="12">
        <f t="shared" si="252"/>
        <v>1034182.4791440989</v>
      </c>
      <c r="AB154" s="56">
        <f t="shared" si="221"/>
        <v>750</v>
      </c>
      <c r="AC154" s="56">
        <f t="shared" si="221"/>
        <v>750</v>
      </c>
      <c r="AD154" s="56">
        <f t="shared" si="221"/>
        <v>750</v>
      </c>
      <c r="AE154" s="56">
        <f t="shared" si="221"/>
        <v>750</v>
      </c>
      <c r="AF154" s="56">
        <f t="shared" si="219"/>
        <v>261.43961540710501</v>
      </c>
      <c r="AG154" s="56">
        <f t="shared" si="221"/>
        <v>750</v>
      </c>
      <c r="AH154" s="56">
        <f>'Mortgage and Loans'!AF111</f>
        <v>0</v>
      </c>
      <c r="AI154" s="56">
        <f>'Mortgage and Loans'!AQ111</f>
        <v>0</v>
      </c>
      <c r="AJ154" s="56">
        <f>'Mortgage and Loans'!BB111</f>
        <v>0</v>
      </c>
      <c r="AK154" s="56">
        <f>'Mortgage and Loans'!BM111</f>
        <v>0</v>
      </c>
      <c r="AL154" s="56">
        <f>'Mortgage and Loans'!T116</f>
        <v>94242.999999999913</v>
      </c>
      <c r="AM154" s="12">
        <f t="shared" si="12"/>
        <v>-98254.439615407013</v>
      </c>
      <c r="AN154" s="75">
        <f t="shared" si="85"/>
        <v>935928.03952869191</v>
      </c>
      <c r="AO154" s="86">
        <f>'Mortgage and Loans'!G117</f>
        <v>1454.82</v>
      </c>
      <c r="AP154" s="79">
        <f>('Salary Tax Breakdown'!B$16/12)-Data!AO154</f>
        <v>1992.68</v>
      </c>
      <c r="AQ154" s="87"/>
      <c r="AR154" s="20">
        <f t="shared" si="223"/>
        <v>4011.4396154071051</v>
      </c>
      <c r="AS154" s="20">
        <v>750</v>
      </c>
      <c r="AT154" s="20">
        <v>0</v>
      </c>
      <c r="AU154" s="20">
        <f t="shared" si="224"/>
        <v>4761.4396154071055</v>
      </c>
      <c r="AV154" s="20">
        <f t="shared" si="225"/>
        <v>4761.4396154864717</v>
      </c>
      <c r="AW154" s="51">
        <f t="shared" si="253"/>
        <v>0</v>
      </c>
      <c r="AX154" s="51">
        <f t="shared" si="14"/>
        <v>0</v>
      </c>
      <c r="AY154" s="51">
        <f t="shared" si="15"/>
        <v>0</v>
      </c>
      <c r="AZ154" s="51">
        <f t="shared" si="16"/>
        <v>0</v>
      </c>
      <c r="BA154" s="51">
        <f t="shared" si="17"/>
        <v>0</v>
      </c>
      <c r="BB154" s="51">
        <f t="shared" si="18"/>
        <v>0</v>
      </c>
      <c r="BC154" s="51">
        <f t="shared" si="19"/>
        <v>0</v>
      </c>
      <c r="BD154" s="51">
        <f t="shared" si="20"/>
        <v>0</v>
      </c>
      <c r="BE154" s="51">
        <f t="shared" si="21"/>
        <v>0</v>
      </c>
      <c r="BF154" s="51">
        <f t="shared" si="22"/>
        <v>0</v>
      </c>
      <c r="BG154" s="51">
        <f t="shared" si="23"/>
        <v>0</v>
      </c>
      <c r="BH154" s="51">
        <f t="shared" si="24"/>
        <v>0</v>
      </c>
      <c r="BI154" s="51">
        <f t="shared" si="226"/>
        <v>0</v>
      </c>
      <c r="BJ154" s="51">
        <f t="shared" si="227"/>
        <v>0</v>
      </c>
      <c r="BK154" s="51">
        <f t="shared" si="228"/>
        <v>0</v>
      </c>
      <c r="BL154" s="51">
        <f t="shared" si="229"/>
        <v>0</v>
      </c>
      <c r="BM154" s="51">
        <f t="shared" si="230"/>
        <v>0</v>
      </c>
      <c r="BN154" s="51">
        <f t="shared" si="231"/>
        <v>0</v>
      </c>
      <c r="BO154" s="51">
        <f t="shared" si="232"/>
        <v>0</v>
      </c>
      <c r="BP154" s="51">
        <f t="shared" si="233"/>
        <v>0</v>
      </c>
      <c r="BQ154" s="51">
        <f t="shared" si="234"/>
        <v>0</v>
      </c>
      <c r="BR154" s="51">
        <f t="shared" si="235"/>
        <v>0</v>
      </c>
      <c r="BS154" s="51">
        <f t="shared" si="236"/>
        <v>0</v>
      </c>
      <c r="BT154" s="51">
        <f t="shared" si="237"/>
        <v>0</v>
      </c>
      <c r="BU154" s="20">
        <f t="shared" si="238"/>
        <v>4761.4396154030355</v>
      </c>
      <c r="BV154" s="20">
        <f t="shared" si="239"/>
        <v>4761.4396154004908</v>
      </c>
      <c r="BW154" s="20">
        <f t="shared" si="240"/>
        <v>57137.275384885266</v>
      </c>
      <c r="BX154" s="20">
        <f t="shared" si="241"/>
        <v>57137.275384836423</v>
      </c>
      <c r="BY154" s="20">
        <f t="shared" si="242"/>
        <v>57137.275384805893</v>
      </c>
      <c r="BZ154" s="21">
        <f t="shared" si="243"/>
        <v>57137.275384842527</v>
      </c>
      <c r="CA154" s="19">
        <f t="shared" si="256"/>
        <v>1428431.8846210632</v>
      </c>
      <c r="CB154" s="20">
        <f t="shared" si="244"/>
        <v>1428431.8846197752</v>
      </c>
      <c r="CC154" s="20">
        <f t="shared" si="245"/>
        <v>1428431.8846195862</v>
      </c>
      <c r="CD154" s="20">
        <f t="shared" si="257"/>
        <v>0</v>
      </c>
      <c r="CE154" s="20">
        <f t="shared" si="220"/>
        <v>1400000</v>
      </c>
      <c r="CF154" s="20">
        <f t="shared" si="254"/>
        <v>925006.73422760784</v>
      </c>
      <c r="CG154" s="20">
        <f t="shared" si="246"/>
        <v>37000.269369104317</v>
      </c>
      <c r="CH154" s="20">
        <f t="shared" si="255"/>
        <v>3083.3557807586931</v>
      </c>
      <c r="CI154" s="20">
        <f t="shared" si="247"/>
        <v>913343.05333303649</v>
      </c>
      <c r="CJ154" s="24">
        <f t="shared" si="248"/>
        <v>0.64756796889466606</v>
      </c>
      <c r="CK154" s="24">
        <f t="shared" si="249"/>
        <v>1.2793586109408254E-2</v>
      </c>
      <c r="CL154" s="24">
        <f t="shared" si="250"/>
        <v>3.9168480019885918E-2</v>
      </c>
      <c r="CM154" s="25">
        <f t="shared" si="251"/>
        <v>0.17256913795623452</v>
      </c>
      <c r="CN154" s="17"/>
      <c r="CO154" s="17"/>
      <c r="CP154" s="17"/>
      <c r="CQ154" s="17"/>
      <c r="CR154" s="17"/>
      <c r="CS154" s="17"/>
      <c r="CT154" s="17"/>
      <c r="CU154" s="17"/>
      <c r="CV154" s="17"/>
      <c r="CW154" s="30">
        <v>0</v>
      </c>
      <c r="CX154" s="17"/>
      <c r="CY154" s="17"/>
      <c r="CZ154" s="17"/>
      <c r="DA154" s="17"/>
      <c r="DB154" s="17"/>
    </row>
    <row r="155" spans="1:106" ht="15.75" thickBot="1" x14ac:dyDescent="0.3">
      <c r="A155" s="5">
        <f t="shared" si="218"/>
        <v>36</v>
      </c>
      <c r="B155" s="5">
        <f t="shared" si="218"/>
        <v>34</v>
      </c>
      <c r="C155" s="1">
        <v>46935</v>
      </c>
      <c r="D155" s="4"/>
      <c r="E155" s="30"/>
      <c r="F155" s="30"/>
      <c r="G155" s="30">
        <f t="shared" si="222"/>
        <v>0</v>
      </c>
      <c r="H155" s="30"/>
      <c r="I155" s="10">
        <v>0</v>
      </c>
      <c r="J155" s="60">
        <v>9000</v>
      </c>
      <c r="K155" s="11">
        <v>550</v>
      </c>
      <c r="L155" s="60">
        <f t="shared" si="72"/>
        <v>10476.388608265137</v>
      </c>
      <c r="M155" s="11">
        <v>305</v>
      </c>
      <c r="N155" s="60">
        <v>0</v>
      </c>
      <c r="O155" s="11">
        <v>0</v>
      </c>
      <c r="P155" s="11">
        <v>0</v>
      </c>
      <c r="Q155" s="60">
        <f>(Q154*($K$1/12))+Q154 + $Q$6</f>
        <v>133808.65699127593</v>
      </c>
      <c r="R155" s="60">
        <f>(R154*($K$1/12))+R154</f>
        <v>8568.0896705202267</v>
      </c>
      <c r="S155" s="60">
        <f>(S154*($K$1/12))+S154</f>
        <v>7438.8206591573726</v>
      </c>
      <c r="T155" s="60">
        <f>(T154*($K$1/12))+T154+$T$6 + ((3%/12)*T$11)</f>
        <v>526883.18240255699</v>
      </c>
      <c r="U155" s="60">
        <f>(U154*$K$1/12) + U154 + ((U$11/12*7%))</f>
        <v>68764.621314042961</v>
      </c>
      <c r="V155" s="60">
        <v>3100</v>
      </c>
      <c r="W155" s="60">
        <f>(W154*($K$1/12))+W154+$W$6</f>
        <v>47514.399318567681</v>
      </c>
      <c r="X155" s="11">
        <v>0</v>
      </c>
      <c r="Y155" s="60">
        <f>(Y154*($K$1/12))+Y154+$Y$7</f>
        <v>143776.9203485531</v>
      </c>
      <c r="Z155" s="60">
        <f>'Mortgage and Loans'!U117</f>
        <v>86887.47</v>
      </c>
      <c r="AA155" s="12">
        <f t="shared" si="252"/>
        <v>1047073.5493129394</v>
      </c>
      <c r="AB155" s="56">
        <f t="shared" si="221"/>
        <v>750</v>
      </c>
      <c r="AC155" s="56">
        <f t="shared" si="221"/>
        <v>750</v>
      </c>
      <c r="AD155" s="56">
        <f t="shared" si="221"/>
        <v>750</v>
      </c>
      <c r="AE155" s="56">
        <f t="shared" si="221"/>
        <v>750</v>
      </c>
      <c r="AF155" s="56">
        <f t="shared" si="219"/>
        <v>261.43961540049116</v>
      </c>
      <c r="AG155" s="56">
        <f t="shared" si="221"/>
        <v>750</v>
      </c>
      <c r="AH155" s="56">
        <f>'Mortgage and Loans'!AF112</f>
        <v>0</v>
      </c>
      <c r="AI155" s="56">
        <f>'Mortgage and Loans'!AQ112</f>
        <v>0</v>
      </c>
      <c r="AJ155" s="56">
        <f>'Mortgage and Loans'!BB112</f>
        <v>0</v>
      </c>
      <c r="AK155" s="56">
        <f>'Mortgage and Loans'!BM112</f>
        <v>0</v>
      </c>
      <c r="AL155" s="56">
        <f>'Mortgage and Loans'!T117</f>
        <v>93112.529999999912</v>
      </c>
      <c r="AM155" s="12">
        <f t="shared" si="12"/>
        <v>-97123.969615400405</v>
      </c>
      <c r="AN155" s="75">
        <f t="shared" si="85"/>
        <v>949949.57969753898</v>
      </c>
      <c r="AO155" s="86">
        <f>'Mortgage and Loans'!G118</f>
        <v>1454.82</v>
      </c>
      <c r="AP155" s="79">
        <f>('Salary Tax Breakdown'!B$16/12)-Data!AO155</f>
        <v>1992.68</v>
      </c>
      <c r="AQ155" s="87"/>
      <c r="AR155" s="20">
        <f t="shared" si="223"/>
        <v>4011.4396154004912</v>
      </c>
      <c r="AS155" s="20">
        <v>750</v>
      </c>
      <c r="AT155" s="20">
        <v>0</v>
      </c>
      <c r="AU155" s="20">
        <f t="shared" si="224"/>
        <v>4761.4396154004917</v>
      </c>
      <c r="AV155" s="20">
        <f t="shared" si="225"/>
        <v>4761.439615517751</v>
      </c>
      <c r="AW155" s="51">
        <f t="shared" si="253"/>
        <v>0</v>
      </c>
      <c r="AX155" s="51">
        <f t="shared" si="14"/>
        <v>0</v>
      </c>
      <c r="AY155" s="51">
        <f t="shared" si="15"/>
        <v>0</v>
      </c>
      <c r="AZ155" s="51">
        <f t="shared" si="16"/>
        <v>0</v>
      </c>
      <c r="BA155" s="51">
        <f t="shared" si="17"/>
        <v>0</v>
      </c>
      <c r="BB155" s="51">
        <f t="shared" si="18"/>
        <v>0</v>
      </c>
      <c r="BC155" s="51">
        <f t="shared" si="19"/>
        <v>0</v>
      </c>
      <c r="BD155" s="51">
        <f t="shared" si="20"/>
        <v>0</v>
      </c>
      <c r="BE155" s="51">
        <f t="shared" si="21"/>
        <v>0</v>
      </c>
      <c r="BF155" s="51">
        <f t="shared" si="22"/>
        <v>0</v>
      </c>
      <c r="BG155" s="51">
        <f t="shared" si="23"/>
        <v>0</v>
      </c>
      <c r="BH155" s="51">
        <f t="shared" si="24"/>
        <v>0</v>
      </c>
      <c r="BI155" s="51">
        <f t="shared" si="226"/>
        <v>0</v>
      </c>
      <c r="BJ155" s="51">
        <f t="shared" si="227"/>
        <v>0</v>
      </c>
      <c r="BK155" s="51">
        <f t="shared" si="228"/>
        <v>0</v>
      </c>
      <c r="BL155" s="51">
        <f t="shared" si="229"/>
        <v>0</v>
      </c>
      <c r="BM155" s="51">
        <f t="shared" si="230"/>
        <v>0</v>
      </c>
      <c r="BN155" s="51">
        <f t="shared" si="231"/>
        <v>0</v>
      </c>
      <c r="BO155" s="51">
        <f t="shared" si="232"/>
        <v>0</v>
      </c>
      <c r="BP155" s="51">
        <f t="shared" si="233"/>
        <v>0</v>
      </c>
      <c r="BQ155" s="51">
        <f t="shared" si="234"/>
        <v>0</v>
      </c>
      <c r="BR155" s="51">
        <f t="shared" si="235"/>
        <v>0</v>
      </c>
      <c r="BS155" s="51">
        <f t="shared" si="236"/>
        <v>0</v>
      </c>
      <c r="BT155" s="51">
        <f t="shared" si="237"/>
        <v>0</v>
      </c>
      <c r="BU155" s="20">
        <f t="shared" si="238"/>
        <v>4761.4396154046526</v>
      </c>
      <c r="BV155" s="20">
        <f t="shared" si="239"/>
        <v>4761.4396153907201</v>
      </c>
      <c r="BW155" s="20">
        <f t="shared" si="240"/>
        <v>57137.2753848059</v>
      </c>
      <c r="BX155" s="20">
        <f t="shared" si="241"/>
        <v>57137.275384855835</v>
      </c>
      <c r="BY155" s="20">
        <f t="shared" si="242"/>
        <v>57137.275384688641</v>
      </c>
      <c r="BZ155" s="21">
        <f t="shared" si="243"/>
        <v>57137.275384783454</v>
      </c>
      <c r="CA155" s="19">
        <f t="shared" si="256"/>
        <v>1428431.8846195864</v>
      </c>
      <c r="CB155" s="20">
        <f t="shared" si="244"/>
        <v>1428431.884620419</v>
      </c>
      <c r="CC155" s="20">
        <f t="shared" si="245"/>
        <v>1428431.8846171938</v>
      </c>
      <c r="CD155" s="20">
        <f t="shared" si="257"/>
        <v>0</v>
      </c>
      <c r="CE155" s="20">
        <f t="shared" si="220"/>
        <v>1400000</v>
      </c>
      <c r="CF155" s="20">
        <f t="shared" si="254"/>
        <v>936754.69070467434</v>
      </c>
      <c r="CG155" s="20">
        <f t="shared" si="246"/>
        <v>37470.187628186977</v>
      </c>
      <c r="CH155" s="20">
        <f t="shared" si="255"/>
        <v>3122.5156356822481</v>
      </c>
      <c r="CI155" s="20">
        <f t="shared" si="247"/>
        <v>925027.83153859049</v>
      </c>
      <c r="CJ155" s="24">
        <f t="shared" si="248"/>
        <v>0.65579234179136281</v>
      </c>
      <c r="CK155" s="24">
        <f t="shared" si="249"/>
        <v>1.2700401026675976E-2</v>
      </c>
      <c r="CL155" s="24">
        <f t="shared" si="250"/>
        <v>3.8875813212211452E-2</v>
      </c>
      <c r="CM155" s="25">
        <f t="shared" si="251"/>
        <v>0.17111556779107476</v>
      </c>
      <c r="CN155" s="17"/>
      <c r="CO155" s="17"/>
      <c r="CP155" s="17"/>
      <c r="CQ155" s="17"/>
      <c r="CR155" s="17"/>
      <c r="CS155" s="17"/>
      <c r="CT155" s="17"/>
      <c r="CU155" s="17"/>
      <c r="CV155" s="17"/>
      <c r="CW155" s="30">
        <v>0</v>
      </c>
      <c r="CX155" s="17"/>
      <c r="CY155" s="17"/>
      <c r="CZ155" s="17"/>
      <c r="DA155" s="17"/>
      <c r="DB155" s="17"/>
    </row>
    <row r="156" spans="1:106" ht="15.75" thickBot="1" x14ac:dyDescent="0.3">
      <c r="A156" s="5">
        <f t="shared" si="218"/>
        <v>36</v>
      </c>
      <c r="B156" s="5">
        <f t="shared" si="218"/>
        <v>34</v>
      </c>
      <c r="C156" s="1">
        <v>46966</v>
      </c>
      <c r="D156" s="4"/>
      <c r="E156" s="30"/>
      <c r="F156" s="30"/>
      <c r="G156" s="30">
        <f t="shared" si="222"/>
        <v>0</v>
      </c>
      <c r="H156" s="30"/>
      <c r="I156" s="10">
        <v>0</v>
      </c>
      <c r="J156" s="60">
        <v>9000</v>
      </c>
      <c r="K156" s="11">
        <v>550</v>
      </c>
      <c r="L156" s="60">
        <f t="shared" si="72"/>
        <v>10489.047577833457</v>
      </c>
      <c r="M156" s="11">
        <v>305</v>
      </c>
      <c r="N156" s="60">
        <v>0</v>
      </c>
      <c r="O156" s="11">
        <v>0</v>
      </c>
      <c r="P156" s="11">
        <v>0</v>
      </c>
      <c r="Q156" s="60">
        <f>(Q155*($K$1/12))+Q155 + $Q$6</f>
        <v>135450.12388331202</v>
      </c>
      <c r="R156" s="60">
        <f>(R155*($K$1/12))+R155</f>
        <v>8614.5001562355446</v>
      </c>
      <c r="S156" s="60">
        <f>(S155*($K$1/12))+S155</f>
        <v>7479.1142710611421</v>
      </c>
      <c r="T156" s="60">
        <f>(T155*($K$1/12))+T155+$T$6 + ((3%/12)*T$11)</f>
        <v>532912.13297390414</v>
      </c>
      <c r="U156" s="60">
        <f>(U155*$K$1/12) + U155 + ((U$11/12*7%))</f>
        <v>69545.429679494016</v>
      </c>
      <c r="V156" s="60">
        <v>3100</v>
      </c>
      <c r="W156" s="60">
        <f>(W155*($K$1/12))+W155+$W$6</f>
        <v>48059.268981543253</v>
      </c>
      <c r="X156" s="11">
        <v>0</v>
      </c>
      <c r="Y156" s="60">
        <f>(Y155*($K$1/12))+Y155+$Y$7</f>
        <v>146505.7120004411</v>
      </c>
      <c r="Z156" s="60">
        <f>'Mortgage and Loans'!U118</f>
        <v>88021.83</v>
      </c>
      <c r="AA156" s="12">
        <f t="shared" si="252"/>
        <v>1060032.1595238247</v>
      </c>
      <c r="AB156" s="56">
        <f t="shared" si="221"/>
        <v>750</v>
      </c>
      <c r="AC156" s="56">
        <f t="shared" si="221"/>
        <v>750</v>
      </c>
      <c r="AD156" s="56">
        <f t="shared" si="221"/>
        <v>750</v>
      </c>
      <c r="AE156" s="56">
        <f t="shared" si="221"/>
        <v>750</v>
      </c>
      <c r="AF156" s="56">
        <f t="shared" si="219"/>
        <v>261.43961539071955</v>
      </c>
      <c r="AG156" s="56">
        <f t="shared" si="221"/>
        <v>750</v>
      </c>
      <c r="AH156" s="56">
        <f>'Mortgage and Loans'!AF113</f>
        <v>0</v>
      </c>
      <c r="AI156" s="56">
        <f>'Mortgage and Loans'!AQ113</f>
        <v>0</v>
      </c>
      <c r="AJ156" s="56">
        <f>'Mortgage and Loans'!BB113</f>
        <v>0</v>
      </c>
      <c r="AK156" s="56">
        <f>'Mortgage and Loans'!BM113</f>
        <v>0</v>
      </c>
      <c r="AL156" s="56">
        <f>'Mortgage and Loans'!T118</f>
        <v>91978.169999999911</v>
      </c>
      <c r="AM156" s="12">
        <f t="shared" si="12"/>
        <v>-95989.609615390626</v>
      </c>
      <c r="AN156" s="75">
        <f t="shared" si="85"/>
        <v>964042.54990843404</v>
      </c>
      <c r="AO156" s="86">
        <f>'Mortgage and Loans'!G119</f>
        <v>1454.82</v>
      </c>
      <c r="AP156" s="79">
        <f>('Salary Tax Breakdown'!B$16/12)-Data!AO156</f>
        <v>1992.68</v>
      </c>
      <c r="AQ156" s="87"/>
      <c r="AR156" s="20">
        <f t="shared" si="223"/>
        <v>4011.4396153907196</v>
      </c>
      <c r="AS156" s="20">
        <v>750</v>
      </c>
      <c r="AT156" s="20">
        <v>0</v>
      </c>
      <c r="AU156" s="20">
        <f t="shared" si="224"/>
        <v>4761.4396153907201</v>
      </c>
      <c r="AV156" s="20">
        <f t="shared" si="225"/>
        <v>4761.4396154979604</v>
      </c>
      <c r="AW156" s="51">
        <f t="shared" si="253"/>
        <v>0</v>
      </c>
      <c r="AX156" s="51">
        <f t="shared" si="14"/>
        <v>0</v>
      </c>
      <c r="AY156" s="51">
        <f t="shared" si="15"/>
        <v>0</v>
      </c>
      <c r="AZ156" s="51">
        <f t="shared" si="16"/>
        <v>0</v>
      </c>
      <c r="BA156" s="51">
        <f t="shared" si="17"/>
        <v>0</v>
      </c>
      <c r="BB156" s="51">
        <f t="shared" si="18"/>
        <v>0</v>
      </c>
      <c r="BC156" s="51">
        <f t="shared" si="19"/>
        <v>0</v>
      </c>
      <c r="BD156" s="51">
        <f t="shared" si="20"/>
        <v>0</v>
      </c>
      <c r="BE156" s="51">
        <f t="shared" si="21"/>
        <v>0</v>
      </c>
      <c r="BF156" s="51">
        <f t="shared" si="22"/>
        <v>0</v>
      </c>
      <c r="BG156" s="51">
        <f t="shared" si="23"/>
        <v>0</v>
      </c>
      <c r="BH156" s="51">
        <f t="shared" si="24"/>
        <v>0</v>
      </c>
      <c r="BI156" s="51">
        <f t="shared" si="226"/>
        <v>0</v>
      </c>
      <c r="BJ156" s="51">
        <f t="shared" si="227"/>
        <v>0</v>
      </c>
      <c r="BK156" s="51">
        <f t="shared" si="228"/>
        <v>0</v>
      </c>
      <c r="BL156" s="51">
        <f t="shared" si="229"/>
        <v>0</v>
      </c>
      <c r="BM156" s="51">
        <f t="shared" si="230"/>
        <v>0</v>
      </c>
      <c r="BN156" s="51">
        <f t="shared" si="231"/>
        <v>0</v>
      </c>
      <c r="BO156" s="51">
        <f t="shared" si="232"/>
        <v>0</v>
      </c>
      <c r="BP156" s="51">
        <f t="shared" si="233"/>
        <v>0</v>
      </c>
      <c r="BQ156" s="51">
        <f t="shared" si="234"/>
        <v>0</v>
      </c>
      <c r="BR156" s="51">
        <f t="shared" si="235"/>
        <v>0</v>
      </c>
      <c r="BS156" s="51">
        <f t="shared" si="236"/>
        <v>0</v>
      </c>
      <c r="BT156" s="51">
        <f t="shared" si="237"/>
        <v>0</v>
      </c>
      <c r="BU156" s="20">
        <f t="shared" si="238"/>
        <v>4761.4396153994394</v>
      </c>
      <c r="BV156" s="20">
        <f t="shared" si="239"/>
        <v>4761.4396153817834</v>
      </c>
      <c r="BW156" s="20">
        <f t="shared" si="240"/>
        <v>57137.275384688641</v>
      </c>
      <c r="BX156" s="20">
        <f t="shared" si="241"/>
        <v>57137.275384793276</v>
      </c>
      <c r="BY156" s="20">
        <f t="shared" si="242"/>
        <v>57137.2753845814</v>
      </c>
      <c r="BZ156" s="21">
        <f t="shared" si="243"/>
        <v>57137.275384687782</v>
      </c>
      <c r="CA156" s="19">
        <f t="shared" si="256"/>
        <v>1428431.8846171945</v>
      </c>
      <c r="CB156" s="20">
        <f t="shared" si="244"/>
        <v>1428431.8846192814</v>
      </c>
      <c r="CC156" s="20">
        <f t="shared" si="245"/>
        <v>1428431.8846149053</v>
      </c>
      <c r="CD156" s="20">
        <f t="shared" si="257"/>
        <v>0</v>
      </c>
      <c r="CE156" s="20">
        <f t="shared" si="220"/>
        <v>1400000</v>
      </c>
      <c r="CF156" s="20">
        <f t="shared" si="254"/>
        <v>948566.28194599121</v>
      </c>
      <c r="CG156" s="20">
        <f t="shared" si="246"/>
        <v>37942.65127783965</v>
      </c>
      <c r="CH156" s="20">
        <f t="shared" si="255"/>
        <v>3161.8876064866377</v>
      </c>
      <c r="CI156" s="20">
        <f t="shared" si="247"/>
        <v>936775.90229275776</v>
      </c>
      <c r="CJ156" s="24">
        <f t="shared" si="248"/>
        <v>0.66406126337540528</v>
      </c>
      <c r="CK156" s="24">
        <f t="shared" si="249"/>
        <v>1.2609054812879125E-2</v>
      </c>
      <c r="CL156" s="24">
        <f t="shared" si="250"/>
        <v>3.858902946987354E-2</v>
      </c>
      <c r="CM156" s="25">
        <f t="shared" si="251"/>
        <v>0.16969391656499372</v>
      </c>
      <c r="CN156" s="17"/>
      <c r="CO156" s="17"/>
      <c r="CP156" s="17"/>
      <c r="CQ156" s="17"/>
      <c r="CR156" s="17"/>
      <c r="CS156" s="17"/>
      <c r="CT156" s="17"/>
      <c r="CU156" s="17"/>
      <c r="CV156" s="17"/>
      <c r="CW156" s="30">
        <v>0</v>
      </c>
      <c r="CX156" s="17"/>
      <c r="CY156" s="17"/>
      <c r="CZ156" s="17"/>
      <c r="DA156" s="17"/>
      <c r="DB156" s="17"/>
    </row>
    <row r="157" spans="1:106" ht="15.75" thickBot="1" x14ac:dyDescent="0.3">
      <c r="A157" s="5">
        <f t="shared" ref="A157:B220" si="258">A145+1</f>
        <v>36</v>
      </c>
      <c r="B157" s="5">
        <f t="shared" si="258"/>
        <v>34</v>
      </c>
      <c r="C157" s="1">
        <v>46997</v>
      </c>
      <c r="D157" s="4"/>
      <c r="E157" s="30"/>
      <c r="F157" s="30"/>
      <c r="G157" s="30">
        <f t="shared" si="222"/>
        <v>0</v>
      </c>
      <c r="H157" s="30"/>
      <c r="I157" s="10">
        <v>0</v>
      </c>
      <c r="J157" s="60">
        <v>9000</v>
      </c>
      <c r="K157" s="11">
        <v>550</v>
      </c>
      <c r="L157" s="60">
        <f t="shared" si="72"/>
        <v>10501.721843656671</v>
      </c>
      <c r="M157" s="11">
        <v>305</v>
      </c>
      <c r="N157" s="60">
        <v>0</v>
      </c>
      <c r="O157" s="11">
        <v>0</v>
      </c>
      <c r="P157" s="11">
        <v>0</v>
      </c>
      <c r="Q157" s="60">
        <f>(Q156*($K$1/12))+Q156 + $Q$6</f>
        <v>137100.48205434665</v>
      </c>
      <c r="R157" s="60">
        <f>(R156*($K$1/12))+R156</f>
        <v>8661.1620320818201</v>
      </c>
      <c r="S157" s="60">
        <f>(S156*($K$1/12))+S156</f>
        <v>7519.6261400293897</v>
      </c>
      <c r="T157" s="60">
        <f>(T156*($K$1/12))+T156+$T$6 + ((3%/12)*T$11)</f>
        <v>538973.74036084616</v>
      </c>
      <c r="U157" s="60">
        <f>(U156*$K$1/12) + U156 + ((U$11/12*7%))</f>
        <v>70330.467423591268</v>
      </c>
      <c r="V157" s="60">
        <v>3100</v>
      </c>
      <c r="W157" s="60">
        <f>(W156*($K$1/12))+W156+$W$6</f>
        <v>48607.090021859949</v>
      </c>
      <c r="X157" s="11">
        <v>0</v>
      </c>
      <c r="Y157" s="60">
        <f>(Y156*($K$1/12))+Y156+$Y$7</f>
        <v>149249.28460711017</v>
      </c>
      <c r="Z157" s="60">
        <f>'Mortgage and Loans'!U119</f>
        <v>89160.09</v>
      </c>
      <c r="AA157" s="12">
        <f t="shared" si="252"/>
        <v>1073058.6644835223</v>
      </c>
      <c r="AB157" s="56">
        <f t="shared" si="221"/>
        <v>750</v>
      </c>
      <c r="AC157" s="56">
        <f t="shared" si="221"/>
        <v>750</v>
      </c>
      <c r="AD157" s="56">
        <f t="shared" si="221"/>
        <v>750</v>
      </c>
      <c r="AE157" s="56">
        <f t="shared" si="221"/>
        <v>750</v>
      </c>
      <c r="AF157" s="56">
        <f t="shared" si="219"/>
        <v>261.43961538178274</v>
      </c>
      <c r="AG157" s="56">
        <f t="shared" si="221"/>
        <v>750</v>
      </c>
      <c r="AH157" s="56">
        <f>'Mortgage and Loans'!AF114</f>
        <v>0</v>
      </c>
      <c r="AI157" s="56">
        <f>'Mortgage and Loans'!AQ114</f>
        <v>0</v>
      </c>
      <c r="AJ157" s="56">
        <f>'Mortgage and Loans'!BB114</f>
        <v>0</v>
      </c>
      <c r="AK157" s="56">
        <f>'Mortgage and Loans'!BM114</f>
        <v>0</v>
      </c>
      <c r="AL157" s="56">
        <f>'Mortgage and Loans'!T119</f>
        <v>90839.909999999902</v>
      </c>
      <c r="AM157" s="12">
        <f t="shared" si="12"/>
        <v>-94851.349615381681</v>
      </c>
      <c r="AN157" s="75">
        <f t="shared" si="85"/>
        <v>978207.31486814062</v>
      </c>
      <c r="AO157" s="86">
        <f>'Mortgage and Loans'!G120</f>
        <v>1454.82</v>
      </c>
      <c r="AP157" s="79">
        <f>('Salary Tax Breakdown'!B$16/12)-Data!AO157</f>
        <v>1992.68</v>
      </c>
      <c r="AQ157" s="87"/>
      <c r="AR157" s="20">
        <f t="shared" si="223"/>
        <v>4011.4396153817829</v>
      </c>
      <c r="AS157" s="20">
        <v>750</v>
      </c>
      <c r="AT157" s="20">
        <v>0</v>
      </c>
      <c r="AU157" s="20">
        <f t="shared" si="224"/>
        <v>4761.4396153817834</v>
      </c>
      <c r="AV157" s="20">
        <f t="shared" si="225"/>
        <v>4761.4396154479073</v>
      </c>
      <c r="AW157" s="51">
        <f t="shared" si="253"/>
        <v>0</v>
      </c>
      <c r="AX157" s="51">
        <f t="shared" si="14"/>
        <v>0</v>
      </c>
      <c r="AY157" s="51">
        <f t="shared" si="15"/>
        <v>0</v>
      </c>
      <c r="AZ157" s="51">
        <f t="shared" si="16"/>
        <v>0</v>
      </c>
      <c r="BA157" s="51">
        <f t="shared" si="17"/>
        <v>0</v>
      </c>
      <c r="BB157" s="51">
        <f t="shared" si="18"/>
        <v>0</v>
      </c>
      <c r="BC157" s="51">
        <f t="shared" si="19"/>
        <v>0</v>
      </c>
      <c r="BD157" s="51">
        <f t="shared" si="20"/>
        <v>0</v>
      </c>
      <c r="BE157" s="51">
        <f t="shared" si="21"/>
        <v>0</v>
      </c>
      <c r="BF157" s="51">
        <f t="shared" si="22"/>
        <v>0</v>
      </c>
      <c r="BG157" s="51">
        <f t="shared" si="23"/>
        <v>0</v>
      </c>
      <c r="BH157" s="51">
        <f t="shared" si="24"/>
        <v>0</v>
      </c>
      <c r="BI157" s="51">
        <f t="shared" si="226"/>
        <v>0</v>
      </c>
      <c r="BJ157" s="51">
        <f t="shared" si="227"/>
        <v>0</v>
      </c>
      <c r="BK157" s="51">
        <f t="shared" si="228"/>
        <v>0</v>
      </c>
      <c r="BL157" s="51">
        <f t="shared" si="229"/>
        <v>0</v>
      </c>
      <c r="BM157" s="51">
        <f t="shared" si="230"/>
        <v>0</v>
      </c>
      <c r="BN157" s="51">
        <f t="shared" si="231"/>
        <v>0</v>
      </c>
      <c r="BO157" s="51">
        <f t="shared" si="232"/>
        <v>0</v>
      </c>
      <c r="BP157" s="51">
        <f t="shared" si="233"/>
        <v>0</v>
      </c>
      <c r="BQ157" s="51">
        <f t="shared" si="234"/>
        <v>0</v>
      </c>
      <c r="BR157" s="51">
        <f t="shared" si="235"/>
        <v>0</v>
      </c>
      <c r="BS157" s="51">
        <f t="shared" si="236"/>
        <v>0</v>
      </c>
      <c r="BT157" s="51">
        <f t="shared" si="237"/>
        <v>0</v>
      </c>
      <c r="BU157" s="20">
        <f t="shared" si="238"/>
        <v>4761.4396153909984</v>
      </c>
      <c r="BV157" s="20">
        <f t="shared" si="239"/>
        <v>4761.4396153762727</v>
      </c>
      <c r="BW157" s="20">
        <f t="shared" si="240"/>
        <v>57137.2753845814</v>
      </c>
      <c r="BX157" s="20">
        <f t="shared" si="241"/>
        <v>57137.27538469198</v>
      </c>
      <c r="BY157" s="20">
        <f t="shared" si="242"/>
        <v>57137.275384515277</v>
      </c>
      <c r="BZ157" s="21">
        <f t="shared" si="243"/>
        <v>57137.275384596222</v>
      </c>
      <c r="CA157" s="19">
        <f t="shared" si="256"/>
        <v>1428431.8846149056</v>
      </c>
      <c r="CB157" s="20">
        <f t="shared" si="244"/>
        <v>1428431.8846172288</v>
      </c>
      <c r="CC157" s="20">
        <f t="shared" si="245"/>
        <v>1428431.8846134162</v>
      </c>
      <c r="CD157" s="20">
        <f t="shared" si="257"/>
        <v>0</v>
      </c>
      <c r="CE157" s="20">
        <f t="shared" si="220"/>
        <v>1400000</v>
      </c>
      <c r="CF157" s="20">
        <f t="shared" si="254"/>
        <v>960441.85263986548</v>
      </c>
      <c r="CG157" s="20">
        <f t="shared" si="246"/>
        <v>38417.674105594619</v>
      </c>
      <c r="CH157" s="20">
        <f t="shared" si="255"/>
        <v>3201.472842132885</v>
      </c>
      <c r="CI157" s="20">
        <f t="shared" si="247"/>
        <v>948587.60843017697</v>
      </c>
      <c r="CJ157" s="24">
        <f t="shared" si="248"/>
        <v>0.67237497495180265</v>
      </c>
      <c r="CK157" s="24">
        <f t="shared" si="249"/>
        <v>1.251949486282755E-2</v>
      </c>
      <c r="CL157" s="24">
        <f t="shared" si="250"/>
        <v>3.8307957230004824E-2</v>
      </c>
      <c r="CM157" s="25">
        <f t="shared" si="251"/>
        <v>0.16830316440657125</v>
      </c>
      <c r="CN157" s="17"/>
      <c r="CO157" s="17"/>
      <c r="CP157" s="17"/>
      <c r="CQ157" s="17"/>
      <c r="CR157" s="17"/>
      <c r="CS157" s="17"/>
      <c r="CT157" s="17"/>
      <c r="CU157" s="17"/>
      <c r="CV157" s="17"/>
      <c r="CW157" s="30">
        <v>0</v>
      </c>
      <c r="CX157" s="17"/>
      <c r="CY157" s="17"/>
      <c r="CZ157" s="17"/>
      <c r="DA157" s="17"/>
      <c r="DB157" s="17"/>
    </row>
    <row r="158" spans="1:106" ht="15.75" thickBot="1" x14ac:dyDescent="0.3">
      <c r="A158" s="5">
        <f t="shared" si="258"/>
        <v>36</v>
      </c>
      <c r="B158" s="5">
        <f t="shared" si="258"/>
        <v>35</v>
      </c>
      <c r="C158" s="1">
        <v>47027</v>
      </c>
      <c r="D158" s="4"/>
      <c r="E158" s="30"/>
      <c r="F158" s="30"/>
      <c r="G158" s="30">
        <f t="shared" si="222"/>
        <v>0</v>
      </c>
      <c r="H158" s="30"/>
      <c r="I158" s="10">
        <v>0</v>
      </c>
      <c r="J158" s="60">
        <v>9000</v>
      </c>
      <c r="K158" s="11">
        <v>550</v>
      </c>
      <c r="L158" s="60">
        <f t="shared" si="72"/>
        <v>10514.411424217755</v>
      </c>
      <c r="M158" s="11">
        <v>305</v>
      </c>
      <c r="N158" s="60">
        <v>0</v>
      </c>
      <c r="O158" s="11">
        <v>0</v>
      </c>
      <c r="P158" s="11">
        <v>0</v>
      </c>
      <c r="Q158" s="60">
        <f>(Q157*($K$1/12))+Q157 + $Q$6</f>
        <v>138759.77966547437</v>
      </c>
      <c r="R158" s="60">
        <f>(R157*($K$1/12))+R157</f>
        <v>8708.0766597555976</v>
      </c>
      <c r="S158" s="60">
        <f>(S157*($K$1/12))+S157</f>
        <v>7560.3574482878821</v>
      </c>
      <c r="T158" s="60">
        <f>(T157*($K$1/12))+T157+$T$6 + ((3%/12)*T$11)</f>
        <v>545068.18145446735</v>
      </c>
      <c r="U158" s="60">
        <f>(U157*$K$1/12) + U157 + ((U$11/12*7%))</f>
        <v>71119.757455469051</v>
      </c>
      <c r="V158" s="60">
        <v>3100</v>
      </c>
      <c r="W158" s="60">
        <f>(W157*($K$1/12))+W157+$W$6</f>
        <v>49157.878426145027</v>
      </c>
      <c r="X158" s="11">
        <v>0</v>
      </c>
      <c r="Y158" s="60">
        <f>(Y157*($K$1/12))+Y157+$Y$7</f>
        <v>152007.71823206535</v>
      </c>
      <c r="Z158" s="60">
        <f>'Mortgage and Loans'!U120</f>
        <v>90302.27</v>
      </c>
      <c r="AA158" s="12">
        <f t="shared" si="252"/>
        <v>1086153.4307658824</v>
      </c>
      <c r="AB158" s="56">
        <f t="shared" si="221"/>
        <v>750</v>
      </c>
      <c r="AC158" s="56">
        <f t="shared" si="221"/>
        <v>750</v>
      </c>
      <c r="AD158" s="56">
        <f t="shared" si="221"/>
        <v>750</v>
      </c>
      <c r="AE158" s="56">
        <f t="shared" si="221"/>
        <v>750</v>
      </c>
      <c r="AF158" s="56">
        <f t="shared" si="219"/>
        <v>261.43961537627234</v>
      </c>
      <c r="AG158" s="56">
        <f t="shared" si="221"/>
        <v>750</v>
      </c>
      <c r="AH158" s="56">
        <f>'Mortgage and Loans'!AF115</f>
        <v>0</v>
      </c>
      <c r="AI158" s="56">
        <f>'Mortgage and Loans'!AQ115</f>
        <v>0</v>
      </c>
      <c r="AJ158" s="56">
        <f>'Mortgage and Loans'!BB115</f>
        <v>0</v>
      </c>
      <c r="AK158" s="56">
        <f>'Mortgage and Loans'!BM115</f>
        <v>0</v>
      </c>
      <c r="AL158" s="56">
        <f>'Mortgage and Loans'!T120</f>
        <v>89697.729999999894</v>
      </c>
      <c r="AM158" s="12">
        <f t="shared" si="12"/>
        <v>-93709.169615376173</v>
      </c>
      <c r="AN158" s="75">
        <f t="shared" si="85"/>
        <v>992444.26115050621</v>
      </c>
      <c r="AO158" s="86">
        <f>'Mortgage and Loans'!G121</f>
        <v>1454.82</v>
      </c>
      <c r="AP158" s="79">
        <f>('Salary Tax Breakdown'!B$16/12)-Data!AO158</f>
        <v>1992.68</v>
      </c>
      <c r="AQ158" s="87"/>
      <c r="AR158" s="20">
        <f t="shared" si="223"/>
        <v>4011.4396153762723</v>
      </c>
      <c r="AS158" s="20">
        <v>750</v>
      </c>
      <c r="AT158" s="20">
        <v>0</v>
      </c>
      <c r="AU158" s="20">
        <f t="shared" si="224"/>
        <v>4761.4396153762718</v>
      </c>
      <c r="AV158" s="20">
        <f t="shared" si="225"/>
        <v>4761.4396153919588</v>
      </c>
      <c r="AW158" s="51">
        <f t="shared" si="253"/>
        <v>0</v>
      </c>
      <c r="AX158" s="51">
        <f t="shared" si="14"/>
        <v>0</v>
      </c>
      <c r="AY158" s="51">
        <f t="shared" si="15"/>
        <v>0</v>
      </c>
      <c r="AZ158" s="51">
        <f t="shared" si="16"/>
        <v>0</v>
      </c>
      <c r="BA158" s="51">
        <f t="shared" si="17"/>
        <v>0</v>
      </c>
      <c r="BB158" s="51">
        <f t="shared" si="18"/>
        <v>0</v>
      </c>
      <c r="BC158" s="51">
        <f t="shared" si="19"/>
        <v>0</v>
      </c>
      <c r="BD158" s="51">
        <f t="shared" si="20"/>
        <v>0</v>
      </c>
      <c r="BE158" s="51">
        <f t="shared" si="21"/>
        <v>0</v>
      </c>
      <c r="BF158" s="51">
        <f t="shared" si="22"/>
        <v>0</v>
      </c>
      <c r="BG158" s="51">
        <f t="shared" si="23"/>
        <v>0</v>
      </c>
      <c r="BH158" s="51">
        <f t="shared" si="24"/>
        <v>0</v>
      </c>
      <c r="BI158" s="51">
        <f t="shared" si="226"/>
        <v>0</v>
      </c>
      <c r="BJ158" s="51">
        <f t="shared" si="227"/>
        <v>0</v>
      </c>
      <c r="BK158" s="51">
        <f t="shared" si="228"/>
        <v>0</v>
      </c>
      <c r="BL158" s="51">
        <f t="shared" si="229"/>
        <v>0</v>
      </c>
      <c r="BM158" s="51">
        <f t="shared" si="230"/>
        <v>0</v>
      </c>
      <c r="BN158" s="51">
        <f t="shared" si="231"/>
        <v>0</v>
      </c>
      <c r="BO158" s="51">
        <f t="shared" si="232"/>
        <v>0</v>
      </c>
      <c r="BP158" s="51">
        <f t="shared" si="233"/>
        <v>0</v>
      </c>
      <c r="BQ158" s="51">
        <f t="shared" si="234"/>
        <v>0</v>
      </c>
      <c r="BR158" s="51">
        <f t="shared" si="235"/>
        <v>0</v>
      </c>
      <c r="BS158" s="51">
        <f t="shared" si="236"/>
        <v>0</v>
      </c>
      <c r="BT158" s="51">
        <f t="shared" si="237"/>
        <v>0</v>
      </c>
      <c r="BU158" s="20">
        <f t="shared" si="238"/>
        <v>4761.4396153829248</v>
      </c>
      <c r="BV158" s="20">
        <f t="shared" si="239"/>
        <v>4761.4396153749667</v>
      </c>
      <c r="BW158" s="20">
        <f t="shared" si="240"/>
        <v>57137.275384515262</v>
      </c>
      <c r="BX158" s="20">
        <f t="shared" si="241"/>
        <v>57137.275384595094</v>
      </c>
      <c r="BY158" s="20">
        <f t="shared" si="242"/>
        <v>57137.275384499604</v>
      </c>
      <c r="BZ158" s="21">
        <f t="shared" si="243"/>
        <v>57137.275384536653</v>
      </c>
      <c r="CA158" s="19">
        <f t="shared" si="256"/>
        <v>1428431.8846134164</v>
      </c>
      <c r="CB158" s="20">
        <f t="shared" si="244"/>
        <v>1428431.8846151719</v>
      </c>
      <c r="CC158" s="20">
        <f t="shared" si="245"/>
        <v>1428431.8846129726</v>
      </c>
      <c r="CD158" s="20">
        <f t="shared" si="257"/>
        <v>0</v>
      </c>
      <c r="CE158" s="20">
        <f t="shared" si="220"/>
        <v>1400000</v>
      </c>
      <c r="CF158" s="20">
        <f t="shared" si="254"/>
        <v>972381.7493416646</v>
      </c>
      <c r="CG158" s="20">
        <f t="shared" si="246"/>
        <v>38895.269973666582</v>
      </c>
      <c r="CH158" s="20">
        <f t="shared" si="255"/>
        <v>3241.2724978055485</v>
      </c>
      <c r="CI158" s="20">
        <f t="shared" si="247"/>
        <v>960463.2946425071</v>
      </c>
      <c r="CJ158" s="24">
        <f t="shared" si="248"/>
        <v>0.68073371913259273</v>
      </c>
      <c r="CK158" s="24">
        <f t="shared" si="249"/>
        <v>1.2431670557651341E-2</v>
      </c>
      <c r="CL158" s="24">
        <f t="shared" si="250"/>
        <v>3.8032431532517633E-2</v>
      </c>
      <c r="CM158" s="25">
        <f t="shared" si="251"/>
        <v>0.16694233441822998</v>
      </c>
      <c r="CN158" s="17"/>
      <c r="CO158" s="17"/>
      <c r="CP158" s="17"/>
      <c r="CQ158" s="17"/>
      <c r="CR158" s="17"/>
      <c r="CS158" s="17"/>
      <c r="CT158" s="17"/>
      <c r="CU158" s="17"/>
      <c r="CV158" s="17"/>
      <c r="CW158" s="30">
        <v>0</v>
      </c>
      <c r="CX158" s="17"/>
      <c r="CY158" s="17"/>
      <c r="CZ158" s="17"/>
      <c r="DA158" s="17"/>
      <c r="DB158" s="17"/>
    </row>
    <row r="159" spans="1:106" ht="15.75" thickBot="1" x14ac:dyDescent="0.3">
      <c r="A159" s="5">
        <f t="shared" si="258"/>
        <v>36</v>
      </c>
      <c r="B159" s="5">
        <f t="shared" si="258"/>
        <v>35</v>
      </c>
      <c r="C159" s="1">
        <v>47058</v>
      </c>
      <c r="D159" s="4"/>
      <c r="E159" s="30"/>
      <c r="F159" s="30"/>
      <c r="G159" s="30">
        <f t="shared" si="222"/>
        <v>0</v>
      </c>
      <c r="H159" s="30"/>
      <c r="I159" s="10">
        <v>0</v>
      </c>
      <c r="J159" s="60">
        <v>9000</v>
      </c>
      <c r="K159" s="11">
        <v>550</v>
      </c>
      <c r="L159" s="60">
        <f t="shared" si="72"/>
        <v>10527.116338022017</v>
      </c>
      <c r="M159" s="11">
        <v>305</v>
      </c>
      <c r="N159" s="60">
        <v>0</v>
      </c>
      <c r="O159" s="11">
        <v>0</v>
      </c>
      <c r="P159" s="11">
        <v>0</v>
      </c>
      <c r="Q159" s="60">
        <f>(Q158*($K$1/12))+Q158 + $Q$6</f>
        <v>140428.06513866238</v>
      </c>
      <c r="R159" s="60">
        <f>(R158*($K$1/12))+R158</f>
        <v>8755.2454083292741</v>
      </c>
      <c r="S159" s="60">
        <f>(S158*($K$1/12))+S158</f>
        <v>7601.309384466108</v>
      </c>
      <c r="T159" s="60">
        <f>(T158*($K$1/12))+T158+$T$6 + ((3%/12)*T$11)</f>
        <v>551195.6341040124</v>
      </c>
      <c r="U159" s="60">
        <f>(U158*$K$1/12) + U158 + ((U$11/12*7%))</f>
        <v>71913.322808352837</v>
      </c>
      <c r="V159" s="60">
        <v>3100</v>
      </c>
      <c r="W159" s="60">
        <f>(W158*($K$1/12))+W158+$W$6</f>
        <v>49711.650267619982</v>
      </c>
      <c r="X159" s="11">
        <v>0</v>
      </c>
      <c r="Y159" s="60">
        <f>(Y158*($K$1/12))+Y158+$Y$7</f>
        <v>154781.09337248903</v>
      </c>
      <c r="Z159" s="60">
        <f>'Mortgage and Loans'!U121</f>
        <v>91448.38</v>
      </c>
      <c r="AA159" s="12">
        <f t="shared" si="252"/>
        <v>1099316.8168219542</v>
      </c>
      <c r="AB159" s="56">
        <f t="shared" si="221"/>
        <v>750</v>
      </c>
      <c r="AC159" s="56">
        <f t="shared" si="221"/>
        <v>750</v>
      </c>
      <c r="AD159" s="56">
        <f t="shared" si="221"/>
        <v>750</v>
      </c>
      <c r="AE159" s="56">
        <f t="shared" si="221"/>
        <v>750</v>
      </c>
      <c r="AF159" s="56">
        <f t="shared" si="219"/>
        <v>261.43961537496511</v>
      </c>
      <c r="AG159" s="56">
        <f t="shared" si="221"/>
        <v>750</v>
      </c>
      <c r="AH159" s="56">
        <f>'Mortgage and Loans'!AF116</f>
        <v>0</v>
      </c>
      <c r="AI159" s="56">
        <f>'Mortgage and Loans'!AQ116</f>
        <v>0</v>
      </c>
      <c r="AJ159" s="56">
        <f>'Mortgage and Loans'!BB116</f>
        <v>0</v>
      </c>
      <c r="AK159" s="56">
        <f>'Mortgage and Loans'!BM116</f>
        <v>0</v>
      </c>
      <c r="AL159" s="56">
        <f>'Mortgage and Loans'!T121</f>
        <v>88551.619999999893</v>
      </c>
      <c r="AM159" s="12">
        <f t="shared" si="12"/>
        <v>-92563.059615374863</v>
      </c>
      <c r="AN159" s="75">
        <f t="shared" si="85"/>
        <v>1006753.7572065793</v>
      </c>
      <c r="AO159" s="86">
        <f>'Mortgage and Loans'!G122</f>
        <v>1454.82</v>
      </c>
      <c r="AP159" s="79">
        <f>('Salary Tax Breakdown'!B$16/12)-Data!AO159</f>
        <v>1992.68</v>
      </c>
      <c r="AQ159" s="87"/>
      <c r="AR159" s="20">
        <f t="shared" si="223"/>
        <v>4011.4396153749649</v>
      </c>
      <c r="AS159" s="20">
        <v>750</v>
      </c>
      <c r="AT159" s="20">
        <v>0</v>
      </c>
      <c r="AU159" s="20">
        <f t="shared" si="224"/>
        <v>4761.4396153749649</v>
      </c>
      <c r="AV159" s="20">
        <f t="shared" si="225"/>
        <v>4761.439615349489</v>
      </c>
      <c r="AW159" s="51">
        <f t="shared" si="253"/>
        <v>0</v>
      </c>
      <c r="AX159" s="51">
        <f t="shared" si="14"/>
        <v>0</v>
      </c>
      <c r="AY159" s="51">
        <f t="shared" si="15"/>
        <v>0</v>
      </c>
      <c r="AZ159" s="51">
        <f t="shared" si="16"/>
        <v>0</v>
      </c>
      <c r="BA159" s="51">
        <f t="shared" si="17"/>
        <v>0</v>
      </c>
      <c r="BB159" s="51">
        <f t="shared" si="18"/>
        <v>0</v>
      </c>
      <c r="BC159" s="51">
        <f t="shared" si="19"/>
        <v>0</v>
      </c>
      <c r="BD159" s="51">
        <f t="shared" si="20"/>
        <v>0</v>
      </c>
      <c r="BE159" s="51">
        <f t="shared" si="21"/>
        <v>0</v>
      </c>
      <c r="BF159" s="51">
        <f t="shared" si="22"/>
        <v>0</v>
      </c>
      <c r="BG159" s="51">
        <f t="shared" si="23"/>
        <v>0</v>
      </c>
      <c r="BH159" s="51">
        <f t="shared" si="24"/>
        <v>0</v>
      </c>
      <c r="BI159" s="51">
        <f t="shared" si="226"/>
        <v>0</v>
      </c>
      <c r="BJ159" s="51">
        <f t="shared" si="227"/>
        <v>0</v>
      </c>
      <c r="BK159" s="51">
        <f t="shared" si="228"/>
        <v>0</v>
      </c>
      <c r="BL159" s="51">
        <f t="shared" si="229"/>
        <v>0</v>
      </c>
      <c r="BM159" s="51">
        <f t="shared" si="230"/>
        <v>0</v>
      </c>
      <c r="BN159" s="51">
        <f t="shared" si="231"/>
        <v>0</v>
      </c>
      <c r="BO159" s="51">
        <f t="shared" si="232"/>
        <v>0</v>
      </c>
      <c r="BP159" s="51">
        <f t="shared" si="233"/>
        <v>0</v>
      </c>
      <c r="BQ159" s="51">
        <f t="shared" si="234"/>
        <v>0</v>
      </c>
      <c r="BR159" s="51">
        <f t="shared" si="235"/>
        <v>0</v>
      </c>
      <c r="BS159" s="51">
        <f t="shared" si="236"/>
        <v>0</v>
      </c>
      <c r="BT159" s="51">
        <f t="shared" si="237"/>
        <v>0</v>
      </c>
      <c r="BU159" s="20">
        <f t="shared" si="238"/>
        <v>4761.4396153776734</v>
      </c>
      <c r="BV159" s="20">
        <f t="shared" si="239"/>
        <v>4761.4396153770876</v>
      </c>
      <c r="BW159" s="20">
        <f t="shared" si="240"/>
        <v>57137.275384499575</v>
      </c>
      <c r="BX159" s="20">
        <f t="shared" si="241"/>
        <v>57137.275384532084</v>
      </c>
      <c r="BY159" s="20">
        <f t="shared" si="242"/>
        <v>57137.275384525055</v>
      </c>
      <c r="BZ159" s="21">
        <f t="shared" si="243"/>
        <v>57137.2753845189</v>
      </c>
      <c r="CA159" s="19">
        <f t="shared" si="256"/>
        <v>1428431.8846129724</v>
      </c>
      <c r="CB159" s="20">
        <f t="shared" si="244"/>
        <v>1428431.8846137647</v>
      </c>
      <c r="CC159" s="20">
        <f t="shared" si="245"/>
        <v>1428431.8846134197</v>
      </c>
      <c r="CD159" s="20">
        <f t="shared" si="257"/>
        <v>0</v>
      </c>
      <c r="CE159" s="20">
        <f t="shared" si="220"/>
        <v>1400000</v>
      </c>
      <c r="CF159" s="20">
        <f t="shared" si="254"/>
        <v>984386.32048393216</v>
      </c>
      <c r="CG159" s="20">
        <f t="shared" si="246"/>
        <v>39375.452819357284</v>
      </c>
      <c r="CH159" s="20">
        <f t="shared" si="255"/>
        <v>3281.2877349464402</v>
      </c>
      <c r="CI159" s="20">
        <f t="shared" si="247"/>
        <v>972403.30748848745</v>
      </c>
      <c r="CJ159" s="24">
        <f t="shared" si="248"/>
        <v>0.6891377398440679</v>
      </c>
      <c r="CK159" s="24">
        <f t="shared" si="249"/>
        <v>1.2345533171920445E-2</v>
      </c>
      <c r="CL159" s="24">
        <f t="shared" si="250"/>
        <v>3.7762293705460255E-2</v>
      </c>
      <c r="CM159" s="25">
        <f t="shared" si="251"/>
        <v>0.16561049043620391</v>
      </c>
      <c r="CN159" s="17"/>
      <c r="CO159" s="17"/>
      <c r="CP159" s="17"/>
      <c r="CQ159" s="17"/>
      <c r="CR159" s="17"/>
      <c r="CS159" s="17"/>
      <c r="CT159" s="17"/>
      <c r="CU159" s="17"/>
      <c r="CV159" s="17"/>
      <c r="CW159" s="30">
        <v>0</v>
      </c>
      <c r="CX159" s="17"/>
      <c r="CY159" s="17"/>
      <c r="CZ159" s="17"/>
      <c r="DA159" s="17"/>
      <c r="DB159" s="17"/>
    </row>
    <row r="160" spans="1:106" ht="15.75" thickBot="1" x14ac:dyDescent="0.3">
      <c r="A160" s="5">
        <f t="shared" si="258"/>
        <v>37</v>
      </c>
      <c r="B160" s="5">
        <f t="shared" si="258"/>
        <v>35</v>
      </c>
      <c r="C160" s="1">
        <v>47088</v>
      </c>
      <c r="D160" s="4"/>
      <c r="E160" s="30"/>
      <c r="F160" s="30"/>
      <c r="G160" s="30">
        <f t="shared" si="222"/>
        <v>0</v>
      </c>
      <c r="H160" s="30"/>
      <c r="I160" s="10">
        <v>0</v>
      </c>
      <c r="J160" s="60">
        <v>9000</v>
      </c>
      <c r="K160" s="11">
        <v>550</v>
      </c>
      <c r="L160" s="60">
        <f t="shared" si="72"/>
        <v>10539.836603597127</v>
      </c>
      <c r="M160" s="11">
        <v>305</v>
      </c>
      <c r="N160" s="60">
        <v>0</v>
      </c>
      <c r="O160" s="11">
        <v>0</v>
      </c>
      <c r="P160" s="11">
        <v>0</v>
      </c>
      <c r="Q160" s="60">
        <f>(Q159*($K$1/12))+Q159 + $Q$6</f>
        <v>142105.38715816347</v>
      </c>
      <c r="R160" s="60">
        <f>(R159*($K$1/12))+R159</f>
        <v>8802.6696542910577</v>
      </c>
      <c r="S160" s="60">
        <f>(S159*($K$1/12))+S159</f>
        <v>7642.4831436319664</v>
      </c>
      <c r="T160" s="60">
        <f>(T159*($K$1/12))+T159+$T$6 + ((3%/12)*T$11)</f>
        <v>557356.27712207579</v>
      </c>
      <c r="U160" s="60">
        <f>(U159*$K$1/12) + U159 + ((U$11/12*7%))</f>
        <v>72711.186640231404</v>
      </c>
      <c r="V160" s="60">
        <v>3100</v>
      </c>
      <c r="W160" s="60">
        <f>(W159*($K$1/12))+W159+$W$6</f>
        <v>50268.421706569592</v>
      </c>
      <c r="X160" s="11">
        <v>0</v>
      </c>
      <c r="Y160" s="60">
        <f>(Y159*($K$1/12))+Y159+$Y$7</f>
        <v>157569.49096159003</v>
      </c>
      <c r="Z160" s="60">
        <f>'Mortgage and Loans'!U122</f>
        <v>92598.430000000008</v>
      </c>
      <c r="AA160" s="12">
        <f t="shared" si="252"/>
        <v>1112549.1829901505</v>
      </c>
      <c r="AB160" s="56">
        <f t="shared" si="221"/>
        <v>750</v>
      </c>
      <c r="AC160" s="56">
        <f t="shared" si="221"/>
        <v>750</v>
      </c>
      <c r="AD160" s="56">
        <f t="shared" si="221"/>
        <v>750</v>
      </c>
      <c r="AE160" s="56">
        <f t="shared" si="221"/>
        <v>750</v>
      </c>
      <c r="AF160" s="56">
        <f t="shared" ref="AF160:AF223" si="259">AVERAGE(AF148:AF159)</f>
        <v>261.4396153770881</v>
      </c>
      <c r="AG160" s="56">
        <f t="shared" si="221"/>
        <v>750</v>
      </c>
      <c r="AH160" s="56">
        <f>'Mortgage and Loans'!AF117</f>
        <v>0</v>
      </c>
      <c r="AI160" s="56">
        <f>'Mortgage and Loans'!AQ117</f>
        <v>0</v>
      </c>
      <c r="AJ160" s="56">
        <f>'Mortgage and Loans'!BB117</f>
        <v>0</v>
      </c>
      <c r="AK160" s="56">
        <f>'Mortgage and Loans'!BM117</f>
        <v>0</v>
      </c>
      <c r="AL160" s="56">
        <f>'Mortgage and Loans'!T122</f>
        <v>87401.569999999891</v>
      </c>
      <c r="AM160" s="12">
        <f t="shared" si="12"/>
        <v>-91413.009615376985</v>
      </c>
      <c r="AN160" s="75">
        <f t="shared" si="85"/>
        <v>1021136.1733747736</v>
      </c>
      <c r="AO160" s="86">
        <f>'Mortgage and Loans'!G123</f>
        <v>1454.82</v>
      </c>
      <c r="AP160" s="79">
        <f>('Salary Tax Breakdown'!B$16/12)-Data!AO160</f>
        <v>1992.68</v>
      </c>
      <c r="AQ160" s="87"/>
      <c r="AR160" s="20">
        <f t="shared" si="223"/>
        <v>4011.4396153770881</v>
      </c>
      <c r="AS160" s="20">
        <v>750</v>
      </c>
      <c r="AT160" s="20">
        <v>0</v>
      </c>
      <c r="AU160" s="20">
        <f t="shared" si="224"/>
        <v>4761.4396153770886</v>
      </c>
      <c r="AV160" s="20">
        <f t="shared" si="225"/>
        <v>4761.4396153301677</v>
      </c>
      <c r="AW160" s="51">
        <f t="shared" si="253"/>
        <v>0</v>
      </c>
      <c r="AX160" s="51">
        <f t="shared" si="14"/>
        <v>0</v>
      </c>
      <c r="AY160" s="51">
        <f t="shared" si="15"/>
        <v>0</v>
      </c>
      <c r="AZ160" s="51">
        <f t="shared" si="16"/>
        <v>0</v>
      </c>
      <c r="BA160" s="51">
        <f t="shared" si="17"/>
        <v>0</v>
      </c>
      <c r="BB160" s="51">
        <f t="shared" si="18"/>
        <v>0</v>
      </c>
      <c r="BC160" s="51">
        <f t="shared" si="19"/>
        <v>0</v>
      </c>
      <c r="BD160" s="51">
        <f t="shared" si="20"/>
        <v>0</v>
      </c>
      <c r="BE160" s="51">
        <f t="shared" si="21"/>
        <v>0</v>
      </c>
      <c r="BF160" s="51">
        <f t="shared" si="22"/>
        <v>0</v>
      </c>
      <c r="BG160" s="51">
        <f t="shared" si="23"/>
        <v>0</v>
      </c>
      <c r="BH160" s="51">
        <f t="shared" si="24"/>
        <v>0</v>
      </c>
      <c r="BI160" s="51">
        <f t="shared" si="226"/>
        <v>0</v>
      </c>
      <c r="BJ160" s="51">
        <f t="shared" si="227"/>
        <v>0</v>
      </c>
      <c r="BK160" s="51">
        <f t="shared" si="228"/>
        <v>0</v>
      </c>
      <c r="BL160" s="51">
        <f t="shared" si="229"/>
        <v>0</v>
      </c>
      <c r="BM160" s="51">
        <f t="shared" si="230"/>
        <v>0</v>
      </c>
      <c r="BN160" s="51">
        <f t="shared" si="231"/>
        <v>0</v>
      </c>
      <c r="BO160" s="51">
        <f t="shared" si="232"/>
        <v>0</v>
      </c>
      <c r="BP160" s="51">
        <f t="shared" si="233"/>
        <v>0</v>
      </c>
      <c r="BQ160" s="51">
        <f t="shared" si="234"/>
        <v>0</v>
      </c>
      <c r="BR160" s="51">
        <f t="shared" si="235"/>
        <v>0</v>
      </c>
      <c r="BS160" s="51">
        <f t="shared" si="236"/>
        <v>0</v>
      </c>
      <c r="BT160" s="51">
        <f t="shared" si="237"/>
        <v>0</v>
      </c>
      <c r="BU160" s="20">
        <f t="shared" si="238"/>
        <v>4761.439615376109</v>
      </c>
      <c r="BV160" s="20">
        <f t="shared" si="239"/>
        <v>4761.4396153809985</v>
      </c>
      <c r="BW160" s="20">
        <f t="shared" si="240"/>
        <v>57137.275384525063</v>
      </c>
      <c r="BX160" s="20">
        <f t="shared" si="241"/>
        <v>57137.275384513312</v>
      </c>
      <c r="BY160" s="20">
        <f t="shared" si="242"/>
        <v>57137.275384571985</v>
      </c>
      <c r="BZ160" s="21">
        <f t="shared" si="243"/>
        <v>57137.275384536792</v>
      </c>
      <c r="CA160" s="19">
        <f t="shared" si="256"/>
        <v>1428431.8846134197</v>
      </c>
      <c r="CB160" s="20">
        <f t="shared" si="244"/>
        <v>1428431.8846132697</v>
      </c>
      <c r="CC160" s="20">
        <f t="shared" si="245"/>
        <v>1428431.8846143633</v>
      </c>
      <c r="CD160" s="20">
        <f t="shared" si="257"/>
        <v>0</v>
      </c>
      <c r="CE160" s="20">
        <f t="shared" si="220"/>
        <v>1400000</v>
      </c>
      <c r="CF160" s="20">
        <f t="shared" si="254"/>
        <v>996455.91638655332</v>
      </c>
      <c r="CG160" s="20">
        <f t="shared" si="246"/>
        <v>39858.236655462133</v>
      </c>
      <c r="CH160" s="20">
        <f t="shared" si="255"/>
        <v>3321.5197212885109</v>
      </c>
      <c r="CI160" s="20">
        <f t="shared" si="247"/>
        <v>984407.9954040501</v>
      </c>
      <c r="CJ160" s="24">
        <f t="shared" si="248"/>
        <v>0.69758728233396405</v>
      </c>
      <c r="CK160" s="24">
        <f t="shared" si="249"/>
        <v>1.2261035785917519E-2</v>
      </c>
      <c r="CL160" s="24">
        <f t="shared" si="250"/>
        <v>3.7497391068183637E-2</v>
      </c>
      <c r="CM160" s="25">
        <f t="shared" si="251"/>
        <v>0.16430673492917355</v>
      </c>
      <c r="CN160" s="17"/>
      <c r="CO160" s="17"/>
      <c r="CP160" s="17"/>
      <c r="CQ160" s="17"/>
      <c r="CR160" s="17"/>
      <c r="CS160" s="17"/>
      <c r="CT160" s="17"/>
      <c r="CU160" s="17"/>
      <c r="CV160" s="17"/>
      <c r="CW160" s="30">
        <v>0</v>
      </c>
      <c r="CX160" s="17"/>
      <c r="CY160" s="17"/>
      <c r="CZ160" s="17"/>
      <c r="DA160" s="17"/>
      <c r="DB160" s="17"/>
    </row>
    <row r="161" spans="1:106" ht="15.75" thickBot="1" x14ac:dyDescent="0.3">
      <c r="A161" s="5">
        <f t="shared" si="258"/>
        <v>37</v>
      </c>
      <c r="B161" s="5">
        <f t="shared" si="258"/>
        <v>35</v>
      </c>
      <c r="C161" s="1">
        <v>47119</v>
      </c>
      <c r="D161" s="4"/>
      <c r="E161" s="30"/>
      <c r="F161" s="30"/>
      <c r="G161" s="30">
        <f t="shared" si="222"/>
        <v>0</v>
      </c>
      <c r="H161" s="30"/>
      <c r="I161" s="10">
        <v>0</v>
      </c>
      <c r="J161" s="60">
        <v>9000</v>
      </c>
      <c r="K161" s="11">
        <v>550</v>
      </c>
      <c r="L161" s="60">
        <f t="shared" si="72"/>
        <v>10552.57223949314</v>
      </c>
      <c r="M161" s="11">
        <v>305</v>
      </c>
      <c r="N161" s="60">
        <v>0</v>
      </c>
      <c r="O161" s="11">
        <v>0</v>
      </c>
      <c r="P161" s="11">
        <v>0</v>
      </c>
      <c r="Q161" s="60">
        <f>(Q160*($K$1/12))+Q160 + $Q$6</f>
        <v>143791.79467193686</v>
      </c>
      <c r="R161" s="60">
        <f>(R160*($K$1/12))+R160</f>
        <v>8850.3507815851335</v>
      </c>
      <c r="S161" s="60">
        <f>(S160*($K$1/12))+S160</f>
        <v>7683.8799273266395</v>
      </c>
      <c r="T161" s="60">
        <f>(T160*($K$1/12))+T160+$T$6 + ((3%/12)*T$11)</f>
        <v>563550.2902898204</v>
      </c>
      <c r="U161" s="60">
        <f>(U160*$K$1/12) + U160 + ((U$11/12*7%))</f>
        <v>73513.372234532653</v>
      </c>
      <c r="V161" s="60">
        <v>3100</v>
      </c>
      <c r="W161" s="60">
        <f>(W160*($K$1/12))+W160+$W$6</f>
        <v>50828.208990813509</v>
      </c>
      <c r="X161" s="11">
        <v>0</v>
      </c>
      <c r="Y161" s="60">
        <f>(Y160*($K$1/12))+Y160+$Y$7</f>
        <v>160372.99237096531</v>
      </c>
      <c r="Z161" s="60">
        <f>'Mortgage and Loans'!U123</f>
        <v>93752.44</v>
      </c>
      <c r="AA161" s="12">
        <f t="shared" si="252"/>
        <v>1125850.9015064735</v>
      </c>
      <c r="AB161" s="56">
        <f t="shared" ref="AB161:AG192" si="260">$AC$1/5</f>
        <v>750</v>
      </c>
      <c r="AC161" s="56">
        <f t="shared" si="260"/>
        <v>750</v>
      </c>
      <c r="AD161" s="56">
        <f t="shared" si="260"/>
        <v>750</v>
      </c>
      <c r="AE161" s="56">
        <f t="shared" si="260"/>
        <v>750</v>
      </c>
      <c r="AF161" s="56">
        <f t="shared" si="259"/>
        <v>261.43961538099808</v>
      </c>
      <c r="AG161" s="56">
        <f t="shared" si="260"/>
        <v>750</v>
      </c>
      <c r="AH161" s="56">
        <f>'Mortgage and Loans'!AF118</f>
        <v>0</v>
      </c>
      <c r="AI161" s="56">
        <f>'Mortgage and Loans'!AQ118</f>
        <v>0</v>
      </c>
      <c r="AJ161" s="56">
        <f>'Mortgage and Loans'!BB118</f>
        <v>0</v>
      </c>
      <c r="AK161" s="56">
        <f>'Mortgage and Loans'!BM118</f>
        <v>0</v>
      </c>
      <c r="AL161" s="56">
        <f>'Mortgage and Loans'!T123</f>
        <v>86247.559999999881</v>
      </c>
      <c r="AM161" s="12">
        <f t="shared" si="12"/>
        <v>-90258.999615380875</v>
      </c>
      <c r="AN161" s="75">
        <f t="shared" si="85"/>
        <v>1035591.9018910927</v>
      </c>
      <c r="AO161" s="86">
        <f>'Mortgage and Loans'!G124</f>
        <v>1454.82</v>
      </c>
      <c r="AP161" s="79">
        <f>('Salary Tax Breakdown'!B$16/12)-Data!AO161</f>
        <v>1992.68</v>
      </c>
      <c r="AQ161" s="87"/>
      <c r="AR161" s="20">
        <f t="shared" si="223"/>
        <v>4011.439615380998</v>
      </c>
      <c r="AS161" s="20">
        <v>750</v>
      </c>
      <c r="AT161" s="20">
        <v>0</v>
      </c>
      <c r="AU161" s="20">
        <f t="shared" si="224"/>
        <v>4761.4396153809976</v>
      </c>
      <c r="AV161" s="20">
        <f t="shared" si="225"/>
        <v>4761.439615333562</v>
      </c>
      <c r="AW161" s="51">
        <f t="shared" si="253"/>
        <v>0</v>
      </c>
      <c r="AX161" s="51">
        <f t="shared" si="14"/>
        <v>0</v>
      </c>
      <c r="AY161" s="51">
        <f t="shared" si="15"/>
        <v>0</v>
      </c>
      <c r="AZ161" s="51">
        <f t="shared" si="16"/>
        <v>0</v>
      </c>
      <c r="BA161" s="51">
        <f t="shared" si="17"/>
        <v>0</v>
      </c>
      <c r="BB161" s="51">
        <f t="shared" si="18"/>
        <v>0</v>
      </c>
      <c r="BC161" s="51">
        <f t="shared" si="19"/>
        <v>0</v>
      </c>
      <c r="BD161" s="51">
        <f t="shared" si="20"/>
        <v>0</v>
      </c>
      <c r="BE161" s="51">
        <f t="shared" si="21"/>
        <v>0</v>
      </c>
      <c r="BF161" s="51">
        <f t="shared" si="22"/>
        <v>0</v>
      </c>
      <c r="BG161" s="51">
        <f t="shared" si="23"/>
        <v>0</v>
      </c>
      <c r="BH161" s="51">
        <f t="shared" si="24"/>
        <v>0</v>
      </c>
      <c r="BI161" s="51">
        <f t="shared" si="226"/>
        <v>0</v>
      </c>
      <c r="BJ161" s="51">
        <f t="shared" si="227"/>
        <v>0</v>
      </c>
      <c r="BK161" s="51">
        <f t="shared" si="228"/>
        <v>0</v>
      </c>
      <c r="BL161" s="51">
        <f t="shared" si="229"/>
        <v>0</v>
      </c>
      <c r="BM161" s="51">
        <f t="shared" si="230"/>
        <v>0</v>
      </c>
      <c r="BN161" s="51">
        <f t="shared" si="231"/>
        <v>0</v>
      </c>
      <c r="BO161" s="51">
        <f t="shared" si="232"/>
        <v>0</v>
      </c>
      <c r="BP161" s="51">
        <f t="shared" si="233"/>
        <v>0</v>
      </c>
      <c r="BQ161" s="51">
        <f t="shared" si="234"/>
        <v>0</v>
      </c>
      <c r="BR161" s="51">
        <f t="shared" si="235"/>
        <v>0</v>
      </c>
      <c r="BS161" s="51">
        <f t="shared" si="236"/>
        <v>0</v>
      </c>
      <c r="BT161" s="51">
        <f t="shared" si="237"/>
        <v>0</v>
      </c>
      <c r="BU161" s="20">
        <f t="shared" si="238"/>
        <v>4761.4396153776834</v>
      </c>
      <c r="BV161" s="20">
        <f t="shared" si="239"/>
        <v>4761.4396153849511</v>
      </c>
      <c r="BW161" s="20">
        <f t="shared" si="240"/>
        <v>57137.275384571971</v>
      </c>
      <c r="BX161" s="20">
        <f t="shared" si="241"/>
        <v>57137.2753845322</v>
      </c>
      <c r="BY161" s="20">
        <f t="shared" si="242"/>
        <v>57137.27538461941</v>
      </c>
      <c r="BZ161" s="21">
        <f t="shared" si="243"/>
        <v>57137.275384574525</v>
      </c>
      <c r="CA161" s="19">
        <f t="shared" si="256"/>
        <v>1428431.8846143631</v>
      </c>
      <c r="CB161" s="20">
        <f t="shared" si="244"/>
        <v>1428431.884613585</v>
      </c>
      <c r="CC161" s="20">
        <f t="shared" si="245"/>
        <v>1428431.8846153645</v>
      </c>
      <c r="CD161" s="20">
        <f t="shared" si="257"/>
        <v>0</v>
      </c>
      <c r="CE161" s="20">
        <f t="shared" si="220"/>
        <v>1400000</v>
      </c>
      <c r="CF161" s="20">
        <f t="shared" si="254"/>
        <v>1008590.8892669805</v>
      </c>
      <c r="CG161" s="20">
        <f t="shared" si="246"/>
        <v>40343.635570679216</v>
      </c>
      <c r="CH161" s="20">
        <f t="shared" si="255"/>
        <v>3361.9696308899347</v>
      </c>
      <c r="CI161" s="20">
        <f t="shared" si="247"/>
        <v>996477.70871248853</v>
      </c>
      <c r="CJ161" s="24">
        <f t="shared" si="248"/>
        <v>0.70608259317861799</v>
      </c>
      <c r="CK161" s="24">
        <f t="shared" si="249"/>
        <v>1.2178133202753393E-2</v>
      </c>
      <c r="CL161" s="24">
        <f t="shared" si="250"/>
        <v>3.7237576651177044E-2</v>
      </c>
      <c r="CM161" s="25">
        <f t="shared" si="251"/>
        <v>0.16303020702566137</v>
      </c>
      <c r="CN161" s="17"/>
      <c r="CO161" s="17"/>
      <c r="CP161" s="17"/>
      <c r="CQ161" s="17"/>
      <c r="CR161" s="17"/>
      <c r="CS161" s="17"/>
      <c r="CT161" s="17"/>
      <c r="CU161" s="17"/>
      <c r="CV161" s="17"/>
      <c r="CW161" s="30">
        <v>0</v>
      </c>
      <c r="CX161" s="17"/>
      <c r="CY161" s="17"/>
      <c r="CZ161" s="17"/>
      <c r="DA161" s="17"/>
      <c r="DB161" s="17"/>
    </row>
    <row r="162" spans="1:106" ht="15.75" thickBot="1" x14ac:dyDescent="0.3">
      <c r="A162" s="5">
        <f t="shared" si="258"/>
        <v>37</v>
      </c>
      <c r="B162" s="5">
        <f t="shared" si="258"/>
        <v>35</v>
      </c>
      <c r="C162" s="1">
        <v>47150</v>
      </c>
      <c r="D162" s="4"/>
      <c r="E162" s="30"/>
      <c r="F162" s="30"/>
      <c r="G162" s="30">
        <f t="shared" si="222"/>
        <v>0</v>
      </c>
      <c r="H162" s="30"/>
      <c r="I162" s="10">
        <v>0</v>
      </c>
      <c r="J162" s="60">
        <v>9000</v>
      </c>
      <c r="K162" s="11">
        <v>550</v>
      </c>
      <c r="L162" s="60">
        <f t="shared" si="72"/>
        <v>10565.323264282526</v>
      </c>
      <c r="M162" s="11">
        <v>305</v>
      </c>
      <c r="N162" s="60">
        <v>0</v>
      </c>
      <c r="O162" s="11">
        <v>0</v>
      </c>
      <c r="P162" s="11">
        <v>0</v>
      </c>
      <c r="Q162" s="60">
        <f>(Q161*($K$1/12))+Q161 + $Q$6</f>
        <v>145487.33689307654</v>
      </c>
      <c r="R162" s="60">
        <f>(R161*($K$1/12))+R161</f>
        <v>8898.2901816520534</v>
      </c>
      <c r="S162" s="60">
        <f>(S161*($K$1/12))+S161</f>
        <v>7725.500943599659</v>
      </c>
      <c r="T162" s="60">
        <f>(T161*($K$1/12))+T161+$T$6 + ((3%/12)*T$11)</f>
        <v>569777.85436222365</v>
      </c>
      <c r="U162" s="60">
        <f>(U161*$K$1/12) + U161 + ((U$11/12*7%))</f>
        <v>74319.903000803039</v>
      </c>
      <c r="V162" s="60">
        <v>3100</v>
      </c>
      <c r="W162" s="60">
        <f>(W161*($K$1/12))+W161+$W$6</f>
        <v>51391.028456180415</v>
      </c>
      <c r="X162" s="11">
        <v>0</v>
      </c>
      <c r="Y162" s="60">
        <f>(Y161*($K$1/12))+Y161+$Y$7</f>
        <v>163191.67941297471</v>
      </c>
      <c r="Z162" s="60">
        <f>'Mortgage and Loans'!U124</f>
        <v>94910.420000000013</v>
      </c>
      <c r="AA162" s="12">
        <f t="shared" si="252"/>
        <v>1139222.3365147926</v>
      </c>
      <c r="AB162" s="56">
        <f t="shared" si="260"/>
        <v>750</v>
      </c>
      <c r="AC162" s="56">
        <f t="shared" si="260"/>
        <v>750</v>
      </c>
      <c r="AD162" s="56">
        <f t="shared" si="260"/>
        <v>750</v>
      </c>
      <c r="AE162" s="56">
        <f t="shared" si="260"/>
        <v>750</v>
      </c>
      <c r="AF162" s="56">
        <f t="shared" si="259"/>
        <v>261.43961538495114</v>
      </c>
      <c r="AG162" s="56">
        <f t="shared" si="260"/>
        <v>750</v>
      </c>
      <c r="AH162" s="56">
        <f>'Mortgage and Loans'!AF119</f>
        <v>0</v>
      </c>
      <c r="AI162" s="56">
        <f>'Mortgage and Loans'!AQ119</f>
        <v>0</v>
      </c>
      <c r="AJ162" s="56">
        <f>'Mortgage and Loans'!BB119</f>
        <v>0</v>
      </c>
      <c r="AK162" s="56">
        <f>'Mortgage and Loans'!BM119</f>
        <v>0</v>
      </c>
      <c r="AL162" s="56">
        <f>'Mortgage and Loans'!T124</f>
        <v>85089.579999999871</v>
      </c>
      <c r="AM162" s="12">
        <f t="shared" si="12"/>
        <v>-89101.019615384823</v>
      </c>
      <c r="AN162" s="75">
        <f t="shared" si="85"/>
        <v>1050121.3168994079</v>
      </c>
      <c r="AO162" s="86">
        <f>'Mortgage and Loans'!G125</f>
        <v>1454.82</v>
      </c>
      <c r="AP162" s="79">
        <f>('Salary Tax Breakdown'!B$16/12)-Data!AO162</f>
        <v>1992.68</v>
      </c>
      <c r="AQ162" s="87"/>
      <c r="AR162" s="20">
        <f t="shared" si="223"/>
        <v>4011.4396153849511</v>
      </c>
      <c r="AS162" s="20">
        <v>750</v>
      </c>
      <c r="AT162" s="20">
        <v>0</v>
      </c>
      <c r="AU162" s="20">
        <f t="shared" si="224"/>
        <v>4761.4396153849511</v>
      </c>
      <c r="AV162" s="20">
        <f t="shared" si="225"/>
        <v>4761.4396153521611</v>
      </c>
      <c r="AW162" s="51">
        <f t="shared" si="253"/>
        <v>0</v>
      </c>
      <c r="AX162" s="51">
        <f t="shared" si="14"/>
        <v>0</v>
      </c>
      <c r="AY162" s="51">
        <f t="shared" si="15"/>
        <v>0</v>
      </c>
      <c r="AZ162" s="51">
        <f t="shared" si="16"/>
        <v>0</v>
      </c>
      <c r="BA162" s="51">
        <f t="shared" si="17"/>
        <v>0</v>
      </c>
      <c r="BB162" s="51">
        <f t="shared" si="18"/>
        <v>0</v>
      </c>
      <c r="BC162" s="51">
        <f t="shared" si="19"/>
        <v>0</v>
      </c>
      <c r="BD162" s="51">
        <f t="shared" si="20"/>
        <v>0</v>
      </c>
      <c r="BE162" s="51">
        <f t="shared" si="21"/>
        <v>0</v>
      </c>
      <c r="BF162" s="51">
        <f t="shared" si="22"/>
        <v>0</v>
      </c>
      <c r="BG162" s="51">
        <f t="shared" si="23"/>
        <v>0</v>
      </c>
      <c r="BH162" s="51">
        <f t="shared" si="24"/>
        <v>0</v>
      </c>
      <c r="BI162" s="51">
        <f t="shared" si="226"/>
        <v>0</v>
      </c>
      <c r="BJ162" s="51">
        <f t="shared" si="227"/>
        <v>0</v>
      </c>
      <c r="BK162" s="51">
        <f t="shared" si="228"/>
        <v>0</v>
      </c>
      <c r="BL162" s="51">
        <f t="shared" si="229"/>
        <v>0</v>
      </c>
      <c r="BM162" s="51">
        <f t="shared" si="230"/>
        <v>0</v>
      </c>
      <c r="BN162" s="51">
        <f t="shared" si="231"/>
        <v>0</v>
      </c>
      <c r="BO162" s="51">
        <f t="shared" si="232"/>
        <v>0</v>
      </c>
      <c r="BP162" s="51">
        <f t="shared" si="233"/>
        <v>0</v>
      </c>
      <c r="BQ162" s="51">
        <f t="shared" si="234"/>
        <v>0</v>
      </c>
      <c r="BR162" s="51">
        <f t="shared" si="235"/>
        <v>0</v>
      </c>
      <c r="BS162" s="51">
        <f t="shared" si="236"/>
        <v>0</v>
      </c>
      <c r="BT162" s="51">
        <f t="shared" si="237"/>
        <v>0</v>
      </c>
      <c r="BU162" s="20">
        <f t="shared" si="238"/>
        <v>4761.4396153810121</v>
      </c>
      <c r="BV162" s="20">
        <f t="shared" si="239"/>
        <v>4761.4396153876842</v>
      </c>
      <c r="BW162" s="20">
        <f t="shared" si="240"/>
        <v>57137.27538461941</v>
      </c>
      <c r="BX162" s="20">
        <f t="shared" si="241"/>
        <v>57137.275384572145</v>
      </c>
      <c r="BY162" s="20">
        <f t="shared" si="242"/>
        <v>57137.27538465221</v>
      </c>
      <c r="BZ162" s="21">
        <f t="shared" si="243"/>
        <v>57137.275384614593</v>
      </c>
      <c r="CA162" s="19">
        <f t="shared" si="256"/>
        <v>1428431.8846153647</v>
      </c>
      <c r="CB162" s="20">
        <f t="shared" si="244"/>
        <v>1428431.8846143826</v>
      </c>
      <c r="CC162" s="20">
        <f t="shared" si="245"/>
        <v>1428431.88461609</v>
      </c>
      <c r="CD162" s="20">
        <f t="shared" si="257"/>
        <v>0</v>
      </c>
      <c r="CE162" s="20">
        <f t="shared" ref="CE162:CE225" si="261">$CC$11</f>
        <v>1400000</v>
      </c>
      <c r="CF162" s="20">
        <f t="shared" si="254"/>
        <v>1020791.5932505102</v>
      </c>
      <c r="CG162" s="20">
        <f t="shared" si="246"/>
        <v>40831.663730020409</v>
      </c>
      <c r="CH162" s="20">
        <f t="shared" si="255"/>
        <v>3402.6386441683676</v>
      </c>
      <c r="CI162" s="20">
        <f t="shared" si="247"/>
        <v>1008612.7996346814</v>
      </c>
      <c r="CJ162" s="24">
        <f t="shared" si="248"/>
        <v>0.71462392029010302</v>
      </c>
      <c r="CK162" s="24">
        <f t="shared" si="249"/>
        <v>1.2096781869997736E-2</v>
      </c>
      <c r="CL162" s="24">
        <f t="shared" si="250"/>
        <v>3.6982708931470001E-2</v>
      </c>
      <c r="CM162" s="25">
        <f t="shared" si="251"/>
        <v>0.1617800806610713</v>
      </c>
      <c r="CN162" s="17"/>
      <c r="CO162" s="17"/>
      <c r="CP162" s="17"/>
      <c r="CQ162" s="17"/>
      <c r="CR162" s="17"/>
      <c r="CS162" s="17"/>
      <c r="CT162" s="17"/>
      <c r="CU162" s="17"/>
      <c r="CV162" s="17"/>
      <c r="CW162" s="30">
        <v>0</v>
      </c>
      <c r="CX162" s="17"/>
      <c r="CY162" s="17"/>
      <c r="CZ162" s="17"/>
      <c r="DA162" s="17"/>
      <c r="DB162" s="17"/>
    </row>
    <row r="163" spans="1:106" ht="15.75" thickBot="1" x14ac:dyDescent="0.3">
      <c r="A163" s="5">
        <f t="shared" si="258"/>
        <v>37</v>
      </c>
      <c r="B163" s="5">
        <f t="shared" si="258"/>
        <v>35</v>
      </c>
      <c r="C163" s="1">
        <v>47178</v>
      </c>
      <c r="D163" s="4"/>
      <c r="E163" s="30"/>
      <c r="F163" s="30"/>
      <c r="G163" s="30">
        <f t="shared" si="222"/>
        <v>0</v>
      </c>
      <c r="H163" s="30"/>
      <c r="I163" s="10">
        <v>0</v>
      </c>
      <c r="J163" s="60">
        <v>9000</v>
      </c>
      <c r="K163" s="11">
        <v>550</v>
      </c>
      <c r="L163" s="60">
        <f t="shared" si="72"/>
        <v>10578.089696560201</v>
      </c>
      <c r="M163" s="11">
        <v>305</v>
      </c>
      <c r="N163" s="60">
        <v>0</v>
      </c>
      <c r="O163" s="11">
        <v>0</v>
      </c>
      <c r="P163" s="11">
        <v>0</v>
      </c>
      <c r="Q163" s="60">
        <f>(Q162*($K$1/12))+Q162 + $Q$6</f>
        <v>147192.0633012474</v>
      </c>
      <c r="R163" s="60">
        <f>(R162*($K$1/12))+R162</f>
        <v>8946.4892534693354</v>
      </c>
      <c r="S163" s="60">
        <f>(S162*($K$1/12))+S162</f>
        <v>7767.3474070441571</v>
      </c>
      <c r="T163" s="60">
        <f>(T162*($K$1/12))+T162+$T$6 + ((3%/12)*T$11)</f>
        <v>576039.15107335232</v>
      </c>
      <c r="U163" s="60">
        <f>(U162*$K$1/12) + U162 + ((U$11/12*7%))</f>
        <v>75130.802475390723</v>
      </c>
      <c r="V163" s="60">
        <v>3100</v>
      </c>
      <c r="W163" s="60">
        <f>(W162*($K$1/12))+W162+$W$6</f>
        <v>51956.896526984725</v>
      </c>
      <c r="X163" s="11">
        <v>0</v>
      </c>
      <c r="Y163" s="60">
        <f>(Y162*($K$1/12))+Y162+$Y$7</f>
        <v>166025.63434312833</v>
      </c>
      <c r="Z163" s="60">
        <f>'Mortgage and Loans'!U125</f>
        <v>96072.390000000014</v>
      </c>
      <c r="AA163" s="12">
        <f t="shared" si="252"/>
        <v>1152663.8640771774</v>
      </c>
      <c r="AB163" s="56">
        <f t="shared" si="260"/>
        <v>750</v>
      </c>
      <c r="AC163" s="56">
        <f t="shared" si="260"/>
        <v>750</v>
      </c>
      <c r="AD163" s="56">
        <f t="shared" si="260"/>
        <v>750</v>
      </c>
      <c r="AE163" s="56">
        <f t="shared" si="260"/>
        <v>750</v>
      </c>
      <c r="AF163" s="56">
        <f t="shared" si="259"/>
        <v>261.43961538768355</v>
      </c>
      <c r="AG163" s="56">
        <f t="shared" si="260"/>
        <v>750</v>
      </c>
      <c r="AH163" s="56">
        <f>'Mortgage and Loans'!AF120</f>
        <v>0</v>
      </c>
      <c r="AI163" s="56">
        <f>'Mortgage and Loans'!AQ120</f>
        <v>0</v>
      </c>
      <c r="AJ163" s="56">
        <f>'Mortgage and Loans'!BB120</f>
        <v>0</v>
      </c>
      <c r="AK163" s="56">
        <f>'Mortgage and Loans'!BM120</f>
        <v>0</v>
      </c>
      <c r="AL163" s="56">
        <f>'Mortgage and Loans'!T125</f>
        <v>83927.60999999987</v>
      </c>
      <c r="AM163" s="12">
        <f t="shared" si="12"/>
        <v>-87939.049615387557</v>
      </c>
      <c r="AN163" s="75">
        <f t="shared" si="85"/>
        <v>1064724.8144617898</v>
      </c>
      <c r="AO163" s="86">
        <f>'Mortgage and Loans'!G126</f>
        <v>1454.82</v>
      </c>
      <c r="AP163" s="79">
        <f>('Salary Tax Breakdown'!B$16/12)-Data!AO163</f>
        <v>1992.68</v>
      </c>
      <c r="AQ163" s="87"/>
      <c r="AR163" s="20">
        <f t="shared" si="223"/>
        <v>4011.4396153876837</v>
      </c>
      <c r="AS163" s="20">
        <v>750</v>
      </c>
      <c r="AT163" s="20">
        <v>0</v>
      </c>
      <c r="AU163" s="20">
        <f t="shared" si="224"/>
        <v>4761.4396153876842</v>
      </c>
      <c r="AV163" s="20">
        <f t="shared" si="225"/>
        <v>4761.4396153758262</v>
      </c>
      <c r="AW163" s="51">
        <f t="shared" si="253"/>
        <v>0</v>
      </c>
      <c r="AX163" s="51">
        <f t="shared" si="14"/>
        <v>0</v>
      </c>
      <c r="AY163" s="51">
        <f t="shared" si="15"/>
        <v>0</v>
      </c>
      <c r="AZ163" s="51">
        <f t="shared" si="16"/>
        <v>0</v>
      </c>
      <c r="BA163" s="51">
        <f t="shared" si="17"/>
        <v>0</v>
      </c>
      <c r="BB163" s="51">
        <f t="shared" si="18"/>
        <v>0</v>
      </c>
      <c r="BC163" s="51">
        <f t="shared" si="19"/>
        <v>0</v>
      </c>
      <c r="BD163" s="51">
        <f t="shared" si="20"/>
        <v>0</v>
      </c>
      <c r="BE163" s="51">
        <f t="shared" si="21"/>
        <v>0</v>
      </c>
      <c r="BF163" s="51">
        <f t="shared" si="22"/>
        <v>0</v>
      </c>
      <c r="BG163" s="51">
        <f t="shared" si="23"/>
        <v>0</v>
      </c>
      <c r="BH163" s="51">
        <f t="shared" si="24"/>
        <v>0</v>
      </c>
      <c r="BI163" s="51">
        <f t="shared" si="226"/>
        <v>0</v>
      </c>
      <c r="BJ163" s="51">
        <f t="shared" si="227"/>
        <v>0</v>
      </c>
      <c r="BK163" s="51">
        <f t="shared" si="228"/>
        <v>0</v>
      </c>
      <c r="BL163" s="51">
        <f t="shared" si="229"/>
        <v>0</v>
      </c>
      <c r="BM163" s="51">
        <f t="shared" si="230"/>
        <v>0</v>
      </c>
      <c r="BN163" s="51">
        <f t="shared" si="231"/>
        <v>0</v>
      </c>
      <c r="BO163" s="51">
        <f t="shared" si="232"/>
        <v>0</v>
      </c>
      <c r="BP163" s="51">
        <f t="shared" si="233"/>
        <v>0</v>
      </c>
      <c r="BQ163" s="51">
        <f t="shared" si="234"/>
        <v>0</v>
      </c>
      <c r="BR163" s="51">
        <f t="shared" si="235"/>
        <v>0</v>
      </c>
      <c r="BS163" s="51">
        <f t="shared" si="236"/>
        <v>0</v>
      </c>
      <c r="BT163" s="51">
        <f t="shared" si="237"/>
        <v>0</v>
      </c>
      <c r="BU163" s="20">
        <f t="shared" si="238"/>
        <v>4761.4396153845446</v>
      </c>
      <c r="BV163" s="20">
        <f t="shared" si="239"/>
        <v>4761.439615388671</v>
      </c>
      <c r="BW163" s="20">
        <f t="shared" si="240"/>
        <v>57137.27538465221</v>
      </c>
      <c r="BX163" s="20">
        <f t="shared" si="241"/>
        <v>57137.275384614535</v>
      </c>
      <c r="BY163" s="20">
        <f t="shared" si="242"/>
        <v>57137.275384664055</v>
      </c>
      <c r="BZ163" s="21">
        <f t="shared" si="243"/>
        <v>57137.275384643603</v>
      </c>
      <c r="CA163" s="19">
        <f t="shared" si="256"/>
        <v>1428431.88461609</v>
      </c>
      <c r="CB163" s="20">
        <f t="shared" si="244"/>
        <v>1428431.8846152725</v>
      </c>
      <c r="CC163" s="20">
        <f t="shared" si="245"/>
        <v>1428431.8846163868</v>
      </c>
      <c r="CD163" s="20">
        <f t="shared" si="257"/>
        <v>0</v>
      </c>
      <c r="CE163" s="20">
        <f t="shared" si="261"/>
        <v>1400000</v>
      </c>
      <c r="CF163" s="20">
        <f t="shared" si="254"/>
        <v>1033058.3843806169</v>
      </c>
      <c r="CG163" s="20">
        <f t="shared" si="246"/>
        <v>41322.335375224677</v>
      </c>
      <c r="CH163" s="20">
        <f t="shared" si="255"/>
        <v>3443.5279479353899</v>
      </c>
      <c r="CI163" s="20">
        <f t="shared" si="247"/>
        <v>1020813.6222993691</v>
      </c>
      <c r="CJ163" s="24">
        <f t="shared" si="248"/>
        <v>0.72321151292338748</v>
      </c>
      <c r="CK163" s="24">
        <f t="shared" si="249"/>
        <v>1.201693980555384E-2</v>
      </c>
      <c r="CL163" s="24">
        <f t="shared" si="250"/>
        <v>3.6732651582616023E-2</v>
      </c>
      <c r="CM163" s="25">
        <f t="shared" si="251"/>
        <v>0.16055556283599251</v>
      </c>
      <c r="CN163" s="17"/>
      <c r="CO163" s="17"/>
      <c r="CP163" s="17"/>
      <c r="CQ163" s="17"/>
      <c r="CR163" s="17"/>
      <c r="CS163" s="17"/>
      <c r="CT163" s="17"/>
      <c r="CU163" s="17"/>
      <c r="CV163" s="17"/>
      <c r="CW163" s="30">
        <v>0</v>
      </c>
      <c r="CX163" s="17"/>
      <c r="CY163" s="17"/>
      <c r="CZ163" s="17"/>
      <c r="DA163" s="17"/>
      <c r="DB163" s="17"/>
    </row>
    <row r="164" spans="1:106" ht="15.75" thickBot="1" x14ac:dyDescent="0.3">
      <c r="A164" s="5">
        <f t="shared" si="258"/>
        <v>37</v>
      </c>
      <c r="B164" s="5">
        <f t="shared" si="258"/>
        <v>35</v>
      </c>
      <c r="C164" s="1">
        <v>47209</v>
      </c>
      <c r="D164" s="4"/>
      <c r="E164" s="30"/>
      <c r="F164" s="30"/>
      <c r="G164" s="30">
        <f t="shared" si="222"/>
        <v>0</v>
      </c>
      <c r="H164" s="30"/>
      <c r="I164" s="10">
        <v>0</v>
      </c>
      <c r="J164" s="60">
        <v>9000</v>
      </c>
      <c r="K164" s="11">
        <v>550</v>
      </c>
      <c r="L164" s="60">
        <f t="shared" si="72"/>
        <v>10590.871554943544</v>
      </c>
      <c r="M164" s="11">
        <v>305</v>
      </c>
      <c r="N164" s="60">
        <v>0</v>
      </c>
      <c r="O164" s="11">
        <v>0</v>
      </c>
      <c r="P164" s="11">
        <v>0</v>
      </c>
      <c r="Q164" s="60">
        <f>(Q163*($K$1/12))+Q163 + $Q$6</f>
        <v>148906.02364412916</v>
      </c>
      <c r="R164" s="60">
        <f>(R163*($K$1/12))+R163</f>
        <v>8994.9494035922944</v>
      </c>
      <c r="S164" s="60">
        <f>(S163*($K$1/12))+S163</f>
        <v>7809.4205388323126</v>
      </c>
      <c r="T164" s="60">
        <f>(T163*($K$1/12))+T163+$T$6 + ((3%/12)*T$11)</f>
        <v>582334.36314166628</v>
      </c>
      <c r="U164" s="60">
        <f>(U163*$K$1/12) + U163 + ((U$11/12*7%))</f>
        <v>75946.094322132412</v>
      </c>
      <c r="V164" s="60">
        <v>3100</v>
      </c>
      <c r="W164" s="60">
        <f>(W163*($K$1/12))+W163+$W$6</f>
        <v>52525.82971650589</v>
      </c>
      <c r="X164" s="11">
        <v>0</v>
      </c>
      <c r="Y164" s="60">
        <f>(Y163*($K$1/12))+Y163+$Y$7</f>
        <v>168874.93986248694</v>
      </c>
      <c r="Z164" s="60">
        <f>'Mortgage and Loans'!U126</f>
        <v>97238.360000000015</v>
      </c>
      <c r="AA164" s="12">
        <f t="shared" si="252"/>
        <v>1166175.8521842889</v>
      </c>
      <c r="AB164" s="56">
        <f t="shared" si="260"/>
        <v>750</v>
      </c>
      <c r="AC164" s="56">
        <f t="shared" si="260"/>
        <v>750</v>
      </c>
      <c r="AD164" s="56">
        <f t="shared" si="260"/>
        <v>750</v>
      </c>
      <c r="AE164" s="56">
        <f t="shared" si="260"/>
        <v>750</v>
      </c>
      <c r="AF164" s="56">
        <f t="shared" si="259"/>
        <v>261.4396153886716</v>
      </c>
      <c r="AG164" s="56">
        <f t="shared" si="260"/>
        <v>750</v>
      </c>
      <c r="AH164" s="56">
        <f>'Mortgage and Loans'!AF121</f>
        <v>0</v>
      </c>
      <c r="AI164" s="56">
        <f>'Mortgage and Loans'!AQ121</f>
        <v>0</v>
      </c>
      <c r="AJ164" s="56">
        <f>'Mortgage and Loans'!BB121</f>
        <v>0</v>
      </c>
      <c r="AK164" s="56">
        <f>'Mortgage and Loans'!BM121</f>
        <v>0</v>
      </c>
      <c r="AL164" s="56">
        <f>'Mortgage and Loans'!T126</f>
        <v>82761.639999999868</v>
      </c>
      <c r="AM164" s="12">
        <f t="shared" si="12"/>
        <v>-86773.079615388546</v>
      </c>
      <c r="AN164" s="75">
        <f t="shared" si="85"/>
        <v>1079402.7725689004</v>
      </c>
      <c r="AO164" s="86">
        <f>'Mortgage and Loans'!G127</f>
        <v>1454.82</v>
      </c>
      <c r="AP164" s="79">
        <f>('Salary Tax Breakdown'!B$16/12)-Data!AO164</f>
        <v>1992.68</v>
      </c>
      <c r="AQ164" s="87"/>
      <c r="AR164" s="20">
        <f t="shared" si="223"/>
        <v>4011.4396153886714</v>
      </c>
      <c r="AS164" s="20">
        <v>750</v>
      </c>
      <c r="AT164" s="20">
        <v>0</v>
      </c>
      <c r="AU164" s="20">
        <f t="shared" si="224"/>
        <v>4761.4396153886719</v>
      </c>
      <c r="AV164" s="20">
        <f t="shared" si="225"/>
        <v>4761.4396153956441</v>
      </c>
      <c r="AW164" s="51">
        <f t="shared" si="253"/>
        <v>0</v>
      </c>
      <c r="AX164" s="51">
        <f t="shared" si="14"/>
        <v>0</v>
      </c>
      <c r="AY164" s="51">
        <f t="shared" si="15"/>
        <v>0</v>
      </c>
      <c r="AZ164" s="51">
        <f t="shared" si="16"/>
        <v>0</v>
      </c>
      <c r="BA164" s="51">
        <f t="shared" si="17"/>
        <v>0</v>
      </c>
      <c r="BB164" s="51">
        <f t="shared" si="18"/>
        <v>0</v>
      </c>
      <c r="BC164" s="51">
        <f t="shared" si="19"/>
        <v>0</v>
      </c>
      <c r="BD164" s="51">
        <f t="shared" si="20"/>
        <v>0</v>
      </c>
      <c r="BE164" s="51">
        <f t="shared" si="21"/>
        <v>0</v>
      </c>
      <c r="BF164" s="51">
        <f t="shared" si="22"/>
        <v>0</v>
      </c>
      <c r="BG164" s="51">
        <f t="shared" si="23"/>
        <v>0</v>
      </c>
      <c r="BH164" s="51">
        <f t="shared" si="24"/>
        <v>0</v>
      </c>
      <c r="BI164" s="51">
        <f t="shared" si="226"/>
        <v>0</v>
      </c>
      <c r="BJ164" s="51">
        <f t="shared" si="227"/>
        <v>0</v>
      </c>
      <c r="BK164" s="51">
        <f t="shared" si="228"/>
        <v>0</v>
      </c>
      <c r="BL164" s="51">
        <f t="shared" si="229"/>
        <v>0</v>
      </c>
      <c r="BM164" s="51">
        <f t="shared" si="230"/>
        <v>0</v>
      </c>
      <c r="BN164" s="51">
        <f t="shared" si="231"/>
        <v>0</v>
      </c>
      <c r="BO164" s="51">
        <f t="shared" si="232"/>
        <v>0</v>
      </c>
      <c r="BP164" s="51">
        <f t="shared" si="233"/>
        <v>0</v>
      </c>
      <c r="BQ164" s="51">
        <f t="shared" si="234"/>
        <v>0</v>
      </c>
      <c r="BR164" s="51">
        <f t="shared" si="235"/>
        <v>0</v>
      </c>
      <c r="BS164" s="51">
        <f t="shared" si="236"/>
        <v>0</v>
      </c>
      <c r="BT164" s="51">
        <f t="shared" si="237"/>
        <v>0</v>
      </c>
      <c r="BU164" s="20">
        <f t="shared" si="238"/>
        <v>4761.439615387103</v>
      </c>
      <c r="BV164" s="20">
        <f t="shared" si="239"/>
        <v>4761.4396153880907</v>
      </c>
      <c r="BW164" s="20">
        <f t="shared" si="240"/>
        <v>57137.275384664063</v>
      </c>
      <c r="BX164" s="20">
        <f t="shared" si="241"/>
        <v>57137.27538464524</v>
      </c>
      <c r="BY164" s="20">
        <f t="shared" si="242"/>
        <v>57137.275384657085</v>
      </c>
      <c r="BZ164" s="21">
        <f t="shared" si="243"/>
        <v>57137.275384655462</v>
      </c>
      <c r="CA164" s="19">
        <f t="shared" si="256"/>
        <v>1428431.8846163866</v>
      </c>
      <c r="CB164" s="20">
        <f t="shared" si="244"/>
        <v>1428431.8846159473</v>
      </c>
      <c r="CC164" s="20">
        <f t="shared" si="245"/>
        <v>1428431.8846162809</v>
      </c>
      <c r="CD164" s="20">
        <f t="shared" si="257"/>
        <v>0</v>
      </c>
      <c r="CE164" s="20">
        <f t="shared" si="261"/>
        <v>1400000</v>
      </c>
      <c r="CF164" s="20">
        <f t="shared" si="254"/>
        <v>1045391.6206293453</v>
      </c>
      <c r="CG164" s="20">
        <f t="shared" si="246"/>
        <v>41815.664825173815</v>
      </c>
      <c r="CH164" s="20">
        <f t="shared" si="255"/>
        <v>3484.6387354311514</v>
      </c>
      <c r="CI164" s="20">
        <f t="shared" si="247"/>
        <v>1033080.5327534908</v>
      </c>
      <c r="CJ164" s="24">
        <f t="shared" si="248"/>
        <v>0.73184562168353773</v>
      </c>
      <c r="CK164" s="24">
        <f t="shared" si="249"/>
        <v>1.1938566527508413E-2</v>
      </c>
      <c r="CL164" s="24">
        <f t="shared" si="250"/>
        <v>3.6487273238320364E-2</v>
      </c>
      <c r="CM164" s="25">
        <f t="shared" si="251"/>
        <v>0.15935589197805286</v>
      </c>
      <c r="CN164" s="17"/>
      <c r="CO164" s="17"/>
      <c r="CP164" s="17"/>
      <c r="CQ164" s="17"/>
      <c r="CR164" s="17"/>
      <c r="CS164" s="17"/>
      <c r="CT164" s="17"/>
      <c r="CU164" s="17"/>
      <c r="CV164" s="17"/>
      <c r="CW164" s="30">
        <v>0</v>
      </c>
      <c r="CX164" s="17"/>
      <c r="CY164" s="17"/>
      <c r="CZ164" s="17"/>
      <c r="DA164" s="17"/>
      <c r="DB164" s="17"/>
    </row>
    <row r="165" spans="1:106" ht="15.75" thickBot="1" x14ac:dyDescent="0.3">
      <c r="A165" s="5">
        <f t="shared" si="258"/>
        <v>37</v>
      </c>
      <c r="B165" s="5">
        <f t="shared" si="258"/>
        <v>35</v>
      </c>
      <c r="C165" s="1">
        <v>47239</v>
      </c>
      <c r="D165" s="4"/>
      <c r="E165" s="30"/>
      <c r="F165" s="30"/>
      <c r="G165" s="30">
        <f t="shared" si="222"/>
        <v>0</v>
      </c>
      <c r="H165" s="30"/>
      <c r="I165" s="10">
        <v>0</v>
      </c>
      <c r="J165" s="60">
        <v>9000</v>
      </c>
      <c r="K165" s="11">
        <v>550</v>
      </c>
      <c r="L165" s="60">
        <f t="shared" si="72"/>
        <v>10603.668858072433</v>
      </c>
      <c r="M165" s="11">
        <v>305</v>
      </c>
      <c r="N165" s="60">
        <v>0</v>
      </c>
      <c r="O165" s="11">
        <v>0</v>
      </c>
      <c r="P165" s="11">
        <v>0</v>
      </c>
      <c r="Q165" s="60">
        <f>(Q164*($K$1/12))+Q164 + $Q$6</f>
        <v>150629.2679388682</v>
      </c>
      <c r="R165" s="60">
        <f>(R164*($K$1/12))+R164</f>
        <v>9043.6720461950863</v>
      </c>
      <c r="S165" s="60">
        <f>(S164*($K$1/12))+S164</f>
        <v>7851.7215667509872</v>
      </c>
      <c r="T165" s="60">
        <f>(T164*($K$1/12))+T164+$T$6 + ((3%/12)*T$11)</f>
        <v>588663.67427535029</v>
      </c>
      <c r="U165" s="60">
        <f>(U164*$K$1/12) + U164 + ((U$11/12*7%))</f>
        <v>76765.802333043961</v>
      </c>
      <c r="V165" s="60">
        <v>3100</v>
      </c>
      <c r="W165" s="60">
        <f>(W164*($K$1/12))+W164+$W$6</f>
        <v>53097.844627470295</v>
      </c>
      <c r="X165" s="11">
        <v>0</v>
      </c>
      <c r="Y165" s="60">
        <f>(Y164*($K$1/12))+Y164+$Y$7</f>
        <v>171739.67912007539</v>
      </c>
      <c r="Z165" s="60">
        <f>'Mortgage and Loans'!U127</f>
        <v>98408.340000000011</v>
      </c>
      <c r="AA165" s="12">
        <f t="shared" si="252"/>
        <v>1179758.6707658267</v>
      </c>
      <c r="AB165" s="56">
        <f t="shared" si="260"/>
        <v>750</v>
      </c>
      <c r="AC165" s="56">
        <f t="shared" si="260"/>
        <v>750</v>
      </c>
      <c r="AD165" s="56">
        <f t="shared" si="260"/>
        <v>750</v>
      </c>
      <c r="AE165" s="56">
        <f t="shared" si="260"/>
        <v>750</v>
      </c>
      <c r="AF165" s="56">
        <f t="shared" si="259"/>
        <v>261.4396153880906</v>
      </c>
      <c r="AG165" s="56">
        <f t="shared" si="260"/>
        <v>750</v>
      </c>
      <c r="AH165" s="56">
        <f>'Mortgage and Loans'!AF122</f>
        <v>0</v>
      </c>
      <c r="AI165" s="56">
        <f>'Mortgage and Loans'!AQ122</f>
        <v>0</v>
      </c>
      <c r="AJ165" s="56">
        <f>'Mortgage and Loans'!BB122</f>
        <v>0</v>
      </c>
      <c r="AK165" s="56">
        <f>'Mortgage and Loans'!BM122</f>
        <v>0</v>
      </c>
      <c r="AL165" s="56">
        <f>'Mortgage and Loans'!T127</f>
        <v>81591.659999999858</v>
      </c>
      <c r="AM165" s="12">
        <f t="shared" si="12"/>
        <v>-85603.099615387953</v>
      </c>
      <c r="AN165" s="75">
        <f t="shared" si="85"/>
        <v>1094155.5711504389</v>
      </c>
      <c r="AO165" s="86">
        <f>'Mortgage and Loans'!G128</f>
        <v>1454.82</v>
      </c>
      <c r="AP165" s="79">
        <f>('Salary Tax Breakdown'!B$16/12)-Data!AO165</f>
        <v>1992.68</v>
      </c>
      <c r="AQ165" s="87"/>
      <c r="AR165" s="20">
        <f t="shared" si="223"/>
        <v>4011.4396153880907</v>
      </c>
      <c r="AS165" s="20">
        <v>750</v>
      </c>
      <c r="AT165" s="20">
        <v>0</v>
      </c>
      <c r="AU165" s="20">
        <f t="shared" si="224"/>
        <v>4761.4396153880907</v>
      </c>
      <c r="AV165" s="20">
        <f t="shared" si="225"/>
        <v>4761.4396154063588</v>
      </c>
      <c r="AW165" s="51">
        <f t="shared" si="253"/>
        <v>0</v>
      </c>
      <c r="AX165" s="51">
        <f t="shared" si="14"/>
        <v>0</v>
      </c>
      <c r="AY165" s="51">
        <f t="shared" si="15"/>
        <v>0</v>
      </c>
      <c r="AZ165" s="51">
        <f t="shared" si="16"/>
        <v>0</v>
      </c>
      <c r="BA165" s="51">
        <f t="shared" si="17"/>
        <v>0</v>
      </c>
      <c r="BB165" s="51">
        <f t="shared" si="18"/>
        <v>0</v>
      </c>
      <c r="BC165" s="51">
        <f t="shared" si="19"/>
        <v>0</v>
      </c>
      <c r="BD165" s="51">
        <f t="shared" si="20"/>
        <v>0</v>
      </c>
      <c r="BE165" s="51">
        <f t="shared" si="21"/>
        <v>0</v>
      </c>
      <c r="BF165" s="51">
        <f t="shared" si="22"/>
        <v>0</v>
      </c>
      <c r="BG165" s="51">
        <f t="shared" si="23"/>
        <v>0</v>
      </c>
      <c r="BH165" s="51">
        <f t="shared" si="24"/>
        <v>0</v>
      </c>
      <c r="BI165" s="51">
        <f t="shared" si="226"/>
        <v>0</v>
      </c>
      <c r="BJ165" s="51">
        <f t="shared" si="227"/>
        <v>0</v>
      </c>
      <c r="BK165" s="51">
        <f t="shared" si="228"/>
        <v>0</v>
      </c>
      <c r="BL165" s="51">
        <f t="shared" si="229"/>
        <v>0</v>
      </c>
      <c r="BM165" s="51">
        <f t="shared" si="230"/>
        <v>0</v>
      </c>
      <c r="BN165" s="51">
        <f t="shared" si="231"/>
        <v>0</v>
      </c>
      <c r="BO165" s="51">
        <f t="shared" si="232"/>
        <v>0</v>
      </c>
      <c r="BP165" s="51">
        <f t="shared" si="233"/>
        <v>0</v>
      </c>
      <c r="BQ165" s="51">
        <f t="shared" si="234"/>
        <v>0</v>
      </c>
      <c r="BR165" s="51">
        <f t="shared" si="235"/>
        <v>0</v>
      </c>
      <c r="BS165" s="51">
        <f t="shared" si="236"/>
        <v>0</v>
      </c>
      <c r="BT165" s="51">
        <f t="shared" si="237"/>
        <v>0</v>
      </c>
      <c r="BU165" s="20">
        <f t="shared" si="238"/>
        <v>4761.4396153881489</v>
      </c>
      <c r="BV165" s="20">
        <f t="shared" si="239"/>
        <v>4761.4396153865682</v>
      </c>
      <c r="BW165" s="20">
        <f t="shared" si="240"/>
        <v>57137.275384657085</v>
      </c>
      <c r="BX165" s="20">
        <f t="shared" si="241"/>
        <v>57137.275384657783</v>
      </c>
      <c r="BY165" s="20">
        <f t="shared" si="242"/>
        <v>57137.275384638822</v>
      </c>
      <c r="BZ165" s="21">
        <f t="shared" si="243"/>
        <v>57137.275384651228</v>
      </c>
      <c r="CA165" s="19">
        <f t="shared" si="256"/>
        <v>1428431.8846162807</v>
      </c>
      <c r="CB165" s="20">
        <f t="shared" si="244"/>
        <v>1428431.8846162523</v>
      </c>
      <c r="CC165" s="20">
        <f t="shared" si="245"/>
        <v>1428431.8846159203</v>
      </c>
      <c r="CD165" s="20">
        <f t="shared" si="257"/>
        <v>0</v>
      </c>
      <c r="CE165" s="20">
        <f t="shared" si="261"/>
        <v>1400000</v>
      </c>
      <c r="CF165" s="20">
        <f t="shared" si="254"/>
        <v>1057791.6619077541</v>
      </c>
      <c r="CG165" s="20">
        <f t="shared" si="246"/>
        <v>42311.666476310165</v>
      </c>
      <c r="CH165" s="20">
        <f t="shared" si="255"/>
        <v>3525.9722063591803</v>
      </c>
      <c r="CI165" s="20">
        <f t="shared" si="247"/>
        <v>1045413.8889725721</v>
      </c>
      <c r="CJ165" s="24">
        <f t="shared" si="248"/>
        <v>0.74052649853299057</v>
      </c>
      <c r="CK165" s="24">
        <f t="shared" si="249"/>
        <v>1.1861622987702717E-2</v>
      </c>
      <c r="CL165" s="24">
        <f t="shared" si="250"/>
        <v>3.6246447268853899E-2</v>
      </c>
      <c r="CM165" s="25">
        <f t="shared" si="251"/>
        <v>0.15818033640020412</v>
      </c>
      <c r="CN165" s="17"/>
      <c r="CO165" s="17"/>
      <c r="CP165" s="17"/>
      <c r="CQ165" s="17"/>
      <c r="CR165" s="17"/>
      <c r="CS165" s="17"/>
      <c r="CT165" s="17"/>
      <c r="CU165" s="17"/>
      <c r="CV165" s="17"/>
      <c r="CW165" s="30">
        <v>0</v>
      </c>
      <c r="CX165" s="17"/>
      <c r="CY165" s="17"/>
      <c r="CZ165" s="17"/>
      <c r="DA165" s="17"/>
      <c r="DB165" s="17"/>
    </row>
    <row r="166" spans="1:106" ht="15.75" thickBot="1" x14ac:dyDescent="0.3">
      <c r="A166" s="5">
        <f t="shared" si="258"/>
        <v>37</v>
      </c>
      <c r="B166" s="5">
        <f t="shared" si="258"/>
        <v>35</v>
      </c>
      <c r="C166" s="1">
        <v>47270</v>
      </c>
      <c r="D166" s="4"/>
      <c r="E166" s="30"/>
      <c r="F166" s="30"/>
      <c r="G166" s="30">
        <f t="shared" si="222"/>
        <v>0</v>
      </c>
      <c r="H166" s="30"/>
      <c r="I166" s="10">
        <v>0</v>
      </c>
      <c r="J166" s="60">
        <v>9000</v>
      </c>
      <c r="K166" s="11">
        <v>550</v>
      </c>
      <c r="L166" s="60">
        <f t="shared" si="72"/>
        <v>10616.481624609271</v>
      </c>
      <c r="M166" s="11">
        <v>305</v>
      </c>
      <c r="N166" s="60">
        <v>0</v>
      </c>
      <c r="O166" s="11">
        <v>0</v>
      </c>
      <c r="P166" s="11">
        <v>0</v>
      </c>
      <c r="Q166" s="60">
        <f>(Q165*($K$1/12))+Q165 + $Q$6</f>
        <v>152361.84647353709</v>
      </c>
      <c r="R166" s="60">
        <f>(R165*($K$1/12))+R165</f>
        <v>9092.6586031119768</v>
      </c>
      <c r="S166" s="60">
        <f>(S165*($K$1/12))+S165</f>
        <v>7894.2517252375546</v>
      </c>
      <c r="T166" s="60">
        <f>(T165*($K$1/12))+T165+$T$6 + ((3%/12)*T$11)</f>
        <v>595027.26917767513</v>
      </c>
      <c r="U166" s="60">
        <f>(U165*$K$1/12) + U165 + ((U$11/12*7%))</f>
        <v>77589.950429014614</v>
      </c>
      <c r="V166" s="60">
        <v>3100</v>
      </c>
      <c r="W166" s="60">
        <f>(W165*($K$1/12))+W165+$W$6</f>
        <v>53672.957952535762</v>
      </c>
      <c r="X166" s="11">
        <v>0</v>
      </c>
      <c r="Y166" s="60">
        <f>(Y165*($K$1/12))+Y165+$Y$7</f>
        <v>174619.93571530914</v>
      </c>
      <c r="Z166" s="60">
        <f>'Mortgage and Loans'!U128</f>
        <v>99582.35</v>
      </c>
      <c r="AA166" s="12">
        <f t="shared" si="252"/>
        <v>1193412.7017010306</v>
      </c>
      <c r="AB166" s="56">
        <f t="shared" si="260"/>
        <v>750</v>
      </c>
      <c r="AC166" s="56">
        <f t="shared" si="260"/>
        <v>750</v>
      </c>
      <c r="AD166" s="56">
        <f t="shared" si="260"/>
        <v>750</v>
      </c>
      <c r="AE166" s="56">
        <f t="shared" si="260"/>
        <v>750</v>
      </c>
      <c r="AF166" s="56">
        <f t="shared" si="259"/>
        <v>261.43961538656828</v>
      </c>
      <c r="AG166" s="56">
        <f t="shared" si="260"/>
        <v>750</v>
      </c>
      <c r="AH166" s="56">
        <f>'Mortgage and Loans'!AF123</f>
        <v>0</v>
      </c>
      <c r="AI166" s="56">
        <f>'Mortgage and Loans'!AQ123</f>
        <v>0</v>
      </c>
      <c r="AJ166" s="56">
        <f>'Mortgage and Loans'!BB123</f>
        <v>0</v>
      </c>
      <c r="AK166" s="56">
        <f>'Mortgage and Loans'!BM123</f>
        <v>0</v>
      </c>
      <c r="AL166" s="56">
        <f>'Mortgage and Loans'!T128</f>
        <v>80417.649999999849</v>
      </c>
      <c r="AM166" s="12">
        <f t="shared" si="12"/>
        <v>-84429.089615386416</v>
      </c>
      <c r="AN166" s="75">
        <f t="shared" si="85"/>
        <v>1108983.6120856442</v>
      </c>
      <c r="AO166" s="86">
        <f>'Mortgage and Loans'!G129</f>
        <v>1454.82</v>
      </c>
      <c r="AP166" s="79">
        <f>('Salary Tax Breakdown'!B$16/12)-Data!AO166</f>
        <v>1992.68</v>
      </c>
      <c r="AQ166" s="87"/>
      <c r="AR166" s="20">
        <f t="shared" si="223"/>
        <v>4011.4396153865682</v>
      </c>
      <c r="AS166" s="20">
        <v>750</v>
      </c>
      <c r="AT166" s="20">
        <v>0</v>
      </c>
      <c r="AU166" s="20">
        <f t="shared" si="224"/>
        <v>4761.4396153865682</v>
      </c>
      <c r="AV166" s="20">
        <f t="shared" si="225"/>
        <v>4761.4396154071055</v>
      </c>
      <c r="AW166" s="51">
        <f t="shared" si="253"/>
        <v>0</v>
      </c>
      <c r="AX166" s="51">
        <f t="shared" si="14"/>
        <v>0</v>
      </c>
      <c r="AY166" s="51">
        <f t="shared" si="15"/>
        <v>0</v>
      </c>
      <c r="AZ166" s="51">
        <f t="shared" si="16"/>
        <v>0</v>
      </c>
      <c r="BA166" s="51">
        <f t="shared" si="17"/>
        <v>0</v>
      </c>
      <c r="BB166" s="51">
        <f t="shared" si="18"/>
        <v>0</v>
      </c>
      <c r="BC166" s="51">
        <f t="shared" si="19"/>
        <v>0</v>
      </c>
      <c r="BD166" s="51">
        <f t="shared" si="20"/>
        <v>0</v>
      </c>
      <c r="BE166" s="51">
        <f t="shared" si="21"/>
        <v>0</v>
      </c>
      <c r="BF166" s="51">
        <f t="shared" si="22"/>
        <v>0</v>
      </c>
      <c r="BG166" s="51">
        <f t="shared" si="23"/>
        <v>0</v>
      </c>
      <c r="BH166" s="51">
        <f t="shared" si="24"/>
        <v>0</v>
      </c>
      <c r="BI166" s="51">
        <f t="shared" si="226"/>
        <v>0</v>
      </c>
      <c r="BJ166" s="51">
        <f t="shared" si="227"/>
        <v>0</v>
      </c>
      <c r="BK166" s="51">
        <f t="shared" si="228"/>
        <v>0</v>
      </c>
      <c r="BL166" s="51">
        <f t="shared" si="229"/>
        <v>0</v>
      </c>
      <c r="BM166" s="51">
        <f t="shared" si="230"/>
        <v>0</v>
      </c>
      <c r="BN166" s="51">
        <f t="shared" si="231"/>
        <v>0</v>
      </c>
      <c r="BO166" s="51">
        <f t="shared" si="232"/>
        <v>0</v>
      </c>
      <c r="BP166" s="51">
        <f t="shared" si="233"/>
        <v>0</v>
      </c>
      <c r="BQ166" s="51">
        <f t="shared" si="234"/>
        <v>0</v>
      </c>
      <c r="BR166" s="51">
        <f t="shared" si="235"/>
        <v>0</v>
      </c>
      <c r="BS166" s="51">
        <f t="shared" si="236"/>
        <v>0</v>
      </c>
      <c r="BT166" s="51">
        <f t="shared" si="237"/>
        <v>0</v>
      </c>
      <c r="BU166" s="20">
        <f t="shared" si="238"/>
        <v>4761.439615387776</v>
      </c>
      <c r="BV166" s="20">
        <f t="shared" si="239"/>
        <v>4761.4396153848575</v>
      </c>
      <c r="BW166" s="20">
        <f t="shared" si="240"/>
        <v>57137.275384638822</v>
      </c>
      <c r="BX166" s="20">
        <f t="shared" si="241"/>
        <v>57137.275384653316</v>
      </c>
      <c r="BY166" s="20">
        <f t="shared" si="242"/>
        <v>57137.27538461829</v>
      </c>
      <c r="BZ166" s="21">
        <f t="shared" si="243"/>
        <v>57137.275384636807</v>
      </c>
      <c r="CA166" s="19">
        <f t="shared" si="256"/>
        <v>1428431.8846159203</v>
      </c>
      <c r="CB166" s="20">
        <f t="shared" si="244"/>
        <v>1428431.8846161959</v>
      </c>
      <c r="CC166" s="20">
        <f t="shared" si="245"/>
        <v>1428431.8846154914</v>
      </c>
      <c r="CD166" s="20">
        <f t="shared" si="257"/>
        <v>0</v>
      </c>
      <c r="CE166" s="20">
        <f t="shared" si="261"/>
        <v>1400000</v>
      </c>
      <c r="CF166" s="20">
        <f t="shared" si="254"/>
        <v>1070258.8700764212</v>
      </c>
      <c r="CG166" s="20">
        <f t="shared" si="246"/>
        <v>42810.354803056849</v>
      </c>
      <c r="CH166" s="20">
        <f t="shared" si="255"/>
        <v>3567.5295669214042</v>
      </c>
      <c r="CI166" s="20">
        <f t="shared" si="247"/>
        <v>1057814.0508711736</v>
      </c>
      <c r="CJ166" s="24">
        <f t="shared" si="248"/>
        <v>0.74925439679889816</v>
      </c>
      <c r="CK166" s="24">
        <f t="shared" si="249"/>
        <v>1.1786071508809321E-2</v>
      </c>
      <c r="CL166" s="24">
        <f t="shared" si="250"/>
        <v>3.6010051569455345E-2</v>
      </c>
      <c r="CM166" s="25">
        <f t="shared" si="251"/>
        <v>0.1570281928488885</v>
      </c>
      <c r="CN166" s="17"/>
      <c r="CO166" s="17"/>
      <c r="CP166" s="17"/>
      <c r="CQ166" s="17"/>
      <c r="CR166" s="17"/>
      <c r="CS166" s="17"/>
      <c r="CT166" s="17"/>
      <c r="CU166" s="17"/>
      <c r="CV166" s="17"/>
      <c r="CW166" s="30">
        <v>0</v>
      </c>
      <c r="CX166" s="17"/>
      <c r="CY166" s="17"/>
      <c r="CZ166" s="17"/>
      <c r="DA166" s="17"/>
      <c r="DB166" s="17"/>
    </row>
    <row r="167" spans="1:106" ht="15.75" thickBot="1" x14ac:dyDescent="0.3">
      <c r="A167" s="5">
        <f t="shared" si="258"/>
        <v>37</v>
      </c>
      <c r="B167" s="5">
        <f t="shared" si="258"/>
        <v>35</v>
      </c>
      <c r="C167" s="1">
        <v>47300</v>
      </c>
      <c r="D167" s="4"/>
      <c r="E167" s="30"/>
      <c r="F167" s="30"/>
      <c r="G167" s="30">
        <f t="shared" si="222"/>
        <v>0</v>
      </c>
      <c r="H167" s="30"/>
      <c r="I167" s="10">
        <v>0</v>
      </c>
      <c r="J167" s="60">
        <v>9000</v>
      </c>
      <c r="K167" s="11">
        <v>550</v>
      </c>
      <c r="L167" s="60">
        <f t="shared" si="72"/>
        <v>10629.309873239006</v>
      </c>
      <c r="M167" s="11">
        <v>305</v>
      </c>
      <c r="N167" s="60">
        <v>0</v>
      </c>
      <c r="O167" s="11">
        <v>0</v>
      </c>
      <c r="P167" s="11">
        <v>0</v>
      </c>
      <c r="Q167" s="60">
        <f>(Q166*($K$1/12))+Q166 + $Q$6</f>
        <v>154103.80980860209</v>
      </c>
      <c r="R167" s="60">
        <f>(R166*($K$1/12))+R166</f>
        <v>9141.910503878833</v>
      </c>
      <c r="S167" s="60">
        <f>(S166*($K$1/12))+S166</f>
        <v>7937.0122554159243</v>
      </c>
      <c r="T167" s="60">
        <f>(T166*($K$1/12))+T166+$T$6 + ((3%/12)*T$11)</f>
        <v>601425.33355238754</v>
      </c>
      <c r="U167" s="60">
        <f>(U166*$K$1/12) + U166 + ((U$11/12*7%))</f>
        <v>78418.562660505107</v>
      </c>
      <c r="V167" s="60">
        <v>3100</v>
      </c>
      <c r="W167" s="60">
        <f>(W166*($K$1/12))+W166+$W$6</f>
        <v>54251.186474778668</v>
      </c>
      <c r="X167" s="11">
        <v>0</v>
      </c>
      <c r="Y167" s="60">
        <f>(Y166*($K$1/12))+Y166+$Y$7</f>
        <v>177515.79370043374</v>
      </c>
      <c r="Z167" s="60">
        <f>'Mortgage and Loans'!U129</f>
        <v>100760.40000000001</v>
      </c>
      <c r="AA167" s="12">
        <f t="shared" si="252"/>
        <v>1207138.3188292407</v>
      </c>
      <c r="AB167" s="56">
        <f t="shared" si="260"/>
        <v>750</v>
      </c>
      <c r="AC167" s="56">
        <f t="shared" si="260"/>
        <v>750</v>
      </c>
      <c r="AD167" s="56">
        <f t="shared" si="260"/>
        <v>750</v>
      </c>
      <c r="AE167" s="56">
        <f t="shared" si="260"/>
        <v>750</v>
      </c>
      <c r="AF167" s="56">
        <f t="shared" si="259"/>
        <v>261.43961538485684</v>
      </c>
      <c r="AG167" s="56">
        <f t="shared" si="260"/>
        <v>750</v>
      </c>
      <c r="AH167" s="56">
        <f>'Mortgage and Loans'!AF124</f>
        <v>0</v>
      </c>
      <c r="AI167" s="56">
        <f>'Mortgage and Loans'!AQ124</f>
        <v>0</v>
      </c>
      <c r="AJ167" s="56">
        <f>'Mortgage and Loans'!BB124</f>
        <v>0</v>
      </c>
      <c r="AK167" s="56">
        <f>'Mortgage and Loans'!BM124</f>
        <v>0</v>
      </c>
      <c r="AL167" s="56">
        <f>'Mortgage and Loans'!T129</f>
        <v>79239.599999999846</v>
      </c>
      <c r="AM167" s="12">
        <f t="shared" si="12"/>
        <v>-83251.039615384696</v>
      </c>
      <c r="AN167" s="75">
        <f t="shared" si="85"/>
        <v>1123887.279213856</v>
      </c>
      <c r="AO167" s="86">
        <f>'Mortgage and Loans'!G130</f>
        <v>1454.82</v>
      </c>
      <c r="AP167" s="79">
        <f>('Salary Tax Breakdown'!B$16/12)-Data!AO167</f>
        <v>1992.68</v>
      </c>
      <c r="AQ167" s="87"/>
      <c r="AR167" s="20">
        <f t="shared" si="223"/>
        <v>4011.439615384857</v>
      </c>
      <c r="AS167" s="20">
        <v>750</v>
      </c>
      <c r="AT167" s="20">
        <v>0</v>
      </c>
      <c r="AU167" s="20">
        <f t="shared" si="224"/>
        <v>4761.4396153848575</v>
      </c>
      <c r="AV167" s="20">
        <f t="shared" si="225"/>
        <v>4761.4396154004917</v>
      </c>
      <c r="AW167" s="51">
        <f t="shared" si="253"/>
        <v>0</v>
      </c>
      <c r="AX167" s="51">
        <f t="shared" si="14"/>
        <v>0</v>
      </c>
      <c r="AY167" s="51">
        <f t="shared" si="15"/>
        <v>0</v>
      </c>
      <c r="AZ167" s="51">
        <f t="shared" si="16"/>
        <v>0</v>
      </c>
      <c r="BA167" s="51">
        <f t="shared" si="17"/>
        <v>0</v>
      </c>
      <c r="BB167" s="51">
        <f t="shared" si="18"/>
        <v>0</v>
      </c>
      <c r="BC167" s="51">
        <f t="shared" si="19"/>
        <v>0</v>
      </c>
      <c r="BD167" s="51">
        <f t="shared" si="20"/>
        <v>0</v>
      </c>
      <c r="BE167" s="51">
        <f t="shared" si="21"/>
        <v>0</v>
      </c>
      <c r="BF167" s="51">
        <f t="shared" si="22"/>
        <v>0</v>
      </c>
      <c r="BG167" s="51">
        <f t="shared" si="23"/>
        <v>0</v>
      </c>
      <c r="BH167" s="51">
        <f t="shared" si="24"/>
        <v>0</v>
      </c>
      <c r="BI167" s="51">
        <f t="shared" si="226"/>
        <v>0</v>
      </c>
      <c r="BJ167" s="51">
        <f t="shared" si="227"/>
        <v>0</v>
      </c>
      <c r="BK167" s="51">
        <f t="shared" si="228"/>
        <v>0</v>
      </c>
      <c r="BL167" s="51">
        <f t="shared" si="229"/>
        <v>0</v>
      </c>
      <c r="BM167" s="51">
        <f t="shared" si="230"/>
        <v>0</v>
      </c>
      <c r="BN167" s="51">
        <f t="shared" si="231"/>
        <v>0</v>
      </c>
      <c r="BO167" s="51">
        <f t="shared" si="232"/>
        <v>0</v>
      </c>
      <c r="BP167" s="51">
        <f t="shared" si="233"/>
        <v>0</v>
      </c>
      <c r="BQ167" s="51">
        <f t="shared" si="234"/>
        <v>0</v>
      </c>
      <c r="BR167" s="51">
        <f t="shared" si="235"/>
        <v>0</v>
      </c>
      <c r="BS167" s="51">
        <f t="shared" si="236"/>
        <v>0</v>
      </c>
      <c r="BT167" s="51">
        <f t="shared" si="237"/>
        <v>0</v>
      </c>
      <c r="BU167" s="20">
        <f t="shared" si="238"/>
        <v>4761.4396153865055</v>
      </c>
      <c r="BV167" s="20">
        <f t="shared" si="239"/>
        <v>4761.4396153835532</v>
      </c>
      <c r="BW167" s="20">
        <f t="shared" si="240"/>
        <v>57137.27538461829</v>
      </c>
      <c r="BX167" s="20">
        <f t="shared" si="241"/>
        <v>57137.275384638066</v>
      </c>
      <c r="BY167" s="20">
        <f t="shared" si="242"/>
        <v>57137.275384602639</v>
      </c>
      <c r="BZ167" s="21">
        <f t="shared" si="243"/>
        <v>57137.275384619665</v>
      </c>
      <c r="CA167" s="19">
        <f t="shared" si="256"/>
        <v>1428431.8846154916</v>
      </c>
      <c r="CB167" s="20">
        <f t="shared" si="244"/>
        <v>1428431.8846158974</v>
      </c>
      <c r="CC167" s="20">
        <f t="shared" si="245"/>
        <v>1428431.8846151503</v>
      </c>
      <c r="CD167" s="20">
        <f t="shared" si="257"/>
        <v>0</v>
      </c>
      <c r="CE167" s="20">
        <f t="shared" si="261"/>
        <v>1400000</v>
      </c>
      <c r="CF167" s="20">
        <f t="shared" si="254"/>
        <v>1082793.6089560019</v>
      </c>
      <c r="CG167" s="20">
        <f t="shared" si="246"/>
        <v>43311.744358240081</v>
      </c>
      <c r="CH167" s="20">
        <f t="shared" si="255"/>
        <v>3609.3120298533399</v>
      </c>
      <c r="CI167" s="20">
        <f t="shared" si="247"/>
        <v>1070281.3803133925</v>
      </c>
      <c r="CJ167" s="24">
        <f t="shared" si="248"/>
        <v>0.75802957118054182</v>
      </c>
      <c r="CK167" s="24">
        <f t="shared" si="249"/>
        <v>1.1711875724688658E-2</v>
      </c>
      <c r="CL167" s="24">
        <f t="shared" si="250"/>
        <v>3.5777968359972059E-2</v>
      </c>
      <c r="CM167" s="25">
        <f t="shared" si="251"/>
        <v>0.15589878513602073</v>
      </c>
      <c r="CN167" s="17"/>
      <c r="CO167" s="17"/>
      <c r="CP167" s="17"/>
      <c r="CQ167" s="17"/>
      <c r="CR167" s="17"/>
      <c r="CS167" s="17"/>
      <c r="CT167" s="17"/>
      <c r="CU167" s="17"/>
      <c r="CV167" s="17"/>
      <c r="CW167" s="30">
        <v>0</v>
      </c>
      <c r="CX167" s="17"/>
      <c r="CY167" s="17"/>
      <c r="CZ167" s="17"/>
      <c r="DA167" s="17"/>
      <c r="DB167" s="17"/>
    </row>
    <row r="168" spans="1:106" ht="15.75" thickBot="1" x14ac:dyDescent="0.3">
      <c r="A168" s="5">
        <f t="shared" si="258"/>
        <v>37</v>
      </c>
      <c r="B168" s="5">
        <f t="shared" si="258"/>
        <v>35</v>
      </c>
      <c r="C168" s="1">
        <v>47331</v>
      </c>
      <c r="D168" s="4"/>
      <c r="E168" s="30"/>
      <c r="F168" s="30"/>
      <c r="G168" s="30">
        <f t="shared" si="222"/>
        <v>0</v>
      </c>
      <c r="H168" s="30"/>
      <c r="I168" s="10">
        <v>0</v>
      </c>
      <c r="J168" s="60">
        <v>9000</v>
      </c>
      <c r="K168" s="11">
        <v>550</v>
      </c>
      <c r="L168" s="60">
        <f t="shared" si="72"/>
        <v>10642.15362266917</v>
      </c>
      <c r="M168" s="11">
        <v>305</v>
      </c>
      <c r="N168" s="60">
        <v>0</v>
      </c>
      <c r="O168" s="11">
        <v>0</v>
      </c>
      <c r="P168" s="11">
        <v>0</v>
      </c>
      <c r="Q168" s="60">
        <f>(Q167*($K$1/12))+Q167 + $Q$6</f>
        <v>155855.20877839869</v>
      </c>
      <c r="R168" s="60">
        <f>(R167*($K$1/12))+R167</f>
        <v>9191.4291857748431</v>
      </c>
      <c r="S168" s="60">
        <f>(S167*($K$1/12))+S167</f>
        <v>7980.0044051327604</v>
      </c>
      <c r="T168" s="60">
        <f>(T167*($K$1/12))+T167+$T$6 + ((3%/12)*T$11)</f>
        <v>607858.05410912959</v>
      </c>
      <c r="U168" s="60">
        <f>(U167*$K$1/12) + U167 + ((U$11/12*7%))</f>
        <v>79251.663208249505</v>
      </c>
      <c r="V168" s="60">
        <v>3100</v>
      </c>
      <c r="W168" s="60">
        <f>(W167*($K$1/12))+W167+$W$6</f>
        <v>54832.547068183718</v>
      </c>
      <c r="X168" s="11">
        <v>0</v>
      </c>
      <c r="Y168" s="60">
        <f>(Y167*($K$1/12))+Y167+$Y$7</f>
        <v>180427.33758297775</v>
      </c>
      <c r="Z168" s="60">
        <f>'Mortgage and Loans'!U130</f>
        <v>101942.50000000001</v>
      </c>
      <c r="AA168" s="12">
        <f t="shared" si="252"/>
        <v>1220935.8979605159</v>
      </c>
      <c r="AB168" s="56">
        <f t="shared" si="260"/>
        <v>750</v>
      </c>
      <c r="AC168" s="56">
        <f t="shared" si="260"/>
        <v>750</v>
      </c>
      <c r="AD168" s="56">
        <f t="shared" si="260"/>
        <v>750</v>
      </c>
      <c r="AE168" s="56">
        <f t="shared" si="260"/>
        <v>750</v>
      </c>
      <c r="AF168" s="56">
        <f t="shared" si="259"/>
        <v>261.43961538355398</v>
      </c>
      <c r="AG168" s="56">
        <f t="shared" si="260"/>
        <v>750</v>
      </c>
      <c r="AH168" s="56">
        <f>'Mortgage and Loans'!AF125</f>
        <v>0</v>
      </c>
      <c r="AI168" s="56">
        <f>'Mortgage and Loans'!AQ125</f>
        <v>0</v>
      </c>
      <c r="AJ168" s="56">
        <f>'Mortgage and Loans'!BB125</f>
        <v>0</v>
      </c>
      <c r="AK168" s="56">
        <f>'Mortgage and Loans'!BM125</f>
        <v>0</v>
      </c>
      <c r="AL168" s="56">
        <f>'Mortgage and Loans'!T130</f>
        <v>78057.49999999984</v>
      </c>
      <c r="AM168" s="12">
        <f t="shared" si="12"/>
        <v>-82068.939615383395</v>
      </c>
      <c r="AN168" s="75">
        <f t="shared" si="85"/>
        <v>1138866.9583451324</v>
      </c>
      <c r="AO168" s="86">
        <f>'Mortgage and Loans'!G131</f>
        <v>1454.82</v>
      </c>
      <c r="AP168" s="79">
        <f>('Salary Tax Breakdown'!B$16/12)-Data!AO168</f>
        <v>1992.68</v>
      </c>
      <c r="AQ168" s="87"/>
      <c r="AR168" s="20">
        <f t="shared" si="223"/>
        <v>4011.4396153835542</v>
      </c>
      <c r="AS168" s="20">
        <v>750</v>
      </c>
      <c r="AT168" s="20">
        <v>0</v>
      </c>
      <c r="AU168" s="20">
        <f t="shared" si="224"/>
        <v>4761.4396153835542</v>
      </c>
      <c r="AV168" s="20">
        <f t="shared" si="225"/>
        <v>4761.4396153907201</v>
      </c>
      <c r="AW168" s="51">
        <f t="shared" si="253"/>
        <v>0</v>
      </c>
      <c r="AX168" s="51">
        <f t="shared" si="14"/>
        <v>0</v>
      </c>
      <c r="AY168" s="51">
        <f t="shared" si="15"/>
        <v>0</v>
      </c>
      <c r="AZ168" s="51">
        <f t="shared" si="16"/>
        <v>0</v>
      </c>
      <c r="BA168" s="51">
        <f t="shared" si="17"/>
        <v>0</v>
      </c>
      <c r="BB168" s="51">
        <f t="shared" si="18"/>
        <v>0</v>
      </c>
      <c r="BC168" s="51">
        <f t="shared" si="19"/>
        <v>0</v>
      </c>
      <c r="BD168" s="51">
        <f t="shared" si="20"/>
        <v>0</v>
      </c>
      <c r="BE168" s="51">
        <f t="shared" si="21"/>
        <v>0</v>
      </c>
      <c r="BF168" s="51">
        <f t="shared" si="22"/>
        <v>0</v>
      </c>
      <c r="BG168" s="51">
        <f t="shared" si="23"/>
        <v>0</v>
      </c>
      <c r="BH168" s="51">
        <f t="shared" si="24"/>
        <v>0</v>
      </c>
      <c r="BI168" s="51">
        <f t="shared" si="226"/>
        <v>0</v>
      </c>
      <c r="BJ168" s="51">
        <f t="shared" si="227"/>
        <v>0</v>
      </c>
      <c r="BK168" s="51">
        <f t="shared" si="228"/>
        <v>0</v>
      </c>
      <c r="BL168" s="51">
        <f t="shared" si="229"/>
        <v>0</v>
      </c>
      <c r="BM168" s="51">
        <f t="shared" si="230"/>
        <v>0</v>
      </c>
      <c r="BN168" s="51">
        <f t="shared" si="231"/>
        <v>0</v>
      </c>
      <c r="BO168" s="51">
        <f t="shared" si="232"/>
        <v>0</v>
      </c>
      <c r="BP168" s="51">
        <f t="shared" si="233"/>
        <v>0</v>
      </c>
      <c r="BQ168" s="51">
        <f t="shared" si="234"/>
        <v>0</v>
      </c>
      <c r="BR168" s="51">
        <f t="shared" si="235"/>
        <v>0</v>
      </c>
      <c r="BS168" s="51">
        <f t="shared" si="236"/>
        <v>0</v>
      </c>
      <c r="BT168" s="51">
        <f t="shared" si="237"/>
        <v>0</v>
      </c>
      <c r="BU168" s="20">
        <f t="shared" si="238"/>
        <v>4761.439615384993</v>
      </c>
      <c r="BV168" s="20">
        <f t="shared" si="239"/>
        <v>4761.4396153829566</v>
      </c>
      <c r="BW168" s="20">
        <f t="shared" si="240"/>
        <v>57137.275384602646</v>
      </c>
      <c r="BX168" s="20">
        <f t="shared" si="241"/>
        <v>57137.275384619919</v>
      </c>
      <c r="BY168" s="20">
        <f t="shared" si="242"/>
        <v>57137.275384595479</v>
      </c>
      <c r="BZ168" s="21">
        <f t="shared" si="243"/>
        <v>57137.275384606015</v>
      </c>
      <c r="CA168" s="19">
        <f t="shared" si="256"/>
        <v>1428431.8846151503</v>
      </c>
      <c r="CB168" s="20">
        <f t="shared" si="244"/>
        <v>1428431.8846155207</v>
      </c>
      <c r="CC168" s="20">
        <f t="shared" si="245"/>
        <v>1428431.8846149801</v>
      </c>
      <c r="CD168" s="20">
        <f t="shared" si="257"/>
        <v>0</v>
      </c>
      <c r="CE168" s="20">
        <f t="shared" si="261"/>
        <v>1400000</v>
      </c>
      <c r="CF168" s="20">
        <f t="shared" si="254"/>
        <v>1095396.2443378468</v>
      </c>
      <c r="CG168" s="20">
        <f t="shared" si="246"/>
        <v>43815.849773513874</v>
      </c>
      <c r="CH168" s="20">
        <f t="shared" si="255"/>
        <v>3651.3208144594896</v>
      </c>
      <c r="CI168" s="20">
        <f t="shared" si="247"/>
        <v>1082816.2411234232</v>
      </c>
      <c r="CJ168" s="24">
        <f t="shared" si="248"/>
        <v>0.76685227775679732</v>
      </c>
      <c r="CK168" s="24">
        <f t="shared" si="249"/>
        <v>1.1639000523835673E-2</v>
      </c>
      <c r="CL168" s="24">
        <f t="shared" si="250"/>
        <v>3.555008399505797E-2</v>
      </c>
      <c r="CM168" s="25">
        <f t="shared" si="251"/>
        <v>0.15479146284920936</v>
      </c>
      <c r="CN168" s="17"/>
      <c r="CO168" s="17"/>
      <c r="CP168" s="17"/>
      <c r="CQ168" s="17"/>
      <c r="CR168" s="17"/>
      <c r="CS168" s="17"/>
      <c r="CT168" s="17"/>
      <c r="CU168" s="17"/>
      <c r="CV168" s="17"/>
      <c r="CW168" s="30">
        <v>0</v>
      </c>
      <c r="CX168" s="17"/>
      <c r="CY168" s="17"/>
      <c r="CZ168" s="17"/>
      <c r="DA168" s="17"/>
      <c r="DB168" s="17"/>
    </row>
    <row r="169" spans="1:106" ht="15.75" thickBot="1" x14ac:dyDescent="0.3">
      <c r="A169" s="5">
        <f t="shared" si="258"/>
        <v>37</v>
      </c>
      <c r="B169" s="5">
        <f t="shared" si="258"/>
        <v>35</v>
      </c>
      <c r="C169" s="1">
        <v>47362</v>
      </c>
      <c r="D169" s="4"/>
      <c r="E169" s="30"/>
      <c r="F169" s="30"/>
      <c r="G169" s="30">
        <f t="shared" si="222"/>
        <v>0</v>
      </c>
      <c r="H169" s="30"/>
      <c r="I169" s="10">
        <v>0</v>
      </c>
      <c r="J169" s="60">
        <v>9000</v>
      </c>
      <c r="K169" s="11">
        <v>550</v>
      </c>
      <c r="L169" s="60">
        <f t="shared" si="72"/>
        <v>10655.012891629895</v>
      </c>
      <c r="M169" s="11">
        <v>305</v>
      </c>
      <c r="N169" s="60">
        <v>0</v>
      </c>
      <c r="O169" s="11">
        <v>0</v>
      </c>
      <c r="P169" s="11">
        <v>0</v>
      </c>
      <c r="Q169" s="60">
        <f>(Q168*($K$1/12))+Q168 + $Q$6</f>
        <v>157616.09449261503</v>
      </c>
      <c r="R169" s="60">
        <f>(R168*($K$1/12))+R168</f>
        <v>9241.2160938644574</v>
      </c>
      <c r="S169" s="60">
        <f>(S168*($K$1/12))+S168</f>
        <v>8023.2294289938964</v>
      </c>
      <c r="T169" s="60">
        <f>(T168*($K$1/12))+T168+$T$6 + ((3%/12)*T$11)</f>
        <v>614325.61856888735</v>
      </c>
      <c r="U169" s="60">
        <f>(U168*$K$1/12) + U168 + ((U$11/12*7%))</f>
        <v>80089.276383960852</v>
      </c>
      <c r="V169" s="60">
        <v>3100</v>
      </c>
      <c r="W169" s="60">
        <f>(W168*($K$1/12))+W168+$W$6</f>
        <v>55417.056698136381</v>
      </c>
      <c r="X169" s="11">
        <v>0</v>
      </c>
      <c r="Y169" s="60">
        <f>(Y168*($K$1/12))+Y168+$Y$7</f>
        <v>183354.65232821889</v>
      </c>
      <c r="Z169" s="60">
        <f>'Mortgage and Loans'!U131</f>
        <v>103128.67000000001</v>
      </c>
      <c r="AA169" s="12">
        <f t="shared" si="252"/>
        <v>1234805.8268863067</v>
      </c>
      <c r="AB169" s="56">
        <f t="shared" si="260"/>
        <v>750</v>
      </c>
      <c r="AC169" s="56">
        <f t="shared" si="260"/>
        <v>750</v>
      </c>
      <c r="AD169" s="56">
        <f t="shared" si="260"/>
        <v>750</v>
      </c>
      <c r="AE169" s="56">
        <f t="shared" si="260"/>
        <v>750</v>
      </c>
      <c r="AF169" s="56">
        <f t="shared" si="259"/>
        <v>261.4396153829569</v>
      </c>
      <c r="AG169" s="56">
        <f t="shared" si="260"/>
        <v>750</v>
      </c>
      <c r="AH169" s="56">
        <f>'Mortgage and Loans'!AF126</f>
        <v>0</v>
      </c>
      <c r="AI169" s="56">
        <f>'Mortgage and Loans'!AQ126</f>
        <v>0</v>
      </c>
      <c r="AJ169" s="56">
        <f>'Mortgage and Loans'!BB126</f>
        <v>0</v>
      </c>
      <c r="AK169" s="56">
        <f>'Mortgage and Loans'!BM126</f>
        <v>0</v>
      </c>
      <c r="AL169" s="56">
        <f>'Mortgage and Loans'!T131</f>
        <v>76871.329999999842</v>
      </c>
      <c r="AM169" s="12">
        <f t="shared" si="12"/>
        <v>-80882.7696153828</v>
      </c>
      <c r="AN169" s="75">
        <f t="shared" si="85"/>
        <v>1153923.0572709239</v>
      </c>
      <c r="AO169" s="86">
        <f>'Mortgage and Loans'!G132</f>
        <v>1454.82</v>
      </c>
      <c r="AP169" s="79">
        <f>('Salary Tax Breakdown'!B$16/12)-Data!AO169</f>
        <v>1992.68</v>
      </c>
      <c r="AQ169" s="87"/>
      <c r="AR169" s="20">
        <f t="shared" si="223"/>
        <v>4011.4396153829571</v>
      </c>
      <c r="AS169" s="20">
        <v>750</v>
      </c>
      <c r="AT169" s="20">
        <v>0</v>
      </c>
      <c r="AU169" s="20">
        <f t="shared" si="224"/>
        <v>4761.4396153829566</v>
      </c>
      <c r="AV169" s="20">
        <f t="shared" si="225"/>
        <v>4761.4396153817834</v>
      </c>
      <c r="AW169" s="51">
        <f t="shared" si="253"/>
        <v>0</v>
      </c>
      <c r="AX169" s="51">
        <f t="shared" si="14"/>
        <v>0</v>
      </c>
      <c r="AY169" s="51">
        <f t="shared" si="15"/>
        <v>0</v>
      </c>
      <c r="AZ169" s="51">
        <f t="shared" si="16"/>
        <v>0</v>
      </c>
      <c r="BA169" s="51">
        <f t="shared" si="17"/>
        <v>0</v>
      </c>
      <c r="BB169" s="51">
        <f t="shared" si="18"/>
        <v>0</v>
      </c>
      <c r="BC169" s="51">
        <f t="shared" si="19"/>
        <v>0</v>
      </c>
      <c r="BD169" s="51">
        <f t="shared" si="20"/>
        <v>0</v>
      </c>
      <c r="BE169" s="51">
        <f t="shared" si="21"/>
        <v>0</v>
      </c>
      <c r="BF169" s="51">
        <f t="shared" si="22"/>
        <v>0</v>
      </c>
      <c r="BG169" s="51">
        <f t="shared" si="23"/>
        <v>0</v>
      </c>
      <c r="BH169" s="51">
        <f t="shared" si="24"/>
        <v>0</v>
      </c>
      <c r="BI169" s="51">
        <f t="shared" si="226"/>
        <v>0</v>
      </c>
      <c r="BJ169" s="51">
        <f t="shared" si="227"/>
        <v>0</v>
      </c>
      <c r="BK169" s="51">
        <f t="shared" si="228"/>
        <v>0</v>
      </c>
      <c r="BL169" s="51">
        <f t="shared" si="229"/>
        <v>0</v>
      </c>
      <c r="BM169" s="51">
        <f t="shared" si="230"/>
        <v>0</v>
      </c>
      <c r="BN169" s="51">
        <f t="shared" si="231"/>
        <v>0</v>
      </c>
      <c r="BO169" s="51">
        <f t="shared" si="232"/>
        <v>0</v>
      </c>
      <c r="BP169" s="51">
        <f t="shared" si="233"/>
        <v>0</v>
      </c>
      <c r="BQ169" s="51">
        <f t="shared" si="234"/>
        <v>0</v>
      </c>
      <c r="BR169" s="51">
        <f t="shared" si="235"/>
        <v>0</v>
      </c>
      <c r="BS169" s="51">
        <f t="shared" si="236"/>
        <v>0</v>
      </c>
      <c r="BT169" s="51">
        <f t="shared" si="237"/>
        <v>0</v>
      </c>
      <c r="BU169" s="20">
        <f t="shared" si="238"/>
        <v>4761.4396153837897</v>
      </c>
      <c r="BV169" s="20">
        <f t="shared" si="239"/>
        <v>4761.4396153830548</v>
      </c>
      <c r="BW169" s="20">
        <f t="shared" si="240"/>
        <v>57137.275384595479</v>
      </c>
      <c r="BX169" s="20">
        <f t="shared" si="241"/>
        <v>57137.275384605477</v>
      </c>
      <c r="BY169" s="20">
        <f t="shared" si="242"/>
        <v>57137.275384596658</v>
      </c>
      <c r="BZ169" s="21">
        <f t="shared" si="243"/>
        <v>57137.275384599205</v>
      </c>
      <c r="CA169" s="19">
        <f t="shared" si="256"/>
        <v>1428431.8846149801</v>
      </c>
      <c r="CB169" s="20">
        <f t="shared" si="244"/>
        <v>1428431.8846152073</v>
      </c>
      <c r="CC169" s="20">
        <f t="shared" si="245"/>
        <v>1428431.8846149864</v>
      </c>
      <c r="CD169" s="20">
        <f t="shared" si="257"/>
        <v>0</v>
      </c>
      <c r="CE169" s="20">
        <f t="shared" si="261"/>
        <v>1400000</v>
      </c>
      <c r="CF169" s="20">
        <f t="shared" si="254"/>
        <v>1108067.1439946769</v>
      </c>
      <c r="CG169" s="20">
        <f t="shared" si="246"/>
        <v>44322.685759787077</v>
      </c>
      <c r="CH169" s="20">
        <f t="shared" si="255"/>
        <v>3693.5571466489232</v>
      </c>
      <c r="CI169" s="20">
        <f t="shared" si="247"/>
        <v>1095418.9990961752</v>
      </c>
      <c r="CJ169" s="24">
        <f t="shared" si="248"/>
        <v>0.77572277399364364</v>
      </c>
      <c r="CK169" s="24">
        <f t="shared" si="249"/>
        <v>1.1567411995729018E-2</v>
      </c>
      <c r="CL169" s="24">
        <f t="shared" si="250"/>
        <v>3.532628878427891E-2</v>
      </c>
      <c r="CM169" s="25">
        <f t="shared" si="251"/>
        <v>0.15370560013503087</v>
      </c>
      <c r="CN169" s="17"/>
      <c r="CO169" s="17"/>
      <c r="CP169" s="17"/>
      <c r="CQ169" s="17"/>
      <c r="CR169" s="17"/>
      <c r="CS169" s="17"/>
      <c r="CT169" s="17"/>
      <c r="CU169" s="17"/>
      <c r="CV169" s="17"/>
      <c r="CW169" s="30">
        <v>0</v>
      </c>
      <c r="CX169" s="17"/>
      <c r="CY169" s="17"/>
      <c r="CZ169" s="17"/>
      <c r="DA169" s="17"/>
      <c r="DB169" s="17"/>
    </row>
    <row r="170" spans="1:106" ht="15.75" thickBot="1" x14ac:dyDescent="0.3">
      <c r="A170" s="5">
        <f t="shared" si="258"/>
        <v>37</v>
      </c>
      <c r="B170" s="5">
        <f t="shared" si="258"/>
        <v>36</v>
      </c>
      <c r="C170" s="1">
        <v>47392</v>
      </c>
      <c r="D170" s="4"/>
      <c r="E170" s="30"/>
      <c r="F170" s="30"/>
      <c r="G170" s="30">
        <f t="shared" si="222"/>
        <v>0</v>
      </c>
      <c r="H170" s="30"/>
      <c r="I170" s="10">
        <v>0</v>
      </c>
      <c r="J170" s="60">
        <v>9000</v>
      </c>
      <c r="K170" s="11">
        <v>550</v>
      </c>
      <c r="L170" s="60">
        <f t="shared" si="72"/>
        <v>10667.887698873947</v>
      </c>
      <c r="M170" s="11">
        <v>305</v>
      </c>
      <c r="N170" s="60">
        <v>0</v>
      </c>
      <c r="O170" s="11">
        <v>0</v>
      </c>
      <c r="P170" s="11">
        <v>0</v>
      </c>
      <c r="Q170" s="60">
        <f>(Q169*($K$1/12))+Q169 + $Q$6</f>
        <v>159386.51833778337</v>
      </c>
      <c r="R170" s="60">
        <f>(R169*($K$1/12))+R169</f>
        <v>9291.2726810395561</v>
      </c>
      <c r="S170" s="60">
        <f>(S169*($K$1/12))+S169</f>
        <v>8066.6885884009471</v>
      </c>
      <c r="T170" s="60">
        <f>(T169*($K$1/12))+T169+$T$6 + ((3%/12)*T$11)</f>
        <v>620828.21566946886</v>
      </c>
      <c r="U170" s="60">
        <f>(U169*$K$1/12) + U169 + ((U$11/12*7%))</f>
        <v>80931.426631040638</v>
      </c>
      <c r="V170" s="60">
        <v>3100</v>
      </c>
      <c r="W170" s="60">
        <f>(W169*($K$1/12))+W169+$W$6</f>
        <v>56004.73242191795</v>
      </c>
      <c r="X170" s="11">
        <v>0</v>
      </c>
      <c r="Y170" s="60">
        <f>(Y169*($K$1/12))+Y169+$Y$7</f>
        <v>186297.82336166341</v>
      </c>
      <c r="Z170" s="60">
        <f>'Mortgage and Loans'!U132</f>
        <v>104318.92000000001</v>
      </c>
      <c r="AA170" s="12">
        <f t="shared" si="252"/>
        <v>1248748.4853901886</v>
      </c>
      <c r="AB170" s="56">
        <f t="shared" si="260"/>
        <v>750</v>
      </c>
      <c r="AC170" s="56">
        <f t="shared" si="260"/>
        <v>750</v>
      </c>
      <c r="AD170" s="56">
        <f t="shared" si="260"/>
        <v>750</v>
      </c>
      <c r="AE170" s="56">
        <f t="shared" si="260"/>
        <v>750</v>
      </c>
      <c r="AF170" s="56">
        <f t="shared" si="259"/>
        <v>261.43961538305473</v>
      </c>
      <c r="AG170" s="56">
        <f t="shared" si="260"/>
        <v>750</v>
      </c>
      <c r="AH170" s="56">
        <f>'Mortgage and Loans'!AF127</f>
        <v>0</v>
      </c>
      <c r="AI170" s="56">
        <f>'Mortgage and Loans'!AQ127</f>
        <v>0</v>
      </c>
      <c r="AJ170" s="56">
        <f>'Mortgage and Loans'!BB127</f>
        <v>0</v>
      </c>
      <c r="AK170" s="56">
        <f>'Mortgage and Loans'!BM127</f>
        <v>0</v>
      </c>
      <c r="AL170" s="56">
        <f>'Mortgage and Loans'!T132</f>
        <v>75681.079999999842</v>
      </c>
      <c r="AM170" s="12">
        <f t="shared" si="12"/>
        <v>-79692.519615382902</v>
      </c>
      <c r="AN170" s="75">
        <f t="shared" si="85"/>
        <v>1169055.9657748058</v>
      </c>
      <c r="AO170" s="86">
        <f>'Mortgage and Loans'!G133</f>
        <v>1454.82</v>
      </c>
      <c r="AP170" s="79">
        <f>('Salary Tax Breakdown'!B$16/12)-Data!AO170</f>
        <v>1992.68</v>
      </c>
      <c r="AQ170" s="87"/>
      <c r="AR170" s="20">
        <f t="shared" si="223"/>
        <v>4011.4396153830548</v>
      </c>
      <c r="AS170" s="20">
        <v>750</v>
      </c>
      <c r="AT170" s="20">
        <v>0</v>
      </c>
      <c r="AU170" s="20">
        <f t="shared" si="224"/>
        <v>4761.4396153830548</v>
      </c>
      <c r="AV170" s="20">
        <f t="shared" si="225"/>
        <v>4761.4396153762718</v>
      </c>
      <c r="AW170" s="51">
        <f t="shared" si="253"/>
        <v>0</v>
      </c>
      <c r="AX170" s="51">
        <f t="shared" si="14"/>
        <v>0</v>
      </c>
      <c r="AY170" s="51">
        <f t="shared" si="15"/>
        <v>0</v>
      </c>
      <c r="AZ170" s="51">
        <f t="shared" si="16"/>
        <v>0</v>
      </c>
      <c r="BA170" s="51">
        <f t="shared" si="17"/>
        <v>0</v>
      </c>
      <c r="BB170" s="51">
        <f t="shared" si="18"/>
        <v>0</v>
      </c>
      <c r="BC170" s="51">
        <f t="shared" si="19"/>
        <v>0</v>
      </c>
      <c r="BD170" s="51">
        <f t="shared" si="20"/>
        <v>0</v>
      </c>
      <c r="BE170" s="51">
        <f t="shared" si="21"/>
        <v>0</v>
      </c>
      <c r="BF170" s="51">
        <f t="shared" si="22"/>
        <v>0</v>
      </c>
      <c r="BG170" s="51">
        <f t="shared" si="23"/>
        <v>0</v>
      </c>
      <c r="BH170" s="51">
        <f t="shared" si="24"/>
        <v>0</v>
      </c>
      <c r="BI170" s="51">
        <f t="shared" si="226"/>
        <v>0</v>
      </c>
      <c r="BJ170" s="51">
        <f t="shared" si="227"/>
        <v>0</v>
      </c>
      <c r="BK170" s="51">
        <f t="shared" si="228"/>
        <v>0</v>
      </c>
      <c r="BL170" s="51">
        <f t="shared" si="229"/>
        <v>0</v>
      </c>
      <c r="BM170" s="51">
        <f t="shared" si="230"/>
        <v>0</v>
      </c>
      <c r="BN170" s="51">
        <f t="shared" si="231"/>
        <v>0</v>
      </c>
      <c r="BO170" s="51">
        <f t="shared" si="232"/>
        <v>0</v>
      </c>
      <c r="BP170" s="51">
        <f t="shared" si="233"/>
        <v>0</v>
      </c>
      <c r="BQ170" s="51">
        <f t="shared" si="234"/>
        <v>0</v>
      </c>
      <c r="BR170" s="51">
        <f t="shared" si="235"/>
        <v>0</v>
      </c>
      <c r="BS170" s="51">
        <f t="shared" si="236"/>
        <v>0</v>
      </c>
      <c r="BT170" s="51">
        <f t="shared" si="237"/>
        <v>0</v>
      </c>
      <c r="BU170" s="20">
        <f t="shared" si="238"/>
        <v>4761.4396153831885</v>
      </c>
      <c r="BV170" s="20">
        <f t="shared" si="239"/>
        <v>4761.4396153836196</v>
      </c>
      <c r="BW170" s="20">
        <f t="shared" si="240"/>
        <v>57137.275384596658</v>
      </c>
      <c r="BX170" s="20">
        <f t="shared" si="241"/>
        <v>57137.275384598266</v>
      </c>
      <c r="BY170" s="20">
        <f t="shared" si="242"/>
        <v>57137.275384603432</v>
      </c>
      <c r="BZ170" s="21">
        <f t="shared" si="243"/>
        <v>57137.275384599459</v>
      </c>
      <c r="CA170" s="19">
        <f t="shared" si="256"/>
        <v>1428431.8846149864</v>
      </c>
      <c r="CB170" s="20">
        <f t="shared" si="244"/>
        <v>1428431.8846150388</v>
      </c>
      <c r="CC170" s="20">
        <f t="shared" si="245"/>
        <v>1428431.884615117</v>
      </c>
      <c r="CD170" s="20">
        <f t="shared" si="257"/>
        <v>0</v>
      </c>
      <c r="CE170" s="20">
        <f t="shared" si="261"/>
        <v>1400000</v>
      </c>
      <c r="CF170" s="20">
        <f t="shared" si="254"/>
        <v>1120806.6776913148</v>
      </c>
      <c r="CG170" s="20">
        <f t="shared" si="246"/>
        <v>44832.267107652595</v>
      </c>
      <c r="CH170" s="20">
        <f t="shared" si="255"/>
        <v>3736.0222589710497</v>
      </c>
      <c r="CI170" s="20">
        <f t="shared" si="247"/>
        <v>1108090.0220079462</v>
      </c>
      <c r="CJ170" s="24">
        <f t="shared" si="248"/>
        <v>0.78464131875169629</v>
      </c>
      <c r="CK170" s="24">
        <f t="shared" si="249"/>
        <v>1.1497077379905738E-2</v>
      </c>
      <c r="CL170" s="24">
        <f t="shared" si="250"/>
        <v>3.5106476821528343E-2</v>
      </c>
      <c r="CM170" s="25">
        <f t="shared" si="251"/>
        <v>0.15264059455058565</v>
      </c>
      <c r="CN170" s="17"/>
      <c r="CO170" s="17"/>
      <c r="CP170" s="17"/>
      <c r="CQ170" s="17"/>
      <c r="CR170" s="17"/>
      <c r="CS170" s="17"/>
      <c r="CT170" s="17"/>
      <c r="CU170" s="17"/>
      <c r="CV170" s="17"/>
      <c r="CW170" s="30">
        <v>0</v>
      </c>
      <c r="CX170" s="17"/>
      <c r="CY170" s="17"/>
      <c r="CZ170" s="17"/>
      <c r="DA170" s="17"/>
      <c r="DB170" s="17"/>
    </row>
    <row r="171" spans="1:106" ht="15.75" thickBot="1" x14ac:dyDescent="0.3">
      <c r="A171" s="5">
        <f t="shared" si="258"/>
        <v>37</v>
      </c>
      <c r="B171" s="5">
        <f t="shared" si="258"/>
        <v>36</v>
      </c>
      <c r="C171" s="1">
        <v>47423</v>
      </c>
      <c r="D171" s="4"/>
      <c r="E171" s="30"/>
      <c r="F171" s="30"/>
      <c r="G171" s="30">
        <f t="shared" si="222"/>
        <v>0</v>
      </c>
      <c r="H171" s="30"/>
      <c r="I171" s="10">
        <v>0</v>
      </c>
      <c r="J171" s="60">
        <v>9000</v>
      </c>
      <c r="K171" s="11">
        <v>550</v>
      </c>
      <c r="L171" s="60">
        <f t="shared" si="72"/>
        <v>10680.778063176751</v>
      </c>
      <c r="M171" s="11">
        <v>305</v>
      </c>
      <c r="N171" s="60">
        <v>0</v>
      </c>
      <c r="O171" s="11">
        <v>0</v>
      </c>
      <c r="P171" s="11">
        <v>0</v>
      </c>
      <c r="Q171" s="60">
        <f>(Q170*($K$1/12))+Q170 + $Q$6</f>
        <v>161166.53197877971</v>
      </c>
      <c r="R171" s="60">
        <f>(R170*($K$1/12))+R170</f>
        <v>9341.6004080618532</v>
      </c>
      <c r="S171" s="60">
        <f>(S170*($K$1/12))+S170</f>
        <v>8110.3831515881193</v>
      </c>
      <c r="T171" s="60">
        <f>(T170*($K$1/12))+T170+$T$6 + ((3%/12)*T$11)</f>
        <v>627366.03517101181</v>
      </c>
      <c r="U171" s="60">
        <f>(U170*$K$1/12) + U170 + ((U$11/12*7%))</f>
        <v>81778.138525292103</v>
      </c>
      <c r="V171" s="60">
        <v>3100</v>
      </c>
      <c r="W171" s="60">
        <f>(W170*($K$1/12))+W170+$W$6</f>
        <v>56595.591389203342</v>
      </c>
      <c r="X171" s="11">
        <v>0</v>
      </c>
      <c r="Y171" s="60">
        <f>(Y170*($K$1/12))+Y170+$Y$7</f>
        <v>189256.93657153909</v>
      </c>
      <c r="Z171" s="60">
        <f>'Mortgage and Loans'!U133</f>
        <v>105513.27000000002</v>
      </c>
      <c r="AA171" s="12">
        <f t="shared" si="252"/>
        <v>1262764.2652586526</v>
      </c>
      <c r="AB171" s="56">
        <f t="shared" si="260"/>
        <v>750</v>
      </c>
      <c r="AC171" s="56">
        <f t="shared" si="260"/>
        <v>750</v>
      </c>
      <c r="AD171" s="56">
        <f t="shared" si="260"/>
        <v>750</v>
      </c>
      <c r="AE171" s="56">
        <f t="shared" si="260"/>
        <v>750</v>
      </c>
      <c r="AF171" s="56">
        <f t="shared" si="259"/>
        <v>261.43961538361992</v>
      </c>
      <c r="AG171" s="56">
        <f t="shared" si="260"/>
        <v>750</v>
      </c>
      <c r="AH171" s="56">
        <f>'Mortgage and Loans'!AF128</f>
        <v>0</v>
      </c>
      <c r="AI171" s="56">
        <f>'Mortgage and Loans'!AQ128</f>
        <v>0</v>
      </c>
      <c r="AJ171" s="56">
        <f>'Mortgage and Loans'!BB128</f>
        <v>0</v>
      </c>
      <c r="AK171" s="56">
        <f>'Mortgage and Loans'!BM128</f>
        <v>0</v>
      </c>
      <c r="AL171" s="56">
        <f>'Mortgage and Loans'!T133</f>
        <v>74486.729999999836</v>
      </c>
      <c r="AM171" s="12">
        <f t="shared" si="12"/>
        <v>-78498.169615383449</v>
      </c>
      <c r="AN171" s="75">
        <f t="shared" si="85"/>
        <v>1184266.0956432691</v>
      </c>
      <c r="AO171" s="86">
        <f>'Mortgage and Loans'!G134</f>
        <v>1454.82</v>
      </c>
      <c r="AP171" s="79">
        <f>('Salary Tax Breakdown'!B$16/12)-Data!AO171</f>
        <v>1992.68</v>
      </c>
      <c r="AQ171" s="87"/>
      <c r="AR171" s="20">
        <f t="shared" si="223"/>
        <v>4011.4396153836201</v>
      </c>
      <c r="AS171" s="20">
        <v>750</v>
      </c>
      <c r="AT171" s="20">
        <v>0</v>
      </c>
      <c r="AU171" s="20">
        <f t="shared" si="224"/>
        <v>4761.4396153836205</v>
      </c>
      <c r="AV171" s="20">
        <f t="shared" si="225"/>
        <v>4761.4396153749649</v>
      </c>
      <c r="AW171" s="51">
        <f t="shared" si="253"/>
        <v>0</v>
      </c>
      <c r="AX171" s="51">
        <f t="shared" si="14"/>
        <v>0</v>
      </c>
      <c r="AY171" s="51">
        <f t="shared" si="15"/>
        <v>0</v>
      </c>
      <c r="AZ171" s="51">
        <f t="shared" si="16"/>
        <v>0</v>
      </c>
      <c r="BA171" s="51">
        <f t="shared" si="17"/>
        <v>0</v>
      </c>
      <c r="BB171" s="51">
        <f t="shared" si="18"/>
        <v>0</v>
      </c>
      <c r="BC171" s="51">
        <f t="shared" si="19"/>
        <v>0</v>
      </c>
      <c r="BD171" s="51">
        <f t="shared" si="20"/>
        <v>0</v>
      </c>
      <c r="BE171" s="51">
        <f t="shared" si="21"/>
        <v>0</v>
      </c>
      <c r="BF171" s="51">
        <f t="shared" si="22"/>
        <v>0</v>
      </c>
      <c r="BG171" s="51">
        <f t="shared" si="23"/>
        <v>0</v>
      </c>
      <c r="BH171" s="51">
        <f t="shared" si="24"/>
        <v>0</v>
      </c>
      <c r="BI171" s="51">
        <f t="shared" si="226"/>
        <v>0</v>
      </c>
      <c r="BJ171" s="51">
        <f t="shared" si="227"/>
        <v>0</v>
      </c>
      <c r="BK171" s="51">
        <f t="shared" si="228"/>
        <v>0</v>
      </c>
      <c r="BL171" s="51">
        <f t="shared" si="229"/>
        <v>0</v>
      </c>
      <c r="BM171" s="51">
        <f t="shared" si="230"/>
        <v>0</v>
      </c>
      <c r="BN171" s="51">
        <f t="shared" si="231"/>
        <v>0</v>
      </c>
      <c r="BO171" s="51">
        <f t="shared" si="232"/>
        <v>0</v>
      </c>
      <c r="BP171" s="51">
        <f t="shared" si="233"/>
        <v>0</v>
      </c>
      <c r="BQ171" s="51">
        <f t="shared" si="234"/>
        <v>0</v>
      </c>
      <c r="BR171" s="51">
        <f t="shared" si="235"/>
        <v>0</v>
      </c>
      <c r="BS171" s="51">
        <f t="shared" si="236"/>
        <v>0</v>
      </c>
      <c r="BT171" s="51">
        <f t="shared" si="237"/>
        <v>0</v>
      </c>
      <c r="BU171" s="20">
        <f t="shared" si="238"/>
        <v>4761.4396153832104</v>
      </c>
      <c r="BV171" s="20">
        <f t="shared" si="239"/>
        <v>4761.4396153843418</v>
      </c>
      <c r="BW171" s="20">
        <f t="shared" si="240"/>
        <v>57137.275384603447</v>
      </c>
      <c r="BX171" s="20">
        <f t="shared" si="241"/>
        <v>57137.275384598528</v>
      </c>
      <c r="BY171" s="20">
        <f t="shared" si="242"/>
        <v>57137.275384612105</v>
      </c>
      <c r="BZ171" s="21">
        <f t="shared" si="243"/>
        <v>57137.275384604698</v>
      </c>
      <c r="CA171" s="19">
        <f t="shared" si="256"/>
        <v>1428431.8846151175</v>
      </c>
      <c r="CB171" s="20">
        <f t="shared" si="244"/>
        <v>1428431.884615028</v>
      </c>
      <c r="CC171" s="20">
        <f t="shared" si="245"/>
        <v>1428431.8846152958</v>
      </c>
      <c r="CD171" s="20">
        <f t="shared" si="257"/>
        <v>0</v>
      </c>
      <c r="CE171" s="20">
        <f t="shared" si="261"/>
        <v>1400000</v>
      </c>
      <c r="CF171" s="20">
        <f t="shared" si="254"/>
        <v>1133615.2171954759</v>
      </c>
      <c r="CG171" s="20">
        <f t="shared" si="246"/>
        <v>45344.60868781904</v>
      </c>
      <c r="CH171" s="20">
        <f t="shared" si="255"/>
        <v>3778.7173906515868</v>
      </c>
      <c r="CI171" s="20">
        <f t="shared" si="247"/>
        <v>1120829.6796271559</v>
      </c>
      <c r="CJ171" s="24">
        <f t="shared" si="248"/>
        <v>0.79360817229376868</v>
      </c>
      <c r="CK171" s="24">
        <f t="shared" si="249"/>
        <v>1.1427965017610956E-2</v>
      </c>
      <c r="CL171" s="24">
        <f t="shared" si="250"/>
        <v>3.4890545823198497E-2</v>
      </c>
      <c r="CM171" s="25">
        <f t="shared" si="251"/>
        <v>0.1515958659788991</v>
      </c>
      <c r="CN171" s="17"/>
      <c r="CO171" s="17"/>
      <c r="CP171" s="17"/>
      <c r="CQ171" s="17"/>
      <c r="CR171" s="17"/>
      <c r="CS171" s="17"/>
      <c r="CT171" s="17"/>
      <c r="CU171" s="17"/>
      <c r="CV171" s="17"/>
      <c r="CW171" s="30">
        <v>0</v>
      </c>
      <c r="CX171" s="17"/>
      <c r="CY171" s="17"/>
      <c r="CZ171" s="17"/>
      <c r="DA171" s="17"/>
      <c r="DB171" s="17"/>
    </row>
    <row r="172" spans="1:106" ht="15.75" thickBot="1" x14ac:dyDescent="0.3">
      <c r="A172" s="5">
        <f t="shared" si="258"/>
        <v>38</v>
      </c>
      <c r="B172" s="5">
        <f t="shared" si="258"/>
        <v>36</v>
      </c>
      <c r="C172" s="1">
        <v>47453</v>
      </c>
      <c r="D172" s="4"/>
      <c r="E172" s="30"/>
      <c r="F172" s="30"/>
      <c r="G172" s="30">
        <f t="shared" si="222"/>
        <v>0</v>
      </c>
      <c r="H172" s="30"/>
      <c r="I172" s="10">
        <v>0</v>
      </c>
      <c r="J172" s="60">
        <v>9000</v>
      </c>
      <c r="K172" s="11">
        <v>550</v>
      </c>
      <c r="L172" s="60">
        <f t="shared" si="72"/>
        <v>10693.684003336422</v>
      </c>
      <c r="M172" s="11">
        <v>305</v>
      </c>
      <c r="N172" s="60">
        <v>0</v>
      </c>
      <c r="O172" s="11">
        <v>0</v>
      </c>
      <c r="P172" s="11">
        <v>0</v>
      </c>
      <c r="Q172" s="60">
        <f>(Q171*($K$1/12))+Q171 + $Q$6</f>
        <v>162956.18736033145</v>
      </c>
      <c r="R172" s="60">
        <f>(R171*($K$1/12))+R171</f>
        <v>9392.200743605521</v>
      </c>
      <c r="S172" s="60">
        <f>(S171*($K$1/12))+S171</f>
        <v>8154.3143936592214</v>
      </c>
      <c r="T172" s="60">
        <f>(T171*($K$1/12))+T171+$T$6 + ((3%/12)*T$11)</f>
        <v>633939.26786152145</v>
      </c>
      <c r="U172" s="60">
        <f>(U171*$K$1/12) + U171 + ((U$11/12*7%))</f>
        <v>82629.436775637427</v>
      </c>
      <c r="V172" s="60">
        <v>3100</v>
      </c>
      <c r="W172" s="60">
        <f>(W171*($K$1/12))+W171+$W$6</f>
        <v>57189.650842561525</v>
      </c>
      <c r="X172" s="11">
        <v>0</v>
      </c>
      <c r="Y172" s="60">
        <f>(Y171*($K$1/12))+Y171+$Y$7</f>
        <v>192232.07831130159</v>
      </c>
      <c r="Z172" s="60">
        <f>'Mortgage and Loans'!U134</f>
        <v>106711.73000000003</v>
      </c>
      <c r="AA172" s="12">
        <f t="shared" si="252"/>
        <v>1276853.5502919545</v>
      </c>
      <c r="AB172" s="56">
        <f t="shared" si="260"/>
        <v>750</v>
      </c>
      <c r="AC172" s="56">
        <f t="shared" si="260"/>
        <v>750</v>
      </c>
      <c r="AD172" s="56">
        <f t="shared" si="260"/>
        <v>750</v>
      </c>
      <c r="AE172" s="56">
        <f t="shared" si="260"/>
        <v>750</v>
      </c>
      <c r="AF172" s="56">
        <f t="shared" si="259"/>
        <v>261.43961538434121</v>
      </c>
      <c r="AG172" s="56">
        <f t="shared" si="260"/>
        <v>750</v>
      </c>
      <c r="AH172" s="56">
        <f>'Mortgage and Loans'!AF129</f>
        <v>0</v>
      </c>
      <c r="AI172" s="56">
        <f>'Mortgage and Loans'!AQ129</f>
        <v>0</v>
      </c>
      <c r="AJ172" s="56">
        <f>'Mortgage and Loans'!BB129</f>
        <v>0</v>
      </c>
      <c r="AK172" s="56">
        <f>'Mortgage and Loans'!BM129</f>
        <v>0</v>
      </c>
      <c r="AL172" s="56">
        <f>'Mortgage and Loans'!T134</f>
        <v>73288.269999999829</v>
      </c>
      <c r="AM172" s="12">
        <f t="shared" si="12"/>
        <v>-77299.70961538417</v>
      </c>
      <c r="AN172" s="75">
        <f t="shared" si="85"/>
        <v>1199553.8406765703</v>
      </c>
      <c r="AO172" s="86">
        <f>'Mortgage and Loans'!G135</f>
        <v>1454.82</v>
      </c>
      <c r="AP172" s="79">
        <f>('Salary Tax Breakdown'!B$16/12)-Data!AO172</f>
        <v>1992.68</v>
      </c>
      <c r="AQ172" s="87"/>
      <c r="AR172" s="20">
        <f t="shared" si="223"/>
        <v>4011.4396153843413</v>
      </c>
      <c r="AS172" s="20">
        <v>750</v>
      </c>
      <c r="AT172" s="20">
        <v>0</v>
      </c>
      <c r="AU172" s="20">
        <f t="shared" si="224"/>
        <v>4761.4396153843409</v>
      </c>
      <c r="AV172" s="20">
        <f t="shared" si="225"/>
        <v>4761.4396153770886</v>
      </c>
      <c r="AW172" s="51">
        <f t="shared" si="253"/>
        <v>0</v>
      </c>
      <c r="AX172" s="51">
        <f t="shared" si="14"/>
        <v>0</v>
      </c>
      <c r="AY172" s="51">
        <f t="shared" si="15"/>
        <v>0</v>
      </c>
      <c r="AZ172" s="51">
        <f t="shared" si="16"/>
        <v>0</v>
      </c>
      <c r="BA172" s="51">
        <f t="shared" si="17"/>
        <v>0</v>
      </c>
      <c r="BB172" s="51">
        <f t="shared" si="18"/>
        <v>0</v>
      </c>
      <c r="BC172" s="51">
        <f t="shared" si="19"/>
        <v>0</v>
      </c>
      <c r="BD172" s="51">
        <f t="shared" si="20"/>
        <v>0</v>
      </c>
      <c r="BE172" s="51">
        <f t="shared" si="21"/>
        <v>0</v>
      </c>
      <c r="BF172" s="51">
        <f t="shared" si="22"/>
        <v>0</v>
      </c>
      <c r="BG172" s="51">
        <f t="shared" si="23"/>
        <v>0</v>
      </c>
      <c r="BH172" s="51">
        <f t="shared" si="24"/>
        <v>0</v>
      </c>
      <c r="BI172" s="51">
        <f t="shared" si="226"/>
        <v>0</v>
      </c>
      <c r="BJ172" s="51">
        <f t="shared" si="227"/>
        <v>0</v>
      </c>
      <c r="BK172" s="51">
        <f t="shared" si="228"/>
        <v>0</v>
      </c>
      <c r="BL172" s="51">
        <f t="shared" si="229"/>
        <v>0</v>
      </c>
      <c r="BM172" s="51">
        <f t="shared" si="230"/>
        <v>0</v>
      </c>
      <c r="BN172" s="51">
        <f t="shared" si="231"/>
        <v>0</v>
      </c>
      <c r="BO172" s="51">
        <f t="shared" si="232"/>
        <v>0</v>
      </c>
      <c r="BP172" s="51">
        <f t="shared" si="233"/>
        <v>0</v>
      </c>
      <c r="BQ172" s="51">
        <f t="shared" si="234"/>
        <v>0</v>
      </c>
      <c r="BR172" s="51">
        <f t="shared" si="235"/>
        <v>0</v>
      </c>
      <c r="BS172" s="51">
        <f t="shared" si="236"/>
        <v>0</v>
      </c>
      <c r="BT172" s="51">
        <f t="shared" si="237"/>
        <v>0</v>
      </c>
      <c r="BU172" s="20">
        <f t="shared" si="238"/>
        <v>4761.4396153836724</v>
      </c>
      <c r="BV172" s="20">
        <f t="shared" si="239"/>
        <v>4761.4396153849457</v>
      </c>
      <c r="BW172" s="20">
        <f t="shared" si="240"/>
        <v>57137.27538461209</v>
      </c>
      <c r="BX172" s="20">
        <f t="shared" si="241"/>
        <v>57137.275384604072</v>
      </c>
      <c r="BY172" s="20">
        <f t="shared" si="242"/>
        <v>57137.275384619352</v>
      </c>
      <c r="BZ172" s="21">
        <f t="shared" si="243"/>
        <v>57137.275384611836</v>
      </c>
      <c r="CA172" s="19">
        <f t="shared" si="256"/>
        <v>1428431.8846152958</v>
      </c>
      <c r="CB172" s="20">
        <f t="shared" si="244"/>
        <v>1428431.8846151333</v>
      </c>
      <c r="CC172" s="20">
        <f t="shared" si="245"/>
        <v>1428431.8846154523</v>
      </c>
      <c r="CD172" s="20">
        <f t="shared" si="257"/>
        <v>0</v>
      </c>
      <c r="CE172" s="20">
        <f t="shared" si="261"/>
        <v>1400000</v>
      </c>
      <c r="CF172" s="20">
        <f t="shared" si="254"/>
        <v>1146493.136288618</v>
      </c>
      <c r="CG172" s="20">
        <f t="shared" si="246"/>
        <v>45859.72545154472</v>
      </c>
      <c r="CH172" s="20">
        <f t="shared" si="255"/>
        <v>3821.6437876287268</v>
      </c>
      <c r="CI172" s="20">
        <f t="shared" si="247"/>
        <v>1133638.3437251362</v>
      </c>
      <c r="CJ172" s="24">
        <f t="shared" si="248"/>
        <v>0.80262359629246238</v>
      </c>
      <c r="CK172" s="24">
        <f t="shared" si="249"/>
        <v>1.1360044305863808E-2</v>
      </c>
      <c r="CL172" s="24">
        <f t="shared" si="250"/>
        <v>3.4678396974584136E-2</v>
      </c>
      <c r="CM172" s="25">
        <f t="shared" si="251"/>
        <v>0.15057085560407368</v>
      </c>
      <c r="CN172" s="17"/>
      <c r="CO172" s="17"/>
      <c r="CP172" s="17"/>
      <c r="CQ172" s="17"/>
      <c r="CR172" s="17"/>
      <c r="CS172" s="17"/>
      <c r="CT172" s="17"/>
      <c r="CU172" s="17"/>
      <c r="CV172" s="17"/>
      <c r="CW172" s="30">
        <v>0</v>
      </c>
      <c r="CX172" s="17"/>
      <c r="CY172" s="17"/>
      <c r="CZ172" s="17"/>
      <c r="DA172" s="17"/>
      <c r="DB172" s="17"/>
    </row>
    <row r="173" spans="1:106" ht="15.75" thickBot="1" x14ac:dyDescent="0.3">
      <c r="A173" s="5">
        <f t="shared" si="258"/>
        <v>38</v>
      </c>
      <c r="B173" s="5">
        <f t="shared" si="258"/>
        <v>36</v>
      </c>
      <c r="C173" s="1">
        <v>47484</v>
      </c>
      <c r="D173" s="4"/>
      <c r="E173" s="30"/>
      <c r="F173" s="30"/>
      <c r="G173" s="30">
        <f t="shared" si="222"/>
        <v>0</v>
      </c>
      <c r="H173" s="30"/>
      <c r="I173" s="10">
        <v>0</v>
      </c>
      <c r="J173" s="60">
        <v>9000</v>
      </c>
      <c r="K173" s="11">
        <v>550</v>
      </c>
      <c r="L173" s="60">
        <f t="shared" si="72"/>
        <v>10706.605538173786</v>
      </c>
      <c r="M173" s="11">
        <v>305</v>
      </c>
      <c r="N173" s="60">
        <v>0</v>
      </c>
      <c r="O173" s="11">
        <v>0</v>
      </c>
      <c r="P173" s="11">
        <v>0</v>
      </c>
      <c r="Q173" s="60">
        <f>(Q172*($K$1/12))+Q172 + $Q$6</f>
        <v>164755.53670853324</v>
      </c>
      <c r="R173" s="60">
        <f>(R172*($K$1/12))+R172</f>
        <v>9443.0751643000513</v>
      </c>
      <c r="S173" s="60">
        <f>(S172*($K$1/12))+S172</f>
        <v>8198.4835966248756</v>
      </c>
      <c r="T173" s="60">
        <f>(T172*($K$1/12))+T172+$T$6 + ((3%/12)*T$11)</f>
        <v>640548.10556243802</v>
      </c>
      <c r="U173" s="60">
        <f>(U172*$K$1/12) + U172 + ((U$11/12*7%))</f>
        <v>83485.346224838795</v>
      </c>
      <c r="V173" s="60">
        <v>3100</v>
      </c>
      <c r="W173" s="60">
        <f>(W172*($K$1/12))+W172+$W$6</f>
        <v>57786.928117958734</v>
      </c>
      <c r="X173" s="11">
        <v>0</v>
      </c>
      <c r="Y173" s="60">
        <f>(Y172*($K$1/12))+Y172+$Y$7</f>
        <v>195223.33540215448</v>
      </c>
      <c r="Z173" s="60">
        <f>'Mortgage and Loans'!U135</f>
        <v>107914.32000000002</v>
      </c>
      <c r="AA173" s="12">
        <f t="shared" si="252"/>
        <v>1291016.736315022</v>
      </c>
      <c r="AB173" s="56">
        <f t="shared" si="260"/>
        <v>750</v>
      </c>
      <c r="AC173" s="56">
        <f t="shared" si="260"/>
        <v>750</v>
      </c>
      <c r="AD173" s="56">
        <f t="shared" si="260"/>
        <v>750</v>
      </c>
      <c r="AE173" s="56">
        <f t="shared" si="260"/>
        <v>750</v>
      </c>
      <c r="AF173" s="56">
        <f t="shared" si="259"/>
        <v>261.43961538494563</v>
      </c>
      <c r="AG173" s="56">
        <f t="shared" si="260"/>
        <v>750</v>
      </c>
      <c r="AH173" s="56">
        <f>'Mortgage and Loans'!AF130</f>
        <v>0</v>
      </c>
      <c r="AI173" s="56">
        <f>'Mortgage and Loans'!AQ130</f>
        <v>0</v>
      </c>
      <c r="AJ173" s="56">
        <f>'Mortgage and Loans'!BB130</f>
        <v>0</v>
      </c>
      <c r="AK173" s="56">
        <f>'Mortgage and Loans'!BM130</f>
        <v>0</v>
      </c>
      <c r="AL173" s="56">
        <f>'Mortgage and Loans'!T135</f>
        <v>72085.679999999833</v>
      </c>
      <c r="AM173" s="12">
        <f t="shared" si="12"/>
        <v>-76097.119615384785</v>
      </c>
      <c r="AN173" s="75">
        <f t="shared" si="85"/>
        <v>1214919.6166996371</v>
      </c>
      <c r="AO173" s="86">
        <f>'Mortgage and Loans'!G136</f>
        <v>1454.82</v>
      </c>
      <c r="AP173" s="79">
        <f>('Salary Tax Breakdown'!B$16/12)-Data!AO173</f>
        <v>1992.68</v>
      </c>
      <c r="AQ173" s="87"/>
      <c r="AR173" s="20">
        <f t="shared" si="223"/>
        <v>4011.4396153849457</v>
      </c>
      <c r="AS173" s="20">
        <v>750</v>
      </c>
      <c r="AT173" s="20">
        <v>0</v>
      </c>
      <c r="AU173" s="20">
        <f t="shared" si="224"/>
        <v>4761.4396153849457</v>
      </c>
      <c r="AV173" s="20">
        <f t="shared" si="225"/>
        <v>4761.4396153809976</v>
      </c>
      <c r="AW173" s="51">
        <f t="shared" si="253"/>
        <v>0</v>
      </c>
      <c r="AX173" s="51">
        <f t="shared" si="14"/>
        <v>0</v>
      </c>
      <c r="AY173" s="51">
        <f t="shared" si="15"/>
        <v>0</v>
      </c>
      <c r="AZ173" s="51">
        <f t="shared" si="16"/>
        <v>0</v>
      </c>
      <c r="BA173" s="51">
        <f t="shared" si="17"/>
        <v>0</v>
      </c>
      <c r="BB173" s="51">
        <f t="shared" si="18"/>
        <v>0</v>
      </c>
      <c r="BC173" s="51">
        <f t="shared" si="19"/>
        <v>0</v>
      </c>
      <c r="BD173" s="51">
        <f t="shared" si="20"/>
        <v>0</v>
      </c>
      <c r="BE173" s="51">
        <f t="shared" si="21"/>
        <v>0</v>
      </c>
      <c r="BF173" s="51">
        <f t="shared" si="22"/>
        <v>0</v>
      </c>
      <c r="BG173" s="51">
        <f t="shared" si="23"/>
        <v>0</v>
      </c>
      <c r="BH173" s="51">
        <f t="shared" si="24"/>
        <v>0</v>
      </c>
      <c r="BI173" s="51">
        <f t="shared" si="226"/>
        <v>0</v>
      </c>
      <c r="BJ173" s="51">
        <f t="shared" si="227"/>
        <v>0</v>
      </c>
      <c r="BK173" s="51">
        <f t="shared" si="228"/>
        <v>0</v>
      </c>
      <c r="BL173" s="51">
        <f t="shared" si="229"/>
        <v>0</v>
      </c>
      <c r="BM173" s="51">
        <f t="shared" si="230"/>
        <v>0</v>
      </c>
      <c r="BN173" s="51">
        <f t="shared" si="231"/>
        <v>0</v>
      </c>
      <c r="BO173" s="51">
        <f t="shared" si="232"/>
        <v>0</v>
      </c>
      <c r="BP173" s="51">
        <f t="shared" si="233"/>
        <v>0</v>
      </c>
      <c r="BQ173" s="51">
        <f t="shared" si="234"/>
        <v>0</v>
      </c>
      <c r="BR173" s="51">
        <f t="shared" si="235"/>
        <v>0</v>
      </c>
      <c r="BS173" s="51">
        <f t="shared" si="236"/>
        <v>0</v>
      </c>
      <c r="BT173" s="51">
        <f t="shared" si="237"/>
        <v>0</v>
      </c>
      <c r="BU173" s="20">
        <f t="shared" si="238"/>
        <v>4761.4396153843018</v>
      </c>
      <c r="BV173" s="20">
        <f t="shared" si="239"/>
        <v>4761.4396153852749</v>
      </c>
      <c r="BW173" s="20">
        <f t="shared" si="240"/>
        <v>57137.275384619352</v>
      </c>
      <c r="BX173" s="20">
        <f t="shared" si="241"/>
        <v>57137.275384611625</v>
      </c>
      <c r="BY173" s="20">
        <f t="shared" si="242"/>
        <v>57137.275384623295</v>
      </c>
      <c r="BZ173" s="21">
        <f t="shared" si="243"/>
        <v>57137.275384618086</v>
      </c>
      <c r="CA173" s="19">
        <f t="shared" si="256"/>
        <v>1428431.884615452</v>
      </c>
      <c r="CB173" s="20">
        <f t="shared" si="244"/>
        <v>1428431.8846152883</v>
      </c>
      <c r="CC173" s="20">
        <f t="shared" si="245"/>
        <v>1428431.8846155431</v>
      </c>
      <c r="CD173" s="20">
        <f t="shared" si="257"/>
        <v>0</v>
      </c>
      <c r="CE173" s="20">
        <f t="shared" si="261"/>
        <v>1400000</v>
      </c>
      <c r="CF173" s="20">
        <f t="shared" si="254"/>
        <v>1159440.8107768483</v>
      </c>
      <c r="CG173" s="20">
        <f t="shared" si="246"/>
        <v>46377.632431073936</v>
      </c>
      <c r="CH173" s="20">
        <f t="shared" si="255"/>
        <v>3864.8027025894949</v>
      </c>
      <c r="CI173" s="20">
        <f t="shared" si="247"/>
        <v>1146516.3880869809</v>
      </c>
      <c r="CJ173" s="24">
        <f t="shared" si="248"/>
        <v>0.81168785383778663</v>
      </c>
      <c r="CK173" s="24">
        <f t="shared" si="249"/>
        <v>1.1293285653801707E-2</v>
      </c>
      <c r="CL173" s="24">
        <f t="shared" si="250"/>
        <v>3.4469934784037634E-2</v>
      </c>
      <c r="CM173" s="25">
        <f t="shared" si="251"/>
        <v>0.14956502494237478</v>
      </c>
      <c r="CN173" s="17"/>
      <c r="CO173" s="17"/>
      <c r="CP173" s="17"/>
      <c r="CQ173" s="17"/>
      <c r="CR173" s="17"/>
      <c r="CS173" s="17"/>
      <c r="CT173" s="17"/>
      <c r="CU173" s="17"/>
      <c r="CV173" s="17"/>
      <c r="CW173" s="30">
        <v>0</v>
      </c>
      <c r="CX173" s="17"/>
      <c r="CY173" s="17"/>
      <c r="CZ173" s="17"/>
      <c r="DA173" s="17"/>
      <c r="DB173" s="17"/>
    </row>
    <row r="174" spans="1:106" ht="15.75" thickBot="1" x14ac:dyDescent="0.3">
      <c r="A174" s="5">
        <f t="shared" si="258"/>
        <v>38</v>
      </c>
      <c r="B174" s="5">
        <f t="shared" si="258"/>
        <v>36</v>
      </c>
      <c r="C174" s="1">
        <v>47515</v>
      </c>
      <c r="D174" s="4"/>
      <c r="E174" s="30"/>
      <c r="F174" s="30"/>
      <c r="G174" s="30">
        <f t="shared" si="222"/>
        <v>0</v>
      </c>
      <c r="H174" s="30"/>
      <c r="I174" s="10">
        <v>0</v>
      </c>
      <c r="J174" s="60">
        <v>9000</v>
      </c>
      <c r="K174" s="11">
        <v>550</v>
      </c>
      <c r="L174" s="60">
        <f t="shared" si="72"/>
        <v>10719.542686532412</v>
      </c>
      <c r="M174" s="11">
        <v>305</v>
      </c>
      <c r="N174" s="60">
        <v>0</v>
      </c>
      <c r="O174" s="11">
        <v>0</v>
      </c>
      <c r="P174" s="11">
        <v>0</v>
      </c>
      <c r="Q174" s="60">
        <f>(Q173*($K$1/12))+Q173 + $Q$6</f>
        <v>166564.63253237115</v>
      </c>
      <c r="R174" s="60">
        <f>(R173*($K$1/12))+R173</f>
        <v>9494.2251547733431</v>
      </c>
      <c r="S174" s="60">
        <f>(S173*($K$1/12))+S173</f>
        <v>8242.8920494399263</v>
      </c>
      <c r="T174" s="60">
        <f>(T173*($K$1/12))+T173+$T$6 + ((3%/12)*T$11)</f>
        <v>647192.74113423459</v>
      </c>
      <c r="U174" s="60">
        <f>(U173*$K$1/12) + U173 + ((U$11/12*7%))</f>
        <v>84345.891850223328</v>
      </c>
      <c r="V174" s="60">
        <v>3100</v>
      </c>
      <c r="W174" s="60">
        <f>(W173*($K$1/12))+W173+$W$6</f>
        <v>58387.440645264345</v>
      </c>
      <c r="X174" s="11">
        <v>0</v>
      </c>
      <c r="Y174" s="60">
        <f>(Y173*($K$1/12))+Y173+$Y$7</f>
        <v>198230.79513558283</v>
      </c>
      <c r="Z174" s="60">
        <f>'Mortgage and Loans'!U136</f>
        <v>109121.05000000002</v>
      </c>
      <c r="AA174" s="12">
        <f t="shared" si="252"/>
        <v>1305254.2111884221</v>
      </c>
      <c r="AB174" s="56">
        <f t="shared" si="260"/>
        <v>750</v>
      </c>
      <c r="AC174" s="56">
        <f t="shared" si="260"/>
        <v>750</v>
      </c>
      <c r="AD174" s="56">
        <f t="shared" si="260"/>
        <v>750</v>
      </c>
      <c r="AE174" s="56">
        <f t="shared" si="260"/>
        <v>750</v>
      </c>
      <c r="AF174" s="56">
        <f t="shared" si="259"/>
        <v>261.43961538527458</v>
      </c>
      <c r="AG174" s="56">
        <f t="shared" si="260"/>
        <v>750</v>
      </c>
      <c r="AH174" s="56">
        <f>'Mortgage and Loans'!AF131</f>
        <v>0</v>
      </c>
      <c r="AI174" s="56">
        <f>'Mortgage and Loans'!AQ131</f>
        <v>0</v>
      </c>
      <c r="AJ174" s="56">
        <f>'Mortgage and Loans'!BB131</f>
        <v>0</v>
      </c>
      <c r="AK174" s="56">
        <f>'Mortgage and Loans'!BM131</f>
        <v>0</v>
      </c>
      <c r="AL174" s="56">
        <f>'Mortgage and Loans'!T136</f>
        <v>70878.949999999822</v>
      </c>
      <c r="AM174" s="12">
        <f t="shared" si="12"/>
        <v>-74890.389615385095</v>
      </c>
      <c r="AN174" s="75">
        <f t="shared" si="85"/>
        <v>1230363.821573037</v>
      </c>
      <c r="AO174" s="86">
        <f>'Mortgage and Loans'!G137</f>
        <v>1454.82</v>
      </c>
      <c r="AP174" s="79">
        <f>('Salary Tax Breakdown'!B$16/12)-Data!AO174</f>
        <v>1992.68</v>
      </c>
      <c r="AQ174" s="87"/>
      <c r="AR174" s="20">
        <f t="shared" si="223"/>
        <v>4011.4396153852745</v>
      </c>
      <c r="AS174" s="20">
        <v>750</v>
      </c>
      <c r="AT174" s="20">
        <v>0</v>
      </c>
      <c r="AU174" s="20">
        <f t="shared" si="224"/>
        <v>4761.439615385274</v>
      </c>
      <c r="AV174" s="20">
        <f t="shared" si="225"/>
        <v>4761.4396153849511</v>
      </c>
      <c r="AW174" s="51">
        <f t="shared" si="253"/>
        <v>0</v>
      </c>
      <c r="AX174" s="51">
        <f t="shared" si="14"/>
        <v>0</v>
      </c>
      <c r="AY174" s="51">
        <f t="shared" si="15"/>
        <v>0</v>
      </c>
      <c r="AZ174" s="51">
        <f t="shared" si="16"/>
        <v>0</v>
      </c>
      <c r="BA174" s="51">
        <f t="shared" si="17"/>
        <v>0</v>
      </c>
      <c r="BB174" s="51">
        <f t="shared" si="18"/>
        <v>0</v>
      </c>
      <c r="BC174" s="51">
        <f t="shared" si="19"/>
        <v>0</v>
      </c>
      <c r="BD174" s="51">
        <f t="shared" si="20"/>
        <v>0</v>
      </c>
      <c r="BE174" s="51">
        <f t="shared" si="21"/>
        <v>0</v>
      </c>
      <c r="BF174" s="51">
        <f t="shared" si="22"/>
        <v>0</v>
      </c>
      <c r="BG174" s="51">
        <f t="shared" si="23"/>
        <v>0</v>
      </c>
      <c r="BH174" s="51">
        <f t="shared" si="24"/>
        <v>0</v>
      </c>
      <c r="BI174" s="51">
        <f t="shared" si="226"/>
        <v>0</v>
      </c>
      <c r="BJ174" s="51">
        <f t="shared" si="227"/>
        <v>0</v>
      </c>
      <c r="BK174" s="51">
        <f t="shared" si="228"/>
        <v>0</v>
      </c>
      <c r="BL174" s="51">
        <f t="shared" si="229"/>
        <v>0</v>
      </c>
      <c r="BM174" s="51">
        <f t="shared" si="230"/>
        <v>0</v>
      </c>
      <c r="BN174" s="51">
        <f t="shared" si="231"/>
        <v>0</v>
      </c>
      <c r="BO174" s="51">
        <f t="shared" si="232"/>
        <v>0</v>
      </c>
      <c r="BP174" s="51">
        <f t="shared" si="233"/>
        <v>0</v>
      </c>
      <c r="BQ174" s="51">
        <f t="shared" si="234"/>
        <v>0</v>
      </c>
      <c r="BR174" s="51">
        <f t="shared" si="235"/>
        <v>0</v>
      </c>
      <c r="BS174" s="51">
        <f t="shared" si="236"/>
        <v>0</v>
      </c>
      <c r="BT174" s="51">
        <f t="shared" si="237"/>
        <v>0</v>
      </c>
      <c r="BU174" s="20">
        <f t="shared" si="238"/>
        <v>4761.4396153848529</v>
      </c>
      <c r="BV174" s="20">
        <f t="shared" si="239"/>
        <v>4761.4396153853013</v>
      </c>
      <c r="BW174" s="20">
        <f t="shared" si="240"/>
        <v>57137.275384623288</v>
      </c>
      <c r="BX174" s="20">
        <f t="shared" si="241"/>
        <v>57137.275384618231</v>
      </c>
      <c r="BY174" s="20">
        <f t="shared" si="242"/>
        <v>57137.275384623616</v>
      </c>
      <c r="BZ174" s="21">
        <f t="shared" si="243"/>
        <v>57137.275384621717</v>
      </c>
      <c r="CA174" s="19">
        <f t="shared" si="256"/>
        <v>1428431.8846155428</v>
      </c>
      <c r="CB174" s="20">
        <f t="shared" si="244"/>
        <v>1428431.8846154299</v>
      </c>
      <c r="CC174" s="20">
        <f t="shared" si="245"/>
        <v>1428431.884615558</v>
      </c>
      <c r="CD174" s="20">
        <f t="shared" si="257"/>
        <v>0</v>
      </c>
      <c r="CE174" s="20">
        <f t="shared" si="261"/>
        <v>1400000</v>
      </c>
      <c r="CF174" s="20">
        <f t="shared" si="254"/>
        <v>1172458.6185018895</v>
      </c>
      <c r="CG174" s="20">
        <f t="shared" si="246"/>
        <v>46898.344740075583</v>
      </c>
      <c r="CH174" s="20">
        <f t="shared" si="255"/>
        <v>3908.1953950062984</v>
      </c>
      <c r="CI174" s="20">
        <f t="shared" si="247"/>
        <v>1159464.1885224518</v>
      </c>
      <c r="CJ174" s="24">
        <f t="shared" si="248"/>
        <v>0.82080120944482071</v>
      </c>
      <c r="CK174" s="24">
        <f t="shared" si="249"/>
        <v>1.1227660441173348E-2</v>
      </c>
      <c r="CL174" s="24">
        <f t="shared" si="250"/>
        <v>3.4265066944417687E-2</v>
      </c>
      <c r="CM174" s="25">
        <f t="shared" si="251"/>
        <v>0.14857785492573025</v>
      </c>
      <c r="CN174" s="17"/>
      <c r="CO174" s="17"/>
      <c r="CP174" s="17"/>
      <c r="CQ174" s="17"/>
      <c r="CR174" s="17"/>
      <c r="CS174" s="17"/>
      <c r="CT174" s="17"/>
      <c r="CU174" s="17"/>
      <c r="CV174" s="17"/>
      <c r="CW174" s="30">
        <v>0</v>
      </c>
      <c r="CX174" s="17"/>
      <c r="CY174" s="17"/>
      <c r="CZ174" s="17"/>
      <c r="DA174" s="17"/>
      <c r="DB174" s="17"/>
    </row>
    <row r="175" spans="1:106" ht="15.75" thickBot="1" x14ac:dyDescent="0.3">
      <c r="A175" s="5">
        <f t="shared" si="258"/>
        <v>38</v>
      </c>
      <c r="B175" s="5">
        <f t="shared" si="258"/>
        <v>36</v>
      </c>
      <c r="C175" s="1">
        <v>47543</v>
      </c>
      <c r="D175" s="4"/>
      <c r="E175" s="30"/>
      <c r="F175" s="30"/>
      <c r="G175" s="30">
        <f t="shared" si="222"/>
        <v>0</v>
      </c>
      <c r="H175" s="30"/>
      <c r="I175" s="10">
        <v>0</v>
      </c>
      <c r="J175" s="60">
        <v>9000</v>
      </c>
      <c r="K175" s="11">
        <v>550</v>
      </c>
      <c r="L175" s="60">
        <f t="shared" si="72"/>
        <v>10732.495467278637</v>
      </c>
      <c r="M175" s="11">
        <v>305</v>
      </c>
      <c r="N175" s="60">
        <v>0</v>
      </c>
      <c r="O175" s="11">
        <v>0</v>
      </c>
      <c r="P175" s="11">
        <v>0</v>
      </c>
      <c r="Q175" s="60">
        <f>(Q174*($K$1/12))+Q174 + $Q$6</f>
        <v>168383.52762525485</v>
      </c>
      <c r="R175" s="60">
        <f>(R174*($K$1/12))+R174</f>
        <v>9545.6522076950314</v>
      </c>
      <c r="S175" s="60">
        <f>(S174*($K$1/12))+S174</f>
        <v>8287.5410480410592</v>
      </c>
      <c r="T175" s="60">
        <f>(T174*($K$1/12))+T174+$T$6 + ((3%/12)*T$11)</f>
        <v>653873.36848204501</v>
      </c>
      <c r="U175" s="60">
        <f>(U174*$K$1/12) + U174 + ((U$11/12*7%))</f>
        <v>85211.098764412032</v>
      </c>
      <c r="V175" s="60">
        <v>3100</v>
      </c>
      <c r="W175" s="60">
        <f>(W174*($K$1/12))+W174+$W$6</f>
        <v>58991.205948759525</v>
      </c>
      <c r="X175" s="11">
        <v>0</v>
      </c>
      <c r="Y175" s="60">
        <f>(Y174*($K$1/12))+Y174+$Y$7</f>
        <v>201254.54527590057</v>
      </c>
      <c r="Z175" s="60">
        <f>'Mortgage and Loans'!U137</f>
        <v>110331.93000000002</v>
      </c>
      <c r="AA175" s="12">
        <f t="shared" si="252"/>
        <v>1319566.3648193867</v>
      </c>
      <c r="AB175" s="56">
        <f t="shared" si="260"/>
        <v>750</v>
      </c>
      <c r="AC175" s="56">
        <f t="shared" si="260"/>
        <v>750</v>
      </c>
      <c r="AD175" s="56">
        <f t="shared" si="260"/>
        <v>750</v>
      </c>
      <c r="AE175" s="56">
        <f t="shared" si="260"/>
        <v>750</v>
      </c>
      <c r="AF175" s="56">
        <f t="shared" si="259"/>
        <v>261.43961538530147</v>
      </c>
      <c r="AG175" s="56">
        <f t="shared" si="260"/>
        <v>750</v>
      </c>
      <c r="AH175" s="56">
        <f>'Mortgage and Loans'!AF132</f>
        <v>0</v>
      </c>
      <c r="AI175" s="56">
        <f>'Mortgage and Loans'!AQ132</f>
        <v>0</v>
      </c>
      <c r="AJ175" s="56">
        <f>'Mortgage and Loans'!BB132</f>
        <v>0</v>
      </c>
      <c r="AK175" s="56">
        <f>'Mortgage and Loans'!BM132</f>
        <v>0</v>
      </c>
      <c r="AL175" s="56">
        <f>'Mortgage and Loans'!T137</f>
        <v>69668.069999999818</v>
      </c>
      <c r="AM175" s="12">
        <f t="shared" si="12"/>
        <v>-73679.509615385119</v>
      </c>
      <c r="AN175" s="75">
        <f t="shared" si="85"/>
        <v>1245886.8552040015</v>
      </c>
      <c r="AO175" s="86">
        <f>'Mortgage and Loans'!G138</f>
        <v>1454.82</v>
      </c>
      <c r="AP175" s="79">
        <f>('Salary Tax Breakdown'!B$16/12)-Data!AO175</f>
        <v>1992.68</v>
      </c>
      <c r="AQ175" s="87"/>
      <c r="AR175" s="20">
        <f t="shared" si="223"/>
        <v>4011.4396153853013</v>
      </c>
      <c r="AS175" s="20">
        <v>750</v>
      </c>
      <c r="AT175" s="20">
        <v>0</v>
      </c>
      <c r="AU175" s="20">
        <f t="shared" si="224"/>
        <v>4761.4396153853013</v>
      </c>
      <c r="AV175" s="20">
        <f t="shared" si="225"/>
        <v>4761.4396153876842</v>
      </c>
      <c r="AW175" s="51">
        <f t="shared" si="253"/>
        <v>0</v>
      </c>
      <c r="AX175" s="51">
        <f t="shared" si="14"/>
        <v>0</v>
      </c>
      <c r="AY175" s="51">
        <f t="shared" si="15"/>
        <v>0</v>
      </c>
      <c r="AZ175" s="51">
        <f t="shared" si="16"/>
        <v>0</v>
      </c>
      <c r="BA175" s="51">
        <f t="shared" si="17"/>
        <v>0</v>
      </c>
      <c r="BB175" s="51">
        <f t="shared" si="18"/>
        <v>0</v>
      </c>
      <c r="BC175" s="51">
        <f t="shared" si="19"/>
        <v>0</v>
      </c>
      <c r="BD175" s="51">
        <f t="shared" si="20"/>
        <v>0</v>
      </c>
      <c r="BE175" s="51">
        <f t="shared" si="21"/>
        <v>0</v>
      </c>
      <c r="BF175" s="51">
        <f t="shared" si="22"/>
        <v>0</v>
      </c>
      <c r="BG175" s="51">
        <f t="shared" si="23"/>
        <v>0</v>
      </c>
      <c r="BH175" s="51">
        <f t="shared" si="24"/>
        <v>0</v>
      </c>
      <c r="BI175" s="51">
        <f t="shared" si="226"/>
        <v>0</v>
      </c>
      <c r="BJ175" s="51">
        <f t="shared" si="227"/>
        <v>0</v>
      </c>
      <c r="BK175" s="51">
        <f t="shared" si="228"/>
        <v>0</v>
      </c>
      <c r="BL175" s="51">
        <f t="shared" si="229"/>
        <v>0</v>
      </c>
      <c r="BM175" s="51">
        <f t="shared" si="230"/>
        <v>0</v>
      </c>
      <c r="BN175" s="51">
        <f t="shared" si="231"/>
        <v>0</v>
      </c>
      <c r="BO175" s="51">
        <f t="shared" si="232"/>
        <v>0</v>
      </c>
      <c r="BP175" s="51">
        <f t="shared" si="233"/>
        <v>0</v>
      </c>
      <c r="BQ175" s="51">
        <f t="shared" si="234"/>
        <v>0</v>
      </c>
      <c r="BR175" s="51">
        <f t="shared" si="235"/>
        <v>0</v>
      </c>
      <c r="BS175" s="51">
        <f t="shared" si="236"/>
        <v>0</v>
      </c>
      <c r="BT175" s="51">
        <f t="shared" si="237"/>
        <v>0</v>
      </c>
      <c r="BU175" s="20">
        <f t="shared" si="238"/>
        <v>4761.439615385174</v>
      </c>
      <c r="BV175" s="20">
        <f t="shared" si="239"/>
        <v>4761.4396153851021</v>
      </c>
      <c r="BW175" s="20">
        <f t="shared" si="240"/>
        <v>57137.275384623616</v>
      </c>
      <c r="BX175" s="20">
        <f t="shared" si="241"/>
        <v>57137.275384622088</v>
      </c>
      <c r="BY175" s="20">
        <f t="shared" si="242"/>
        <v>57137.275384621229</v>
      </c>
      <c r="BZ175" s="21">
        <f t="shared" si="243"/>
        <v>57137.275384622313</v>
      </c>
      <c r="CA175" s="19">
        <f t="shared" si="256"/>
        <v>1428431.8846155577</v>
      </c>
      <c r="CB175" s="20">
        <f t="shared" si="244"/>
        <v>1428431.8846155175</v>
      </c>
      <c r="CC175" s="20">
        <f t="shared" si="245"/>
        <v>1428431.8846155135</v>
      </c>
      <c r="CD175" s="20">
        <f t="shared" si="257"/>
        <v>0</v>
      </c>
      <c r="CE175" s="20">
        <f t="shared" si="261"/>
        <v>1400000</v>
      </c>
      <c r="CF175" s="20">
        <f t="shared" si="254"/>
        <v>1185546.9393521082</v>
      </c>
      <c r="CG175" s="20">
        <f t="shared" si="246"/>
        <v>47421.877574084327</v>
      </c>
      <c r="CH175" s="20">
        <f t="shared" si="255"/>
        <v>3951.823131173694</v>
      </c>
      <c r="CI175" s="20">
        <f t="shared" si="247"/>
        <v>1172482.1228769487</v>
      </c>
      <c r="CJ175" s="24">
        <f t="shared" si="248"/>
        <v>0.82996392906142302</v>
      </c>
      <c r="CK175" s="24">
        <f t="shared" si="249"/>
        <v>1.1163140978862235E-2</v>
      </c>
      <c r="CL175" s="24">
        <f t="shared" si="250"/>
        <v>3.4063704201416863E-2</v>
      </c>
      <c r="CM175" s="25">
        <f t="shared" si="251"/>
        <v>0.14760884503436622</v>
      </c>
      <c r="CN175" s="17"/>
      <c r="CO175" s="17"/>
      <c r="CP175" s="17"/>
      <c r="CQ175" s="17"/>
      <c r="CR175" s="17"/>
      <c r="CS175" s="17"/>
      <c r="CT175" s="17"/>
      <c r="CU175" s="17"/>
      <c r="CV175" s="17"/>
      <c r="CW175" s="30">
        <v>0</v>
      </c>
      <c r="CX175" s="17"/>
      <c r="CY175" s="17"/>
      <c r="CZ175" s="17"/>
      <c r="DA175" s="17"/>
      <c r="DB175" s="17"/>
    </row>
    <row r="176" spans="1:106" ht="15.75" thickBot="1" x14ac:dyDescent="0.3">
      <c r="A176" s="5">
        <f t="shared" si="258"/>
        <v>38</v>
      </c>
      <c r="B176" s="5">
        <f t="shared" si="258"/>
        <v>36</v>
      </c>
      <c r="C176" s="1">
        <v>47574</v>
      </c>
      <c r="D176" s="4"/>
      <c r="E176" s="30"/>
      <c r="F176" s="30"/>
      <c r="G176" s="30">
        <f t="shared" si="222"/>
        <v>0</v>
      </c>
      <c r="H176" s="30"/>
      <c r="I176" s="10">
        <v>0</v>
      </c>
      <c r="J176" s="60">
        <v>9000</v>
      </c>
      <c r="K176" s="11">
        <v>550</v>
      </c>
      <c r="L176" s="60">
        <f t="shared" si="72"/>
        <v>10745.463899301598</v>
      </c>
      <c r="M176" s="11">
        <v>305</v>
      </c>
      <c r="N176" s="60">
        <v>0</v>
      </c>
      <c r="O176" s="11">
        <v>0</v>
      </c>
      <c r="P176" s="11">
        <v>0</v>
      </c>
      <c r="Q176" s="60">
        <f>(Q175*($K$1/12))+Q175 + $Q$6</f>
        <v>170212.27506655833</v>
      </c>
      <c r="R176" s="60">
        <f>(R175*($K$1/12))+R175</f>
        <v>9597.3578238200462</v>
      </c>
      <c r="S176" s="60">
        <f>(S175*($K$1/12))+S175</f>
        <v>8332.4318953846141</v>
      </c>
      <c r="T176" s="60">
        <f>(T175*($K$1/12))+T175+$T$6 + ((3%/12)*T$11)</f>
        <v>660590.18256132281</v>
      </c>
      <c r="U176" s="60">
        <f>(U175*$K$1/12) + U175 + ((U$11/12*7%))</f>
        <v>86080.992216052589</v>
      </c>
      <c r="V176" s="60">
        <v>3100</v>
      </c>
      <c r="W176" s="60">
        <f>(W175*($K$1/12))+W175+$W$6</f>
        <v>59598.24164764864</v>
      </c>
      <c r="X176" s="11">
        <v>0</v>
      </c>
      <c r="Y176" s="60">
        <f>(Y175*($K$1/12))+Y175+$Y$7</f>
        <v>204294.67406281171</v>
      </c>
      <c r="Z176" s="60">
        <f>'Mortgage and Loans'!U138</f>
        <v>111546.98000000003</v>
      </c>
      <c r="AA176" s="12">
        <f t="shared" si="252"/>
        <v>1333953.5991729004</v>
      </c>
      <c r="AB176" s="56">
        <f t="shared" si="260"/>
        <v>750</v>
      </c>
      <c r="AC176" s="56">
        <f t="shared" si="260"/>
        <v>750</v>
      </c>
      <c r="AD176" s="56">
        <f t="shared" si="260"/>
        <v>750</v>
      </c>
      <c r="AE176" s="56">
        <f t="shared" si="260"/>
        <v>750</v>
      </c>
      <c r="AF176" s="56">
        <f t="shared" si="259"/>
        <v>261.43961538510297</v>
      </c>
      <c r="AG176" s="56">
        <f t="shared" si="260"/>
        <v>750</v>
      </c>
      <c r="AH176" s="56">
        <f>'Mortgage and Loans'!AF133</f>
        <v>0</v>
      </c>
      <c r="AI176" s="56">
        <f>'Mortgage and Loans'!AQ133</f>
        <v>0</v>
      </c>
      <c r="AJ176" s="56">
        <f>'Mortgage and Loans'!BB133</f>
        <v>0</v>
      </c>
      <c r="AK176" s="56">
        <f>'Mortgage and Loans'!BM133</f>
        <v>0</v>
      </c>
      <c r="AL176" s="56">
        <f>'Mortgage and Loans'!T138</f>
        <v>68453.019999999815</v>
      </c>
      <c r="AM176" s="12">
        <f t="shared" si="12"/>
        <v>-72464.459615384912</v>
      </c>
      <c r="AN176" s="75">
        <f t="shared" si="85"/>
        <v>1261489.1395575155</v>
      </c>
      <c r="AO176" s="86">
        <f>'Mortgage and Loans'!G139</f>
        <v>1454.82</v>
      </c>
      <c r="AP176" s="79">
        <f>('Salary Tax Breakdown'!B$16/12)-Data!AO176</f>
        <v>1992.68</v>
      </c>
      <c r="AQ176" s="87"/>
      <c r="AR176" s="20">
        <f t="shared" si="223"/>
        <v>4011.439615385103</v>
      </c>
      <c r="AS176" s="20">
        <v>750</v>
      </c>
      <c r="AT176" s="20">
        <v>0</v>
      </c>
      <c r="AU176" s="20">
        <f t="shared" si="224"/>
        <v>4761.439615385103</v>
      </c>
      <c r="AV176" s="20">
        <f t="shared" si="225"/>
        <v>4761.4396153886719</v>
      </c>
      <c r="AW176" s="51">
        <f t="shared" si="253"/>
        <v>0</v>
      </c>
      <c r="AX176" s="51">
        <f t="shared" si="14"/>
        <v>0</v>
      </c>
      <c r="AY176" s="51">
        <f t="shared" si="15"/>
        <v>0</v>
      </c>
      <c r="AZ176" s="51">
        <f t="shared" si="16"/>
        <v>0</v>
      </c>
      <c r="BA176" s="51">
        <f t="shared" si="17"/>
        <v>0</v>
      </c>
      <c r="BB176" s="51">
        <f t="shared" si="18"/>
        <v>0</v>
      </c>
      <c r="BC176" s="51">
        <f t="shared" si="19"/>
        <v>0</v>
      </c>
      <c r="BD176" s="51">
        <f t="shared" si="20"/>
        <v>0</v>
      </c>
      <c r="BE176" s="51">
        <f t="shared" si="21"/>
        <v>0</v>
      </c>
      <c r="BF176" s="51">
        <f t="shared" si="22"/>
        <v>0</v>
      </c>
      <c r="BG176" s="51">
        <f t="shared" si="23"/>
        <v>0</v>
      </c>
      <c r="BH176" s="51">
        <f t="shared" si="24"/>
        <v>0</v>
      </c>
      <c r="BI176" s="51">
        <f t="shared" si="226"/>
        <v>0</v>
      </c>
      <c r="BJ176" s="51">
        <f t="shared" si="227"/>
        <v>0</v>
      </c>
      <c r="BK176" s="51">
        <f t="shared" si="228"/>
        <v>0</v>
      </c>
      <c r="BL176" s="51">
        <f t="shared" si="229"/>
        <v>0</v>
      </c>
      <c r="BM176" s="51">
        <f t="shared" si="230"/>
        <v>0</v>
      </c>
      <c r="BN176" s="51">
        <f t="shared" si="231"/>
        <v>0</v>
      </c>
      <c r="BO176" s="51">
        <f t="shared" si="232"/>
        <v>0</v>
      </c>
      <c r="BP176" s="51">
        <f t="shared" si="233"/>
        <v>0</v>
      </c>
      <c r="BQ176" s="51">
        <f t="shared" si="234"/>
        <v>0</v>
      </c>
      <c r="BR176" s="51">
        <f t="shared" si="235"/>
        <v>0</v>
      </c>
      <c r="BS176" s="51">
        <f t="shared" si="236"/>
        <v>0</v>
      </c>
      <c r="BT176" s="51">
        <f t="shared" si="237"/>
        <v>0</v>
      </c>
      <c r="BU176" s="20">
        <f t="shared" si="238"/>
        <v>4761.4396153852258</v>
      </c>
      <c r="BV176" s="20">
        <f t="shared" si="239"/>
        <v>4761.4396153848056</v>
      </c>
      <c r="BW176" s="20">
        <f t="shared" si="240"/>
        <v>57137.275384621236</v>
      </c>
      <c r="BX176" s="20">
        <f t="shared" si="241"/>
        <v>57137.275384622713</v>
      </c>
      <c r="BY176" s="20">
        <f t="shared" si="242"/>
        <v>57137.275384617664</v>
      </c>
      <c r="BZ176" s="21">
        <f t="shared" si="243"/>
        <v>57137.275384620531</v>
      </c>
      <c r="CA176" s="19">
        <f t="shared" si="256"/>
        <v>1428431.8846155133</v>
      </c>
      <c r="CB176" s="20">
        <f t="shared" si="244"/>
        <v>1428431.8846155379</v>
      </c>
      <c r="CC176" s="20">
        <f t="shared" si="245"/>
        <v>1428431.8846154409</v>
      </c>
      <c r="CD176" s="20">
        <f t="shared" si="257"/>
        <v>0</v>
      </c>
      <c r="CE176" s="20">
        <f t="shared" si="261"/>
        <v>1400000</v>
      </c>
      <c r="CF176" s="20">
        <f t="shared" si="254"/>
        <v>1198706.1552735986</v>
      </c>
      <c r="CG176" s="20">
        <f t="shared" si="246"/>
        <v>47948.246210943944</v>
      </c>
      <c r="CH176" s="20">
        <f t="shared" si="255"/>
        <v>3995.6871842453288</v>
      </c>
      <c r="CI176" s="20">
        <f t="shared" si="247"/>
        <v>1185570.5710425321</v>
      </c>
      <c r="CJ176" s="24">
        <f t="shared" si="248"/>
        <v>0.83917628007598699</v>
      </c>
      <c r="CK176" s="24">
        <f t="shared" si="249"/>
        <v>1.1099700471313147E-2</v>
      </c>
      <c r="CL176" s="24">
        <f t="shared" si="250"/>
        <v>3.3865760228365356E-2</v>
      </c>
      <c r="CM176" s="25">
        <f t="shared" si="251"/>
        <v>0.146657512475521</v>
      </c>
      <c r="CN176" s="17"/>
      <c r="CO176" s="17"/>
      <c r="CP176" s="17"/>
      <c r="CQ176" s="17"/>
      <c r="CR176" s="17"/>
      <c r="CS176" s="17"/>
      <c r="CT176" s="17"/>
      <c r="CU176" s="17"/>
      <c r="CV176" s="17"/>
      <c r="CW176" s="30">
        <v>0</v>
      </c>
      <c r="CX176" s="17"/>
      <c r="CY176" s="17"/>
      <c r="CZ176" s="17"/>
      <c r="DA176" s="17"/>
      <c r="DB176" s="17"/>
    </row>
    <row r="177" spans="1:106" ht="15.75" thickBot="1" x14ac:dyDescent="0.3">
      <c r="A177" s="5">
        <f t="shared" si="258"/>
        <v>38</v>
      </c>
      <c r="B177" s="5">
        <f t="shared" si="258"/>
        <v>36</v>
      </c>
      <c r="C177" s="1">
        <v>47604</v>
      </c>
      <c r="D177" s="4"/>
      <c r="E177" s="30"/>
      <c r="F177" s="30"/>
      <c r="G177" s="30">
        <f t="shared" si="222"/>
        <v>0</v>
      </c>
      <c r="H177" s="30"/>
      <c r="I177" s="10">
        <v>0</v>
      </c>
      <c r="J177" s="60">
        <v>9000</v>
      </c>
      <c r="K177" s="11">
        <v>550</v>
      </c>
      <c r="L177" s="60">
        <f t="shared" si="72"/>
        <v>10758.448001513254</v>
      </c>
      <c r="M177" s="11">
        <v>305</v>
      </c>
      <c r="N177" s="60">
        <v>0</v>
      </c>
      <c r="O177" s="11">
        <v>0</v>
      </c>
      <c r="P177" s="11">
        <v>0</v>
      </c>
      <c r="Q177" s="60">
        <f>(Q176*($K$1/12))+Q176 + $Q$6</f>
        <v>172050.92822316886</v>
      </c>
      <c r="R177" s="60">
        <f>(R176*($K$1/12))+R176</f>
        <v>9649.3435120324048</v>
      </c>
      <c r="S177" s="60">
        <f>(S176*($K$1/12))+S176</f>
        <v>8377.5659014846133</v>
      </c>
      <c r="T177" s="60">
        <f>(T176*($K$1/12))+T176+$T$6 + ((3%/12)*T$11)</f>
        <v>667343.37938353</v>
      </c>
      <c r="U177" s="60">
        <f>(U176*$K$1/12) + U176 + ((U$11/12*7%))</f>
        <v>86955.597590556208</v>
      </c>
      <c r="V177" s="60">
        <v>3100</v>
      </c>
      <c r="W177" s="60">
        <f>(W176*($K$1/12))+W176+$W$6</f>
        <v>60208.5654565734</v>
      </c>
      <c r="X177" s="11">
        <v>0</v>
      </c>
      <c r="Y177" s="60">
        <f>(Y176*($K$1/12))+Y176+$Y$7</f>
        <v>207351.27021398526</v>
      </c>
      <c r="Z177" s="60">
        <f>'Mortgage and Loans'!U139</f>
        <v>112766.21000000002</v>
      </c>
      <c r="AA177" s="12">
        <f t="shared" si="252"/>
        <v>1348416.308282844</v>
      </c>
      <c r="AB177" s="56">
        <f t="shared" si="260"/>
        <v>750</v>
      </c>
      <c r="AC177" s="56">
        <f t="shared" si="260"/>
        <v>750</v>
      </c>
      <c r="AD177" s="56">
        <f t="shared" si="260"/>
        <v>750</v>
      </c>
      <c r="AE177" s="56">
        <f t="shared" si="260"/>
        <v>750</v>
      </c>
      <c r="AF177" s="56">
        <f t="shared" si="259"/>
        <v>261.43961538480556</v>
      </c>
      <c r="AG177" s="56">
        <f t="shared" si="260"/>
        <v>750</v>
      </c>
      <c r="AH177" s="56">
        <f>'Mortgage and Loans'!AF134</f>
        <v>0</v>
      </c>
      <c r="AI177" s="56">
        <f>'Mortgage and Loans'!AQ134</f>
        <v>0</v>
      </c>
      <c r="AJ177" s="56">
        <f>'Mortgage and Loans'!BB134</f>
        <v>0</v>
      </c>
      <c r="AK177" s="56">
        <f>'Mortgage and Loans'!BM134</f>
        <v>0</v>
      </c>
      <c r="AL177" s="56">
        <f>'Mortgage and Loans'!T139</f>
        <v>67233.789999999804</v>
      </c>
      <c r="AM177" s="12">
        <f t="shared" si="12"/>
        <v>-71245.229615384611</v>
      </c>
      <c r="AN177" s="75">
        <f t="shared" si="85"/>
        <v>1277171.0786674593</v>
      </c>
      <c r="AO177" s="86">
        <f>'Mortgage and Loans'!G140</f>
        <v>1454.82</v>
      </c>
      <c r="AP177" s="79">
        <f>('Salary Tax Breakdown'!B$16/12)-Data!AO177</f>
        <v>1992.68</v>
      </c>
      <c r="AQ177" s="87"/>
      <c r="AR177" s="20">
        <f t="shared" si="223"/>
        <v>4011.4396153848056</v>
      </c>
      <c r="AS177" s="20">
        <v>750</v>
      </c>
      <c r="AT177" s="20">
        <v>0</v>
      </c>
      <c r="AU177" s="20">
        <f t="shared" si="224"/>
        <v>4761.4396153848056</v>
      </c>
      <c r="AV177" s="20">
        <f t="shared" si="225"/>
        <v>4761.4396153880907</v>
      </c>
      <c r="AW177" s="51">
        <f t="shared" si="253"/>
        <v>0</v>
      </c>
      <c r="AX177" s="51">
        <f t="shared" si="14"/>
        <v>0</v>
      </c>
      <c r="AY177" s="51">
        <f t="shared" si="15"/>
        <v>0</v>
      </c>
      <c r="AZ177" s="51">
        <f t="shared" si="16"/>
        <v>0</v>
      </c>
      <c r="BA177" s="51">
        <f t="shared" si="17"/>
        <v>0</v>
      </c>
      <c r="BB177" s="51">
        <f t="shared" si="18"/>
        <v>0</v>
      </c>
      <c r="BC177" s="51">
        <f t="shared" si="19"/>
        <v>0</v>
      </c>
      <c r="BD177" s="51">
        <f t="shared" si="20"/>
        <v>0</v>
      </c>
      <c r="BE177" s="51">
        <f t="shared" si="21"/>
        <v>0</v>
      </c>
      <c r="BF177" s="51">
        <f t="shared" si="22"/>
        <v>0</v>
      </c>
      <c r="BG177" s="51">
        <f t="shared" si="23"/>
        <v>0</v>
      </c>
      <c r="BH177" s="51">
        <f t="shared" si="24"/>
        <v>0</v>
      </c>
      <c r="BI177" s="51">
        <f t="shared" si="226"/>
        <v>0</v>
      </c>
      <c r="BJ177" s="51">
        <f t="shared" si="227"/>
        <v>0</v>
      </c>
      <c r="BK177" s="51">
        <f t="shared" si="228"/>
        <v>0</v>
      </c>
      <c r="BL177" s="51">
        <f t="shared" si="229"/>
        <v>0</v>
      </c>
      <c r="BM177" s="51">
        <f t="shared" si="230"/>
        <v>0</v>
      </c>
      <c r="BN177" s="51">
        <f t="shared" si="231"/>
        <v>0</v>
      </c>
      <c r="BO177" s="51">
        <f t="shared" si="232"/>
        <v>0</v>
      </c>
      <c r="BP177" s="51">
        <f t="shared" si="233"/>
        <v>0</v>
      </c>
      <c r="BQ177" s="51">
        <f t="shared" si="234"/>
        <v>0</v>
      </c>
      <c r="BR177" s="51">
        <f t="shared" si="235"/>
        <v>0</v>
      </c>
      <c r="BS177" s="51">
        <f t="shared" si="236"/>
        <v>0</v>
      </c>
      <c r="BT177" s="51">
        <f t="shared" si="237"/>
        <v>0</v>
      </c>
      <c r="BU177" s="20">
        <f t="shared" si="238"/>
        <v>4761.4396153850694</v>
      </c>
      <c r="BV177" s="20">
        <f t="shared" si="239"/>
        <v>4761.4396153845319</v>
      </c>
      <c r="BW177" s="20">
        <f t="shared" si="240"/>
        <v>57137.275384617664</v>
      </c>
      <c r="BX177" s="20">
        <f t="shared" si="241"/>
        <v>57137.275384620836</v>
      </c>
      <c r="BY177" s="20">
        <f t="shared" si="242"/>
        <v>57137.275384614382</v>
      </c>
      <c r="BZ177" s="21">
        <f t="shared" si="243"/>
        <v>57137.275384617627</v>
      </c>
      <c r="CA177" s="19">
        <f t="shared" si="256"/>
        <v>1428431.8846154406</v>
      </c>
      <c r="CB177" s="20">
        <f t="shared" si="244"/>
        <v>1428431.884615504</v>
      </c>
      <c r="CC177" s="20">
        <f t="shared" si="245"/>
        <v>1428431.8846153708</v>
      </c>
      <c r="CD177" s="20">
        <f t="shared" si="257"/>
        <v>0</v>
      </c>
      <c r="CE177" s="20">
        <f t="shared" si="261"/>
        <v>1400000</v>
      </c>
      <c r="CF177" s="20">
        <f t="shared" si="254"/>
        <v>1211936.6502813308</v>
      </c>
      <c r="CG177" s="20">
        <f t="shared" si="246"/>
        <v>48477.466011253237</v>
      </c>
      <c r="CH177" s="20">
        <f t="shared" si="255"/>
        <v>4039.788834271103</v>
      </c>
      <c r="CI177" s="20">
        <f t="shared" si="247"/>
        <v>1198729.9149690124</v>
      </c>
      <c r="CJ177" s="24">
        <f t="shared" si="248"/>
        <v>0.8484385313252456</v>
      </c>
      <c r="CK177" s="24">
        <f t="shared" si="249"/>
        <v>1.1037312980771664E-2</v>
      </c>
      <c r="CL177" s="24">
        <f t="shared" si="250"/>
        <v>3.3671151507150325E-2</v>
      </c>
      <c r="CM177" s="25">
        <f t="shared" si="251"/>
        <v>0.14572339140542312</v>
      </c>
      <c r="CN177" s="17"/>
      <c r="CO177" s="17"/>
      <c r="CP177" s="17"/>
      <c r="CQ177" s="17"/>
      <c r="CR177" s="17"/>
      <c r="CS177" s="17"/>
      <c r="CT177" s="17"/>
      <c r="CU177" s="17"/>
      <c r="CV177" s="17"/>
      <c r="CW177" s="30">
        <v>0</v>
      </c>
      <c r="CX177" s="17"/>
      <c r="CY177" s="17"/>
      <c r="CZ177" s="17"/>
      <c r="DA177" s="17"/>
      <c r="DB177" s="17"/>
    </row>
    <row r="178" spans="1:106" ht="15.75" thickBot="1" x14ac:dyDescent="0.3">
      <c r="A178" s="5">
        <f t="shared" si="258"/>
        <v>38</v>
      </c>
      <c r="B178" s="5">
        <f t="shared" si="258"/>
        <v>36</v>
      </c>
      <c r="C178" s="1">
        <v>47635</v>
      </c>
      <c r="D178" s="4"/>
      <c r="E178" s="30"/>
      <c r="F178" s="30"/>
      <c r="G178" s="30">
        <f t="shared" si="222"/>
        <v>0</v>
      </c>
      <c r="H178" s="30"/>
      <c r="I178" s="10">
        <v>0</v>
      </c>
      <c r="J178" s="60">
        <v>9000</v>
      </c>
      <c r="K178" s="11">
        <v>550</v>
      </c>
      <c r="L178" s="60">
        <f t="shared" si="72"/>
        <v>10771.447792848416</v>
      </c>
      <c r="M178" s="11">
        <v>305</v>
      </c>
      <c r="N178" s="60">
        <v>0</v>
      </c>
      <c r="O178" s="11">
        <v>0</v>
      </c>
      <c r="P178" s="11">
        <v>0</v>
      </c>
      <c r="Q178" s="60">
        <f>(Q177*($K$1/12))+Q177 + $Q$6</f>
        <v>173899.54075104438</v>
      </c>
      <c r="R178" s="60">
        <f>(R177*($K$1/12))+R177</f>
        <v>9701.6107893892477</v>
      </c>
      <c r="S178" s="60">
        <f>(S177*($K$1/12))+S177</f>
        <v>8422.9443834509875</v>
      </c>
      <c r="T178" s="60">
        <f>(T177*($K$1/12))+T177+$T$6 + ((3%/12)*T$11)</f>
        <v>674133.1560218574</v>
      </c>
      <c r="U178" s="60">
        <f>(U177*$K$1/12) + U177 + ((U$11/12*7%))</f>
        <v>87834.94041083839</v>
      </c>
      <c r="V178" s="60">
        <v>3100</v>
      </c>
      <c r="W178" s="60">
        <f>(W177*($K$1/12))+W177+$W$6</f>
        <v>60822.195186129837</v>
      </c>
      <c r="X178" s="11">
        <v>0</v>
      </c>
      <c r="Y178" s="60">
        <f>(Y177*($K$1/12))+Y177+$Y$7</f>
        <v>210424.42292764434</v>
      </c>
      <c r="Z178" s="60">
        <f>'Mortgage and Loans'!U140</f>
        <v>113989.63000000002</v>
      </c>
      <c r="AA178" s="12">
        <f t="shared" si="252"/>
        <v>1362954.888263203</v>
      </c>
      <c r="AB178" s="56">
        <f t="shared" si="260"/>
        <v>750</v>
      </c>
      <c r="AC178" s="56">
        <f t="shared" si="260"/>
        <v>750</v>
      </c>
      <c r="AD178" s="56">
        <f t="shared" si="260"/>
        <v>750</v>
      </c>
      <c r="AE178" s="56">
        <f t="shared" si="260"/>
        <v>750</v>
      </c>
      <c r="AF178" s="56">
        <f t="shared" si="259"/>
        <v>261.43961538453181</v>
      </c>
      <c r="AG178" s="56">
        <f t="shared" si="260"/>
        <v>750</v>
      </c>
      <c r="AH178" s="56">
        <f>'Mortgage and Loans'!AF135</f>
        <v>0</v>
      </c>
      <c r="AI178" s="56">
        <f>'Mortgage and Loans'!AQ135</f>
        <v>0</v>
      </c>
      <c r="AJ178" s="56">
        <f>'Mortgage and Loans'!BB135</f>
        <v>0</v>
      </c>
      <c r="AK178" s="56">
        <f>'Mortgage and Loans'!BM135</f>
        <v>0</v>
      </c>
      <c r="AL178" s="56">
        <f>'Mortgage and Loans'!T140</f>
        <v>66010.369999999806</v>
      </c>
      <c r="AM178" s="12">
        <f t="shared" si="12"/>
        <v>-70021.809615384336</v>
      </c>
      <c r="AN178" s="75">
        <f t="shared" si="85"/>
        <v>1292933.0786478186</v>
      </c>
      <c r="AO178" s="86">
        <f>'Mortgage and Loans'!G141</f>
        <v>0</v>
      </c>
      <c r="AP178" s="79">
        <f>('Salary Tax Breakdown'!B$16/12)-Data!AO178</f>
        <v>3447.5</v>
      </c>
      <c r="AQ178" s="87"/>
      <c r="AR178" s="20">
        <f t="shared" si="223"/>
        <v>4011.4396153845319</v>
      </c>
      <c r="AS178" s="20">
        <v>750</v>
      </c>
      <c r="AT178" s="20">
        <v>0</v>
      </c>
      <c r="AU178" s="20">
        <f t="shared" si="224"/>
        <v>4761.4396153845319</v>
      </c>
      <c r="AV178" s="20">
        <f t="shared" si="225"/>
        <v>4761.4396153865682</v>
      </c>
      <c r="AW178" s="51">
        <f t="shared" si="253"/>
        <v>0</v>
      </c>
      <c r="AX178" s="51">
        <f t="shared" si="14"/>
        <v>0</v>
      </c>
      <c r="AY178" s="51">
        <f t="shared" si="15"/>
        <v>0</v>
      </c>
      <c r="AZ178" s="51">
        <f t="shared" si="16"/>
        <v>0</v>
      </c>
      <c r="BA178" s="51">
        <f t="shared" si="17"/>
        <v>0</v>
      </c>
      <c r="BB178" s="51">
        <f t="shared" si="18"/>
        <v>0</v>
      </c>
      <c r="BC178" s="51">
        <f t="shared" si="19"/>
        <v>0</v>
      </c>
      <c r="BD178" s="51">
        <f t="shared" si="20"/>
        <v>0</v>
      </c>
      <c r="BE178" s="51">
        <f t="shared" si="21"/>
        <v>0</v>
      </c>
      <c r="BF178" s="51">
        <f t="shared" si="22"/>
        <v>0</v>
      </c>
      <c r="BG178" s="51">
        <f t="shared" si="23"/>
        <v>0</v>
      </c>
      <c r="BH178" s="51">
        <f t="shared" si="24"/>
        <v>0</v>
      </c>
      <c r="BI178" s="51">
        <f t="shared" si="226"/>
        <v>0</v>
      </c>
      <c r="BJ178" s="51">
        <f t="shared" si="227"/>
        <v>0</v>
      </c>
      <c r="BK178" s="51">
        <f t="shared" si="228"/>
        <v>0</v>
      </c>
      <c r="BL178" s="51">
        <f t="shared" si="229"/>
        <v>0</v>
      </c>
      <c r="BM178" s="51">
        <f t="shared" si="230"/>
        <v>0</v>
      </c>
      <c r="BN178" s="51">
        <f t="shared" si="231"/>
        <v>0</v>
      </c>
      <c r="BO178" s="51">
        <f t="shared" si="232"/>
        <v>0</v>
      </c>
      <c r="BP178" s="51">
        <f t="shared" si="233"/>
        <v>0</v>
      </c>
      <c r="BQ178" s="51">
        <f t="shared" si="234"/>
        <v>0</v>
      </c>
      <c r="BR178" s="51">
        <f t="shared" si="235"/>
        <v>0</v>
      </c>
      <c r="BS178" s="51">
        <f t="shared" si="236"/>
        <v>0</v>
      </c>
      <c r="BT178" s="51">
        <f t="shared" si="237"/>
        <v>0</v>
      </c>
      <c r="BU178" s="20">
        <f t="shared" si="238"/>
        <v>4761.4396153848129</v>
      </c>
      <c r="BV178" s="20">
        <f t="shared" si="239"/>
        <v>4761.4396153843618</v>
      </c>
      <c r="BW178" s="20">
        <f t="shared" si="240"/>
        <v>57137.275384614382</v>
      </c>
      <c r="BX178" s="20">
        <f t="shared" si="241"/>
        <v>57137.275384617751</v>
      </c>
      <c r="BY178" s="20">
        <f t="shared" si="242"/>
        <v>57137.275384612338</v>
      </c>
      <c r="BZ178" s="21">
        <f t="shared" si="243"/>
        <v>57137.275384614826</v>
      </c>
      <c r="CA178" s="19">
        <f t="shared" si="256"/>
        <v>1428431.8846153705</v>
      </c>
      <c r="CB178" s="20">
        <f t="shared" si="244"/>
        <v>1428431.8846154416</v>
      </c>
      <c r="CC178" s="20">
        <f t="shared" si="245"/>
        <v>1428431.8846153247</v>
      </c>
      <c r="CD178" s="20">
        <f t="shared" si="257"/>
        <v>0</v>
      </c>
      <c r="CE178" s="20">
        <f t="shared" si="261"/>
        <v>1400000</v>
      </c>
      <c r="CF178" s="20">
        <f t="shared" si="254"/>
        <v>1225238.8104703547</v>
      </c>
      <c r="CG178" s="20">
        <f t="shared" si="246"/>
        <v>49009.552418814194</v>
      </c>
      <c r="CH178" s="20">
        <f t="shared" si="255"/>
        <v>4084.1293682345163</v>
      </c>
      <c r="CI178" s="20">
        <f t="shared" si="247"/>
        <v>1211960.5386750947</v>
      </c>
      <c r="CJ178" s="24">
        <f t="shared" si="248"/>
        <v>0.85775095310212157</v>
      </c>
      <c r="CK178" s="24">
        <f t="shared" si="249"/>
        <v>1.0975953393220732E-2</v>
      </c>
      <c r="CL178" s="24">
        <f t="shared" si="250"/>
        <v>3.3479797214893796E-2</v>
      </c>
      <c r="CM178" s="25">
        <f t="shared" si="251"/>
        <v>0.14480603219188207</v>
      </c>
      <c r="CN178" s="17"/>
      <c r="CO178" s="17"/>
      <c r="CP178" s="17"/>
      <c r="CQ178" s="17"/>
      <c r="CR178" s="17"/>
      <c r="CS178" s="17"/>
      <c r="CT178" s="17"/>
      <c r="CU178" s="17"/>
      <c r="CV178" s="17"/>
      <c r="CW178" s="30">
        <v>0</v>
      </c>
      <c r="CX178" s="17"/>
      <c r="CY178" s="17"/>
      <c r="CZ178" s="17"/>
      <c r="DA178" s="17"/>
      <c r="DB178" s="17"/>
    </row>
    <row r="179" spans="1:106" ht="15.75" thickBot="1" x14ac:dyDescent="0.3">
      <c r="A179" s="5">
        <f t="shared" si="258"/>
        <v>38</v>
      </c>
      <c r="B179" s="5">
        <f t="shared" si="258"/>
        <v>36</v>
      </c>
      <c r="C179" s="1">
        <v>47665</v>
      </c>
      <c r="D179" s="4"/>
      <c r="E179" s="30"/>
      <c r="F179" s="30"/>
      <c r="G179" s="30">
        <f t="shared" si="222"/>
        <v>0</v>
      </c>
      <c r="H179" s="30"/>
      <c r="I179" s="10">
        <v>0</v>
      </c>
      <c r="J179" s="60">
        <v>9000</v>
      </c>
      <c r="K179" s="11">
        <v>550</v>
      </c>
      <c r="L179" s="60">
        <f t="shared" si="72"/>
        <v>10784.463292264772</v>
      </c>
      <c r="M179" s="11">
        <v>305</v>
      </c>
      <c r="N179" s="60">
        <v>0</v>
      </c>
      <c r="O179" s="11">
        <v>0</v>
      </c>
      <c r="P179" s="11">
        <v>0</v>
      </c>
      <c r="Q179" s="60">
        <f>(Q178*($K$1/12))+Q178 + $Q$6</f>
        <v>175758.16659677922</v>
      </c>
      <c r="R179" s="60">
        <f>(R178*($K$1/12))+R178</f>
        <v>9754.1611811651055</v>
      </c>
      <c r="S179" s="60">
        <f>(S178*($K$1/12))+S178</f>
        <v>8468.5686655280133</v>
      </c>
      <c r="T179" s="60">
        <f>(T178*($K$1/12))+T178+$T$6 + ((3%/12)*T$11)</f>
        <v>680959.71061697579</v>
      </c>
      <c r="U179" s="60">
        <f>(U178*$K$1/12) + U178 + ((U$11/12*7%))</f>
        <v>88719.046338063767</v>
      </c>
      <c r="V179" s="60">
        <v>3100</v>
      </c>
      <c r="W179" s="60">
        <f>(W178*($K$1/12))+W178+$W$6</f>
        <v>61439.148743388039</v>
      </c>
      <c r="X179" s="11">
        <v>0</v>
      </c>
      <c r="Y179" s="60">
        <f>(Y178*($K$1/12))+Y178+$Y$7</f>
        <v>213514.22188516907</v>
      </c>
      <c r="Z179" s="60">
        <f>'Mortgage and Loans'!U141</f>
        <v>115217.26000000002</v>
      </c>
      <c r="AA179" s="12">
        <f t="shared" si="252"/>
        <v>1377569.747319334</v>
      </c>
      <c r="AB179" s="56">
        <f t="shared" si="260"/>
        <v>750</v>
      </c>
      <c r="AC179" s="56">
        <f t="shared" si="260"/>
        <v>750</v>
      </c>
      <c r="AD179" s="56">
        <f t="shared" si="260"/>
        <v>750</v>
      </c>
      <c r="AE179" s="56">
        <f t="shared" si="260"/>
        <v>750</v>
      </c>
      <c r="AF179" s="56">
        <f t="shared" si="259"/>
        <v>261.43961538436213</v>
      </c>
      <c r="AG179" s="56">
        <f t="shared" si="260"/>
        <v>750</v>
      </c>
      <c r="AH179" s="56">
        <f>'Mortgage and Loans'!AF136</f>
        <v>0</v>
      </c>
      <c r="AI179" s="56">
        <f>'Mortgage and Loans'!AQ136</f>
        <v>0</v>
      </c>
      <c r="AJ179" s="56">
        <f>'Mortgage and Loans'!BB136</f>
        <v>0</v>
      </c>
      <c r="AK179" s="56">
        <f>'Mortgage and Loans'!BM136</f>
        <v>0</v>
      </c>
      <c r="AL179" s="56">
        <f>'Mortgage and Loans'!T141</f>
        <v>64782.739999999802</v>
      </c>
      <c r="AM179" s="12">
        <f t="shared" si="12"/>
        <v>-68794.179615384157</v>
      </c>
      <c r="AN179" s="75">
        <f t="shared" si="85"/>
        <v>1308775.5677039498</v>
      </c>
      <c r="AO179" s="86">
        <f>'Mortgage and Loans'!G142</f>
        <v>0</v>
      </c>
      <c r="AP179" s="79">
        <f>('Salary Tax Breakdown'!B$16/12)-Data!AO179</f>
        <v>3447.5</v>
      </c>
      <c r="AQ179" s="87"/>
      <c r="AR179" s="20">
        <f t="shared" si="223"/>
        <v>4011.4396153843622</v>
      </c>
      <c r="AS179" s="20">
        <v>750</v>
      </c>
      <c r="AT179" s="20">
        <v>0</v>
      </c>
      <c r="AU179" s="20">
        <f t="shared" si="224"/>
        <v>4761.4396153843627</v>
      </c>
      <c r="AV179" s="20">
        <f t="shared" si="225"/>
        <v>4761.4396153848575</v>
      </c>
      <c r="AW179" s="51">
        <f t="shared" si="253"/>
        <v>0</v>
      </c>
      <c r="AX179" s="51">
        <f t="shared" si="14"/>
        <v>0</v>
      </c>
      <c r="AY179" s="51">
        <f t="shared" si="15"/>
        <v>0</v>
      </c>
      <c r="AZ179" s="51">
        <f t="shared" si="16"/>
        <v>0</v>
      </c>
      <c r="BA179" s="51">
        <f t="shared" si="17"/>
        <v>0</v>
      </c>
      <c r="BB179" s="51">
        <f t="shared" si="18"/>
        <v>0</v>
      </c>
      <c r="BC179" s="51">
        <f t="shared" si="19"/>
        <v>0</v>
      </c>
      <c r="BD179" s="51">
        <f t="shared" si="20"/>
        <v>0</v>
      </c>
      <c r="BE179" s="51">
        <f t="shared" si="21"/>
        <v>0</v>
      </c>
      <c r="BF179" s="51">
        <f t="shared" si="22"/>
        <v>0</v>
      </c>
      <c r="BG179" s="51">
        <f t="shared" si="23"/>
        <v>0</v>
      </c>
      <c r="BH179" s="51">
        <f t="shared" si="24"/>
        <v>0</v>
      </c>
      <c r="BI179" s="51">
        <f t="shared" si="226"/>
        <v>0</v>
      </c>
      <c r="BJ179" s="51">
        <f t="shared" si="227"/>
        <v>0</v>
      </c>
      <c r="BK179" s="51">
        <f t="shared" si="228"/>
        <v>0</v>
      </c>
      <c r="BL179" s="51">
        <f t="shared" si="229"/>
        <v>0</v>
      </c>
      <c r="BM179" s="51">
        <f t="shared" si="230"/>
        <v>0</v>
      </c>
      <c r="BN179" s="51">
        <f t="shared" si="231"/>
        <v>0</v>
      </c>
      <c r="BO179" s="51">
        <f t="shared" si="232"/>
        <v>0</v>
      </c>
      <c r="BP179" s="51">
        <f t="shared" si="233"/>
        <v>0</v>
      </c>
      <c r="BQ179" s="51">
        <f t="shared" si="234"/>
        <v>0</v>
      </c>
      <c r="BR179" s="51">
        <f t="shared" si="235"/>
        <v>0</v>
      </c>
      <c r="BS179" s="51">
        <f t="shared" si="236"/>
        <v>0</v>
      </c>
      <c r="BT179" s="51">
        <f t="shared" si="237"/>
        <v>0</v>
      </c>
      <c r="BU179" s="20">
        <f t="shared" si="238"/>
        <v>4761.4396153845664</v>
      </c>
      <c r="BV179" s="20">
        <f t="shared" si="239"/>
        <v>4761.4396153843209</v>
      </c>
      <c r="BW179" s="20">
        <f t="shared" si="240"/>
        <v>57137.275384612352</v>
      </c>
      <c r="BX179" s="20">
        <f t="shared" si="241"/>
        <v>57137.275384614797</v>
      </c>
      <c r="BY179" s="20">
        <f t="shared" si="242"/>
        <v>57137.27538461185</v>
      </c>
      <c r="BZ179" s="21">
        <f t="shared" si="243"/>
        <v>57137.275384613</v>
      </c>
      <c r="CA179" s="19">
        <f t="shared" si="256"/>
        <v>1428431.8846153249</v>
      </c>
      <c r="CB179" s="20">
        <f t="shared" si="244"/>
        <v>1428431.8846153785</v>
      </c>
      <c r="CC179" s="20">
        <f t="shared" si="245"/>
        <v>1428431.8846153107</v>
      </c>
      <c r="CD179" s="20">
        <f t="shared" si="257"/>
        <v>0</v>
      </c>
      <c r="CE179" s="20">
        <f t="shared" si="261"/>
        <v>1400000</v>
      </c>
      <c r="CF179" s="20">
        <f t="shared" si="254"/>
        <v>1238613.0240270689</v>
      </c>
      <c r="CG179" s="20">
        <f t="shared" si="246"/>
        <v>49544.520961082759</v>
      </c>
      <c r="CH179" s="20">
        <f t="shared" si="255"/>
        <v>4128.7100800902299</v>
      </c>
      <c r="CI179" s="20">
        <f t="shared" si="247"/>
        <v>1225262.8282595847</v>
      </c>
      <c r="CJ179" s="24">
        <f t="shared" si="248"/>
        <v>0.86711381716362312</v>
      </c>
      <c r="CK179" s="24">
        <f t="shared" si="249"/>
        <v>1.0915597385933213E-2</v>
      </c>
      <c r="CL179" s="24">
        <f t="shared" si="250"/>
        <v>3.3291619116080792E-2</v>
      </c>
      <c r="CM179" s="25">
        <f t="shared" si="251"/>
        <v>0.14390500071505177</v>
      </c>
      <c r="CN179" s="17"/>
      <c r="CO179" s="17"/>
      <c r="CP179" s="17"/>
      <c r="CQ179" s="17"/>
      <c r="CR179" s="17"/>
      <c r="CS179" s="17"/>
      <c r="CT179" s="17"/>
      <c r="CU179" s="17"/>
      <c r="CV179" s="17"/>
      <c r="CW179" s="30">
        <v>0</v>
      </c>
      <c r="CX179" s="17"/>
      <c r="CY179" s="17"/>
      <c r="CZ179" s="17"/>
      <c r="DA179" s="17"/>
      <c r="DB179" s="17"/>
    </row>
    <row r="180" spans="1:106" ht="15.75" thickBot="1" x14ac:dyDescent="0.3">
      <c r="A180" s="5">
        <f t="shared" si="258"/>
        <v>38</v>
      </c>
      <c r="B180" s="5">
        <f t="shared" si="258"/>
        <v>36</v>
      </c>
      <c r="C180" s="1">
        <v>47696</v>
      </c>
      <c r="D180" s="4"/>
      <c r="E180" s="30"/>
      <c r="F180" s="30"/>
      <c r="G180" s="30">
        <f t="shared" si="222"/>
        <v>0</v>
      </c>
      <c r="H180" s="30"/>
      <c r="I180" s="10">
        <v>0</v>
      </c>
      <c r="J180" s="60">
        <v>9000</v>
      </c>
      <c r="K180" s="11">
        <v>550</v>
      </c>
      <c r="L180" s="60">
        <f t="shared" si="72"/>
        <v>10797.494518742926</v>
      </c>
      <c r="M180" s="11">
        <v>305</v>
      </c>
      <c r="N180" s="60">
        <v>0</v>
      </c>
      <c r="O180" s="11">
        <v>0</v>
      </c>
      <c r="P180" s="11">
        <v>0</v>
      </c>
      <c r="Q180" s="60">
        <f>(Q179*($K$1/12))+Q179 + $Q$6</f>
        <v>177626.85999917844</v>
      </c>
      <c r="R180" s="60">
        <f>(R179*($K$1/12))+R179</f>
        <v>9806.9962208964171</v>
      </c>
      <c r="S180" s="60">
        <f>(S179*($K$1/12))+S179</f>
        <v>8514.4400791329572</v>
      </c>
      <c r="T180" s="60">
        <f>(T179*($K$1/12))+T179+$T$6 + ((3%/12)*T$11)</f>
        <v>687823.24238281779</v>
      </c>
      <c r="U180" s="60">
        <f>(U179*$K$1/12) + U179 + ((U$11/12*7%))</f>
        <v>89607.941172394945</v>
      </c>
      <c r="V180" s="60">
        <v>3100</v>
      </c>
      <c r="W180" s="60">
        <f>(W179*($K$1/12))+W179+$W$6</f>
        <v>62059.444132414726</v>
      </c>
      <c r="X180" s="11">
        <v>0</v>
      </c>
      <c r="Y180" s="60">
        <f>(Y179*($K$1/12))+Y179+$Y$7</f>
        <v>216620.75725371373</v>
      </c>
      <c r="Z180" s="60">
        <f>'Mortgage and Loans'!U142</f>
        <v>116449.12000000002</v>
      </c>
      <c r="AA180" s="12">
        <f t="shared" si="252"/>
        <v>1392261.2957592919</v>
      </c>
      <c r="AB180" s="56">
        <f t="shared" si="260"/>
        <v>750</v>
      </c>
      <c r="AC180" s="56">
        <f t="shared" si="260"/>
        <v>750</v>
      </c>
      <c r="AD180" s="56">
        <f t="shared" si="260"/>
        <v>750</v>
      </c>
      <c r="AE180" s="56">
        <f t="shared" si="260"/>
        <v>750</v>
      </c>
      <c r="AF180" s="56">
        <f t="shared" si="259"/>
        <v>261.43961538432092</v>
      </c>
      <c r="AG180" s="56">
        <f t="shared" si="260"/>
        <v>750</v>
      </c>
      <c r="AH180" s="56">
        <f>'Mortgage and Loans'!AF137</f>
        <v>0</v>
      </c>
      <c r="AI180" s="56">
        <f>'Mortgage and Loans'!AQ137</f>
        <v>0</v>
      </c>
      <c r="AJ180" s="56">
        <f>'Mortgage and Loans'!BB137</f>
        <v>0</v>
      </c>
      <c r="AK180" s="56">
        <f>'Mortgage and Loans'!BM137</f>
        <v>0</v>
      </c>
      <c r="AL180" s="56">
        <f>'Mortgage and Loans'!T142</f>
        <v>63550.879999999801</v>
      </c>
      <c r="AM180" s="12">
        <f t="shared" si="12"/>
        <v>-67562.319615384127</v>
      </c>
      <c r="AN180" s="75">
        <f t="shared" si="85"/>
        <v>1324698.9761439078</v>
      </c>
      <c r="AO180" s="86">
        <f>'Mortgage and Loans'!G143</f>
        <v>0</v>
      </c>
      <c r="AP180" s="79">
        <f>('Salary Tax Breakdown'!B$16/12)-Data!AO180</f>
        <v>3447.5</v>
      </c>
      <c r="AQ180" s="87"/>
      <c r="AR180" s="20">
        <f t="shared" si="223"/>
        <v>4011.4396153843209</v>
      </c>
      <c r="AS180" s="20">
        <v>750</v>
      </c>
      <c r="AT180" s="20">
        <v>0</v>
      </c>
      <c r="AU180" s="20">
        <f t="shared" si="224"/>
        <v>4761.4396153843209</v>
      </c>
      <c r="AV180" s="20">
        <f t="shared" si="225"/>
        <v>4761.4396153835542</v>
      </c>
      <c r="AW180" s="51">
        <f t="shared" si="253"/>
        <v>0</v>
      </c>
      <c r="AX180" s="51">
        <f t="shared" si="14"/>
        <v>0</v>
      </c>
      <c r="AY180" s="51">
        <f t="shared" si="15"/>
        <v>0</v>
      </c>
      <c r="AZ180" s="51">
        <f t="shared" si="16"/>
        <v>0</v>
      </c>
      <c r="BA180" s="51">
        <f t="shared" si="17"/>
        <v>0</v>
      </c>
      <c r="BB180" s="51">
        <f t="shared" si="18"/>
        <v>0</v>
      </c>
      <c r="BC180" s="51">
        <f t="shared" si="19"/>
        <v>0</v>
      </c>
      <c r="BD180" s="51">
        <f t="shared" si="20"/>
        <v>0</v>
      </c>
      <c r="BE180" s="51">
        <f t="shared" si="21"/>
        <v>0</v>
      </c>
      <c r="BF180" s="51">
        <f t="shared" si="22"/>
        <v>0</v>
      </c>
      <c r="BG180" s="51">
        <f t="shared" si="23"/>
        <v>0</v>
      </c>
      <c r="BH180" s="51">
        <f t="shared" si="24"/>
        <v>0</v>
      </c>
      <c r="BI180" s="51">
        <f t="shared" si="226"/>
        <v>0</v>
      </c>
      <c r="BJ180" s="51">
        <f t="shared" si="227"/>
        <v>0</v>
      </c>
      <c r="BK180" s="51">
        <f t="shared" si="228"/>
        <v>0</v>
      </c>
      <c r="BL180" s="51">
        <f t="shared" si="229"/>
        <v>0</v>
      </c>
      <c r="BM180" s="51">
        <f t="shared" si="230"/>
        <v>0</v>
      </c>
      <c r="BN180" s="51">
        <f t="shared" si="231"/>
        <v>0</v>
      </c>
      <c r="BO180" s="51">
        <f t="shared" si="232"/>
        <v>0</v>
      </c>
      <c r="BP180" s="51">
        <f t="shared" si="233"/>
        <v>0</v>
      </c>
      <c r="BQ180" s="51">
        <f t="shared" si="234"/>
        <v>0</v>
      </c>
      <c r="BR180" s="51">
        <f t="shared" si="235"/>
        <v>0</v>
      </c>
      <c r="BS180" s="51">
        <f t="shared" si="236"/>
        <v>0</v>
      </c>
      <c r="BT180" s="51">
        <f t="shared" si="237"/>
        <v>0</v>
      </c>
      <c r="BU180" s="20">
        <f t="shared" si="238"/>
        <v>4761.4396153844054</v>
      </c>
      <c r="BV180" s="20">
        <f t="shared" si="239"/>
        <v>4761.4396153843845</v>
      </c>
      <c r="BW180" s="20">
        <f t="shared" si="240"/>
        <v>57137.27538461185</v>
      </c>
      <c r="BX180" s="20">
        <f t="shared" si="241"/>
        <v>57137.275384612862</v>
      </c>
      <c r="BY180" s="20">
        <f t="shared" si="242"/>
        <v>57137.275384612614</v>
      </c>
      <c r="BZ180" s="21">
        <f t="shared" si="243"/>
        <v>57137.27538461244</v>
      </c>
      <c r="CA180" s="19">
        <f t="shared" si="256"/>
        <v>1428431.8846153109</v>
      </c>
      <c r="CB180" s="20">
        <f t="shared" si="244"/>
        <v>1428431.8846153356</v>
      </c>
      <c r="CC180" s="20">
        <f t="shared" si="245"/>
        <v>1428431.8846153242</v>
      </c>
      <c r="CD180" s="20">
        <f t="shared" si="257"/>
        <v>0</v>
      </c>
      <c r="CE180" s="20">
        <f t="shared" si="261"/>
        <v>1400000</v>
      </c>
      <c r="CF180" s="20">
        <f t="shared" si="254"/>
        <v>1252059.6812405491</v>
      </c>
      <c r="CG180" s="20">
        <f t="shared" si="246"/>
        <v>50082.387249621963</v>
      </c>
      <c r="CH180" s="20">
        <f t="shared" si="255"/>
        <v>4173.5322708018302</v>
      </c>
      <c r="CI180" s="20">
        <f t="shared" si="247"/>
        <v>1238637.1719126578</v>
      </c>
      <c r="CJ180" s="24">
        <f t="shared" si="248"/>
        <v>0.87652739673877966</v>
      </c>
      <c r="CK180" s="24">
        <f t="shared" si="249"/>
        <v>1.085622139654358E-2</v>
      </c>
      <c r="CL180" s="24">
        <f t="shared" si="250"/>
        <v>3.3106541459823322E-2</v>
      </c>
      <c r="CM180" s="25">
        <f t="shared" si="251"/>
        <v>0.14301987770407537</v>
      </c>
      <c r="CN180" s="17"/>
      <c r="CO180" s="17"/>
      <c r="CP180" s="17"/>
      <c r="CQ180" s="17"/>
      <c r="CR180" s="17"/>
      <c r="CS180" s="17"/>
      <c r="CT180" s="17"/>
      <c r="CU180" s="17"/>
      <c r="CV180" s="17"/>
      <c r="CW180" s="30">
        <v>0</v>
      </c>
      <c r="CX180" s="17"/>
      <c r="CY180" s="17"/>
      <c r="CZ180" s="17"/>
      <c r="DA180" s="17"/>
      <c r="DB180" s="17"/>
    </row>
    <row r="181" spans="1:106" ht="15.75" thickBot="1" x14ac:dyDescent="0.3">
      <c r="A181" s="5">
        <f t="shared" si="258"/>
        <v>38</v>
      </c>
      <c r="B181" s="5">
        <f t="shared" si="258"/>
        <v>36</v>
      </c>
      <c r="C181" s="1">
        <v>47727</v>
      </c>
      <c r="D181" s="4"/>
      <c r="E181" s="30"/>
      <c r="F181" s="30"/>
      <c r="G181" s="30">
        <f t="shared" si="222"/>
        <v>0</v>
      </c>
      <c r="H181" s="30"/>
      <c r="I181" s="10">
        <v>0</v>
      </c>
      <c r="J181" s="60">
        <v>9000</v>
      </c>
      <c r="K181" s="11">
        <v>550</v>
      </c>
      <c r="L181" s="60">
        <f t="shared" si="72"/>
        <v>10810.541491286405</v>
      </c>
      <c r="M181" s="11">
        <v>305</v>
      </c>
      <c r="N181" s="60">
        <v>0</v>
      </c>
      <c r="O181" s="11">
        <v>0</v>
      </c>
      <c r="P181" s="11">
        <v>0</v>
      </c>
      <c r="Q181" s="60">
        <f>(Q180*($K$1/12))+Q180 + $Q$6</f>
        <v>179505.67549084066</v>
      </c>
      <c r="R181" s="60">
        <f>(R180*($K$1/12))+R180</f>
        <v>9860.1174504262726</v>
      </c>
      <c r="S181" s="60">
        <f>(S180*($K$1/12))+S180</f>
        <v>8560.5599628949276</v>
      </c>
      <c r="T181" s="60">
        <f>(T180*($K$1/12))+T180+$T$6 + ((3%/12)*T$11)</f>
        <v>694723.95161239139</v>
      </c>
      <c r="U181" s="60">
        <f>(U180*$K$1/12) + U180 + ((U$11/12*7%))</f>
        <v>90501.650853745406</v>
      </c>
      <c r="V181" s="60">
        <v>3100</v>
      </c>
      <c r="W181" s="60">
        <f>(W180*($K$1/12))+W180+$W$6</f>
        <v>62683.099454798641</v>
      </c>
      <c r="X181" s="11">
        <v>0</v>
      </c>
      <c r="Y181" s="60">
        <f>(Y180*($K$1/12))+Y180+$Y$7</f>
        <v>219744.11968883802</v>
      </c>
      <c r="Z181" s="60">
        <f>'Mortgage and Loans'!U143</f>
        <v>117685.22000000003</v>
      </c>
      <c r="AA181" s="12">
        <f t="shared" si="252"/>
        <v>1407029.9360052217</v>
      </c>
      <c r="AB181" s="56">
        <f t="shared" si="260"/>
        <v>750</v>
      </c>
      <c r="AC181" s="56">
        <f t="shared" si="260"/>
        <v>750</v>
      </c>
      <c r="AD181" s="56">
        <f t="shared" si="260"/>
        <v>750</v>
      </c>
      <c r="AE181" s="56">
        <f t="shared" si="260"/>
        <v>750</v>
      </c>
      <c r="AF181" s="56">
        <f t="shared" si="259"/>
        <v>261.43961538438481</v>
      </c>
      <c r="AG181" s="56">
        <f t="shared" si="260"/>
        <v>750</v>
      </c>
      <c r="AH181" s="56">
        <f>'Mortgage and Loans'!AF138</f>
        <v>0</v>
      </c>
      <c r="AI181" s="56">
        <f>'Mortgage and Loans'!AQ138</f>
        <v>0</v>
      </c>
      <c r="AJ181" s="56">
        <f>'Mortgage and Loans'!BB138</f>
        <v>0</v>
      </c>
      <c r="AK181" s="56">
        <f>'Mortgage and Loans'!BM138</f>
        <v>0</v>
      </c>
      <c r="AL181" s="56">
        <f>'Mortgage and Loans'!T143</f>
        <v>62314.779999999795</v>
      </c>
      <c r="AM181" s="12">
        <f t="shared" si="12"/>
        <v>-66326.21961538418</v>
      </c>
      <c r="AN181" s="75">
        <f t="shared" si="85"/>
        <v>1340703.7163898374</v>
      </c>
      <c r="AO181" s="86">
        <f>'Mortgage and Loans'!G144</f>
        <v>0</v>
      </c>
      <c r="AP181" s="79">
        <f>('Salary Tax Breakdown'!B$16/12)-Data!AO181</f>
        <v>3447.5</v>
      </c>
      <c r="AQ181" s="87"/>
      <c r="AR181" s="20">
        <f t="shared" si="223"/>
        <v>4011.439615384385</v>
      </c>
      <c r="AS181" s="20">
        <v>750</v>
      </c>
      <c r="AT181" s="20">
        <v>0</v>
      </c>
      <c r="AU181" s="20">
        <f t="shared" si="224"/>
        <v>4761.4396153843845</v>
      </c>
      <c r="AV181" s="20">
        <f t="shared" si="225"/>
        <v>4761.4396153829566</v>
      </c>
      <c r="AW181" s="51">
        <f t="shared" si="253"/>
        <v>0</v>
      </c>
      <c r="AX181" s="51">
        <f t="shared" si="14"/>
        <v>0</v>
      </c>
      <c r="AY181" s="51">
        <f t="shared" si="15"/>
        <v>0</v>
      </c>
      <c r="AZ181" s="51">
        <f t="shared" si="16"/>
        <v>0</v>
      </c>
      <c r="BA181" s="51">
        <f t="shared" si="17"/>
        <v>0</v>
      </c>
      <c r="BB181" s="51">
        <f t="shared" si="18"/>
        <v>0</v>
      </c>
      <c r="BC181" s="51">
        <f t="shared" si="19"/>
        <v>0</v>
      </c>
      <c r="BD181" s="51">
        <f t="shared" si="20"/>
        <v>0</v>
      </c>
      <c r="BE181" s="51">
        <f t="shared" si="21"/>
        <v>0</v>
      </c>
      <c r="BF181" s="51">
        <f t="shared" si="22"/>
        <v>0</v>
      </c>
      <c r="BG181" s="51">
        <f t="shared" si="23"/>
        <v>0</v>
      </c>
      <c r="BH181" s="51">
        <f t="shared" si="24"/>
        <v>0</v>
      </c>
      <c r="BI181" s="51">
        <f t="shared" si="226"/>
        <v>0</v>
      </c>
      <c r="BJ181" s="51">
        <f t="shared" si="227"/>
        <v>0</v>
      </c>
      <c r="BK181" s="51">
        <f t="shared" si="228"/>
        <v>0</v>
      </c>
      <c r="BL181" s="51">
        <f t="shared" si="229"/>
        <v>0</v>
      </c>
      <c r="BM181" s="51">
        <f t="shared" si="230"/>
        <v>0</v>
      </c>
      <c r="BN181" s="51">
        <f t="shared" si="231"/>
        <v>0</v>
      </c>
      <c r="BO181" s="51">
        <f t="shared" si="232"/>
        <v>0</v>
      </c>
      <c r="BP181" s="51">
        <f t="shared" si="233"/>
        <v>0</v>
      </c>
      <c r="BQ181" s="51">
        <f t="shared" si="234"/>
        <v>0</v>
      </c>
      <c r="BR181" s="51">
        <f t="shared" si="235"/>
        <v>0</v>
      </c>
      <c r="BS181" s="51">
        <f t="shared" si="236"/>
        <v>0</v>
      </c>
      <c r="BT181" s="51">
        <f t="shared" si="237"/>
        <v>0</v>
      </c>
      <c r="BU181" s="20">
        <f t="shared" si="238"/>
        <v>4761.4396153843563</v>
      </c>
      <c r="BV181" s="20">
        <f t="shared" si="239"/>
        <v>4761.4396153845037</v>
      </c>
      <c r="BW181" s="20">
        <f t="shared" si="240"/>
        <v>57137.275384612614</v>
      </c>
      <c r="BX181" s="20">
        <f t="shared" si="241"/>
        <v>57137.27538461228</v>
      </c>
      <c r="BY181" s="20">
        <f t="shared" si="242"/>
        <v>57137.27538461404</v>
      </c>
      <c r="BZ181" s="21">
        <f t="shared" si="243"/>
        <v>57137.275384612985</v>
      </c>
      <c r="CA181" s="19">
        <f t="shared" si="256"/>
        <v>1428431.8846153247</v>
      </c>
      <c r="CB181" s="20">
        <f t="shared" si="244"/>
        <v>1428431.88461532</v>
      </c>
      <c r="CC181" s="20">
        <f t="shared" si="245"/>
        <v>1428431.8846153531</v>
      </c>
      <c r="CD181" s="20">
        <f t="shared" si="257"/>
        <v>0</v>
      </c>
      <c r="CE181" s="20">
        <f t="shared" si="261"/>
        <v>1400000</v>
      </c>
      <c r="CF181" s="20">
        <f t="shared" si="254"/>
        <v>1265579.1745139353</v>
      </c>
      <c r="CG181" s="20">
        <f t="shared" si="246"/>
        <v>50623.166980557413</v>
      </c>
      <c r="CH181" s="20">
        <f t="shared" si="255"/>
        <v>4218.5972483797841</v>
      </c>
      <c r="CI181" s="20">
        <f t="shared" si="247"/>
        <v>1252083.9599271845</v>
      </c>
      <c r="CJ181" s="24">
        <f t="shared" si="248"/>
        <v>0.88599196653661838</v>
      </c>
      <c r="CK181" s="24">
        <f t="shared" si="249"/>
        <v>1.0797802593556134E-2</v>
      </c>
      <c r="CL181" s="24">
        <f t="shared" si="250"/>
        <v>3.2924490881981128E-2</v>
      </c>
      <c r="CM181" s="25">
        <f t="shared" si="251"/>
        <v>0.14215025810747722</v>
      </c>
      <c r="CN181" s="17"/>
      <c r="CO181" s="17"/>
      <c r="CP181" s="17"/>
      <c r="CQ181" s="17"/>
      <c r="CR181" s="17"/>
      <c r="CS181" s="17"/>
      <c r="CT181" s="17"/>
      <c r="CU181" s="17"/>
      <c r="CV181" s="17"/>
      <c r="CW181" s="30">
        <v>0</v>
      </c>
      <c r="CX181" s="17"/>
      <c r="CY181" s="17"/>
      <c r="CZ181" s="17"/>
      <c r="DA181" s="17"/>
      <c r="DB181" s="17"/>
    </row>
    <row r="182" spans="1:106" ht="15.75" thickBot="1" x14ac:dyDescent="0.3">
      <c r="A182" s="5">
        <f t="shared" si="258"/>
        <v>38</v>
      </c>
      <c r="B182" s="5">
        <f t="shared" si="258"/>
        <v>37</v>
      </c>
      <c r="C182" s="1">
        <v>47757</v>
      </c>
      <c r="D182" s="4"/>
      <c r="E182" s="30"/>
      <c r="F182" s="30"/>
      <c r="G182" s="30">
        <f t="shared" si="222"/>
        <v>0</v>
      </c>
      <c r="H182" s="30"/>
      <c r="I182" s="10">
        <v>0</v>
      </c>
      <c r="J182" s="60">
        <v>9000</v>
      </c>
      <c r="K182" s="11">
        <v>550</v>
      </c>
      <c r="L182" s="60">
        <f t="shared" si="72"/>
        <v>10823.604228921709</v>
      </c>
      <c r="M182" s="11">
        <v>305</v>
      </c>
      <c r="N182" s="60">
        <v>0</v>
      </c>
      <c r="O182" s="11">
        <v>0</v>
      </c>
      <c r="P182" s="11">
        <v>0</v>
      </c>
      <c r="Q182" s="60">
        <f>(Q181*($K$1/12))+Q181 + $Q$6</f>
        <v>181394.66789974939</v>
      </c>
      <c r="R182" s="60">
        <f>(R181*($K$1/12))+R181</f>
        <v>9913.526419949414</v>
      </c>
      <c r="S182" s="60">
        <f>(S181*($K$1/12))+S181</f>
        <v>8606.9296626939413</v>
      </c>
      <c r="T182" s="60">
        <f>(T181*($K$1/12))+T181+$T$6 + ((3%/12)*T$11)</f>
        <v>701662.03968362522</v>
      </c>
      <c r="U182" s="60">
        <f>(U181*$K$1/12) + U181 + ((U$11/12*7%))</f>
        <v>91400.201462536526</v>
      </c>
      <c r="V182" s="60">
        <v>3100</v>
      </c>
      <c r="W182" s="60">
        <f>(W181*($K$1/12))+W181+$W$6</f>
        <v>63310.1329101788</v>
      </c>
      <c r="X182" s="11">
        <v>0</v>
      </c>
      <c r="Y182" s="60">
        <f>(Y181*($K$1/12))+Y181+$Y$7</f>
        <v>222884.40033715256</v>
      </c>
      <c r="Z182" s="60">
        <f>'Mortgage and Loans'!U144</f>
        <v>118925.57000000004</v>
      </c>
      <c r="AA182" s="12">
        <f t="shared" si="252"/>
        <v>1421876.0726048076</v>
      </c>
      <c r="AB182" s="56">
        <f t="shared" si="260"/>
        <v>750</v>
      </c>
      <c r="AC182" s="56">
        <f t="shared" si="260"/>
        <v>750</v>
      </c>
      <c r="AD182" s="56">
        <f t="shared" si="260"/>
        <v>750</v>
      </c>
      <c r="AE182" s="56">
        <f t="shared" si="260"/>
        <v>750</v>
      </c>
      <c r="AF182" s="56">
        <f t="shared" si="259"/>
        <v>261.43961538450384</v>
      </c>
      <c r="AG182" s="56">
        <f t="shared" si="260"/>
        <v>750</v>
      </c>
      <c r="AH182" s="56">
        <f>'Mortgage and Loans'!AF139</f>
        <v>0</v>
      </c>
      <c r="AI182" s="56">
        <f>'Mortgage and Loans'!AQ139</f>
        <v>0</v>
      </c>
      <c r="AJ182" s="56">
        <f>'Mortgage and Loans'!BB139</f>
        <v>0</v>
      </c>
      <c r="AK182" s="56">
        <f>'Mortgage and Loans'!BM139</f>
        <v>0</v>
      </c>
      <c r="AL182" s="56">
        <f>'Mortgage and Loans'!T144</f>
        <v>61074.429999999789</v>
      </c>
      <c r="AM182" s="12">
        <f t="shared" si="12"/>
        <v>-65085.86961538429</v>
      </c>
      <c r="AN182" s="75">
        <f t="shared" si="85"/>
        <v>1356790.2029894232</v>
      </c>
      <c r="AO182" s="86">
        <f>'Mortgage and Loans'!G145</f>
        <v>0</v>
      </c>
      <c r="AP182" s="79">
        <f>('Salary Tax Breakdown'!B$16/12)-Data!AO182</f>
        <v>3447.5</v>
      </c>
      <c r="AQ182" s="87"/>
      <c r="AR182" s="20">
        <f t="shared" si="223"/>
        <v>4011.4396153845037</v>
      </c>
      <c r="AS182" s="20">
        <v>750</v>
      </c>
      <c r="AT182" s="20">
        <v>0</v>
      </c>
      <c r="AU182" s="20">
        <f t="shared" si="224"/>
        <v>4761.4396153845037</v>
      </c>
      <c r="AV182" s="20">
        <f t="shared" si="225"/>
        <v>4761.4396153830548</v>
      </c>
      <c r="AW182" s="51">
        <f t="shared" si="253"/>
        <v>0</v>
      </c>
      <c r="AX182" s="51">
        <f t="shared" si="14"/>
        <v>0</v>
      </c>
      <c r="AY182" s="51">
        <f t="shared" si="15"/>
        <v>0</v>
      </c>
      <c r="AZ182" s="51">
        <f t="shared" si="16"/>
        <v>0</v>
      </c>
      <c r="BA182" s="51">
        <f t="shared" si="17"/>
        <v>0</v>
      </c>
      <c r="BB182" s="51">
        <f t="shared" si="18"/>
        <v>0</v>
      </c>
      <c r="BC182" s="51">
        <f t="shared" si="19"/>
        <v>0</v>
      </c>
      <c r="BD182" s="51">
        <f t="shared" si="20"/>
        <v>0</v>
      </c>
      <c r="BE182" s="51">
        <f t="shared" si="21"/>
        <v>0</v>
      </c>
      <c r="BF182" s="51">
        <f t="shared" si="22"/>
        <v>0</v>
      </c>
      <c r="BG182" s="51">
        <f t="shared" si="23"/>
        <v>0</v>
      </c>
      <c r="BH182" s="51">
        <f t="shared" si="24"/>
        <v>0</v>
      </c>
      <c r="BI182" s="51">
        <f t="shared" si="226"/>
        <v>0</v>
      </c>
      <c r="BJ182" s="51">
        <f t="shared" si="227"/>
        <v>0</v>
      </c>
      <c r="BK182" s="51">
        <f t="shared" si="228"/>
        <v>0</v>
      </c>
      <c r="BL182" s="51">
        <f t="shared" si="229"/>
        <v>0</v>
      </c>
      <c r="BM182" s="51">
        <f t="shared" si="230"/>
        <v>0</v>
      </c>
      <c r="BN182" s="51">
        <f t="shared" si="231"/>
        <v>0</v>
      </c>
      <c r="BO182" s="51">
        <f t="shared" si="232"/>
        <v>0</v>
      </c>
      <c r="BP182" s="51">
        <f t="shared" si="233"/>
        <v>0</v>
      </c>
      <c r="BQ182" s="51">
        <f t="shared" si="234"/>
        <v>0</v>
      </c>
      <c r="BR182" s="51">
        <f t="shared" si="235"/>
        <v>0</v>
      </c>
      <c r="BS182" s="51">
        <f t="shared" si="236"/>
        <v>0</v>
      </c>
      <c r="BT182" s="51">
        <f t="shared" si="237"/>
        <v>0</v>
      </c>
      <c r="BU182" s="20">
        <f t="shared" si="238"/>
        <v>4761.4396153844027</v>
      </c>
      <c r="BV182" s="20">
        <f t="shared" si="239"/>
        <v>4761.4396153846237</v>
      </c>
      <c r="BW182" s="20">
        <f t="shared" si="240"/>
        <v>57137.27538461404</v>
      </c>
      <c r="BX182" s="20">
        <f t="shared" si="241"/>
        <v>57137.275384612833</v>
      </c>
      <c r="BY182" s="20">
        <f t="shared" si="242"/>
        <v>57137.275384615481</v>
      </c>
      <c r="BZ182" s="21">
        <f t="shared" si="243"/>
        <v>57137.27538461412</v>
      </c>
      <c r="CA182" s="19">
        <f t="shared" si="256"/>
        <v>1428431.8846153531</v>
      </c>
      <c r="CB182" s="20">
        <f t="shared" si="244"/>
        <v>1428431.8846153298</v>
      </c>
      <c r="CC182" s="20">
        <f t="shared" si="245"/>
        <v>1428431.8846153833</v>
      </c>
      <c r="CD182" s="20">
        <f t="shared" si="257"/>
        <v>0</v>
      </c>
      <c r="CE182" s="20">
        <f t="shared" si="261"/>
        <v>1400000</v>
      </c>
      <c r="CF182" s="20">
        <f t="shared" si="254"/>
        <v>1279171.898375886</v>
      </c>
      <c r="CG182" s="20">
        <f t="shared" si="246"/>
        <v>51166.875935035445</v>
      </c>
      <c r="CH182" s="20">
        <f t="shared" si="255"/>
        <v>4263.9063279196207</v>
      </c>
      <c r="CI182" s="20">
        <f t="shared" si="247"/>
        <v>1265603.5847101235</v>
      </c>
      <c r="CJ182" s="24">
        <f t="shared" si="248"/>
        <v>0.89550780275417974</v>
      </c>
      <c r="CK182" s="24">
        <f t="shared" si="249"/>
        <v>1.0740318848223124E-2</v>
      </c>
      <c r="CL182" s="24">
        <f t="shared" si="250"/>
        <v>3.2745396311875674E-2</v>
      </c>
      <c r="CM182" s="25">
        <f t="shared" si="251"/>
        <v>0.1412957504953295</v>
      </c>
      <c r="CN182" s="17"/>
      <c r="CO182" s="17"/>
      <c r="CP182" s="17"/>
      <c r="CQ182" s="17"/>
      <c r="CR182" s="17"/>
      <c r="CS182" s="17"/>
      <c r="CT182" s="17"/>
      <c r="CU182" s="17"/>
      <c r="CV182" s="17"/>
      <c r="CW182" s="30">
        <v>0</v>
      </c>
      <c r="CX182" s="17"/>
      <c r="CY182" s="17"/>
      <c r="CZ182" s="17"/>
      <c r="DA182" s="17"/>
      <c r="DB182" s="17"/>
    </row>
    <row r="183" spans="1:106" ht="15.75" thickBot="1" x14ac:dyDescent="0.3">
      <c r="A183" s="5">
        <f t="shared" si="258"/>
        <v>38</v>
      </c>
      <c r="B183" s="5">
        <f t="shared" si="258"/>
        <v>37</v>
      </c>
      <c r="C183" s="1">
        <v>47788</v>
      </c>
      <c r="D183" s="4"/>
      <c r="E183" s="30"/>
      <c r="F183" s="30"/>
      <c r="G183" s="30">
        <f t="shared" si="222"/>
        <v>0</v>
      </c>
      <c r="H183" s="30"/>
      <c r="I183" s="10">
        <v>0</v>
      </c>
      <c r="J183" s="60">
        <v>9000</v>
      </c>
      <c r="K183" s="11">
        <v>550</v>
      </c>
      <c r="L183" s="60">
        <f t="shared" si="72"/>
        <v>10836.682750698323</v>
      </c>
      <c r="M183" s="11">
        <v>305</v>
      </c>
      <c r="N183" s="60">
        <v>0</v>
      </c>
      <c r="O183" s="11">
        <v>0</v>
      </c>
      <c r="P183" s="11">
        <v>0</v>
      </c>
      <c r="Q183" s="60">
        <f>(Q182*($K$1/12))+Q182 + $Q$6</f>
        <v>183293.89235087304</v>
      </c>
      <c r="R183" s="60">
        <f>(R182*($K$1/12))+R182</f>
        <v>9967.224688057473</v>
      </c>
      <c r="S183" s="60">
        <f>(S182*($K$1/12))+S182</f>
        <v>8653.5505317002007</v>
      </c>
      <c r="T183" s="60">
        <f>(T182*($K$1/12))+T182+$T$6 + ((3%/12)*T$11)</f>
        <v>708637.70906524488</v>
      </c>
      <c r="U183" s="60">
        <f>(U182*$K$1/12) + U182 + ((U$11/12*7%))</f>
        <v>92303.619220458597</v>
      </c>
      <c r="V183" s="60">
        <v>3100</v>
      </c>
      <c r="W183" s="60">
        <f>(W182*($K$1/12))+W182+$W$6</f>
        <v>63940.562796775601</v>
      </c>
      <c r="X183" s="11">
        <v>0</v>
      </c>
      <c r="Y183" s="60">
        <f>(Y182*($K$1/12))+Y182+$Y$7</f>
        <v>226041.6908389788</v>
      </c>
      <c r="Z183" s="60">
        <f>'Mortgage and Loans'!U145</f>
        <v>120170.19000000003</v>
      </c>
      <c r="AA183" s="12">
        <f t="shared" si="252"/>
        <v>1436800.1222427869</v>
      </c>
      <c r="AB183" s="56">
        <f t="shared" si="260"/>
        <v>750</v>
      </c>
      <c r="AC183" s="56">
        <f t="shared" si="260"/>
        <v>750</v>
      </c>
      <c r="AD183" s="56">
        <f t="shared" si="260"/>
        <v>750</v>
      </c>
      <c r="AE183" s="56">
        <f t="shared" si="260"/>
        <v>750</v>
      </c>
      <c r="AF183" s="56">
        <f t="shared" si="259"/>
        <v>261.43961538462457</v>
      </c>
      <c r="AG183" s="56">
        <f t="shared" si="260"/>
        <v>750</v>
      </c>
      <c r="AH183" s="56">
        <f>'Mortgage and Loans'!AF140</f>
        <v>0</v>
      </c>
      <c r="AI183" s="56">
        <f>'Mortgage and Loans'!AQ140</f>
        <v>0</v>
      </c>
      <c r="AJ183" s="56">
        <f>'Mortgage and Loans'!BB140</f>
        <v>0</v>
      </c>
      <c r="AK183" s="56">
        <f>'Mortgage and Loans'!BM140</f>
        <v>0</v>
      </c>
      <c r="AL183" s="56">
        <f>'Mortgage and Loans'!T145</f>
        <v>59829.809999999787</v>
      </c>
      <c r="AM183" s="12">
        <f t="shared" si="12"/>
        <v>-63841.249615384411</v>
      </c>
      <c r="AN183" s="75">
        <f t="shared" si="85"/>
        <v>1372958.8726274024</v>
      </c>
      <c r="AO183" s="86">
        <f>'Mortgage and Loans'!G146</f>
        <v>0</v>
      </c>
      <c r="AP183" s="79">
        <f>('Salary Tax Breakdown'!B$16/12)-Data!AO183</f>
        <v>3447.5</v>
      </c>
      <c r="AQ183" s="87"/>
      <c r="AR183" s="20">
        <f t="shared" si="223"/>
        <v>4011.4396153846246</v>
      </c>
      <c r="AS183" s="20">
        <v>750</v>
      </c>
      <c r="AT183" s="20">
        <v>0</v>
      </c>
      <c r="AU183" s="20">
        <f t="shared" si="224"/>
        <v>4761.4396153846246</v>
      </c>
      <c r="AV183" s="20">
        <f t="shared" si="225"/>
        <v>4761.4396153836205</v>
      </c>
      <c r="AW183" s="51">
        <f t="shared" si="253"/>
        <v>0</v>
      </c>
      <c r="AX183" s="51">
        <f t="shared" si="14"/>
        <v>0</v>
      </c>
      <c r="AY183" s="51">
        <f t="shared" si="15"/>
        <v>0</v>
      </c>
      <c r="AZ183" s="51">
        <f t="shared" si="16"/>
        <v>0</v>
      </c>
      <c r="BA183" s="51">
        <f t="shared" si="17"/>
        <v>0</v>
      </c>
      <c r="BB183" s="51">
        <f t="shared" si="18"/>
        <v>0</v>
      </c>
      <c r="BC183" s="51">
        <f t="shared" si="19"/>
        <v>0</v>
      </c>
      <c r="BD183" s="51">
        <f t="shared" si="20"/>
        <v>0</v>
      </c>
      <c r="BE183" s="51">
        <f t="shared" si="21"/>
        <v>0</v>
      </c>
      <c r="BF183" s="51">
        <f t="shared" si="22"/>
        <v>0</v>
      </c>
      <c r="BG183" s="51">
        <f t="shared" si="23"/>
        <v>0</v>
      </c>
      <c r="BH183" s="51">
        <f t="shared" si="24"/>
        <v>0</v>
      </c>
      <c r="BI183" s="51">
        <f t="shared" si="226"/>
        <v>0</v>
      </c>
      <c r="BJ183" s="51">
        <f t="shared" si="227"/>
        <v>0</v>
      </c>
      <c r="BK183" s="51">
        <f t="shared" si="228"/>
        <v>0</v>
      </c>
      <c r="BL183" s="51">
        <f t="shared" si="229"/>
        <v>0</v>
      </c>
      <c r="BM183" s="51">
        <f t="shared" si="230"/>
        <v>0</v>
      </c>
      <c r="BN183" s="51">
        <f t="shared" si="231"/>
        <v>0</v>
      </c>
      <c r="BO183" s="51">
        <f t="shared" si="232"/>
        <v>0</v>
      </c>
      <c r="BP183" s="51">
        <f t="shared" si="233"/>
        <v>0</v>
      </c>
      <c r="BQ183" s="51">
        <f t="shared" si="234"/>
        <v>0</v>
      </c>
      <c r="BR183" s="51">
        <f t="shared" si="235"/>
        <v>0</v>
      </c>
      <c r="BS183" s="51">
        <f t="shared" si="236"/>
        <v>0</v>
      </c>
      <c r="BT183" s="51">
        <f t="shared" si="237"/>
        <v>0</v>
      </c>
      <c r="BU183" s="20">
        <f t="shared" si="238"/>
        <v>4761.4396153845046</v>
      </c>
      <c r="BV183" s="20">
        <f t="shared" si="239"/>
        <v>4761.4396153847074</v>
      </c>
      <c r="BW183" s="20">
        <f t="shared" si="240"/>
        <v>57137.275384615496</v>
      </c>
      <c r="BX183" s="20">
        <f t="shared" si="241"/>
        <v>57137.275384614055</v>
      </c>
      <c r="BY183" s="20">
        <f t="shared" si="242"/>
        <v>57137.275384616485</v>
      </c>
      <c r="BZ183" s="21">
        <f t="shared" si="243"/>
        <v>57137.27538461535</v>
      </c>
      <c r="CA183" s="19">
        <f t="shared" si="256"/>
        <v>1428431.8846153838</v>
      </c>
      <c r="CB183" s="20">
        <f t="shared" si="244"/>
        <v>1428431.884615354</v>
      </c>
      <c r="CC183" s="20">
        <f t="shared" si="245"/>
        <v>1428431.8846154057</v>
      </c>
      <c r="CD183" s="20">
        <f t="shared" si="257"/>
        <v>0</v>
      </c>
      <c r="CE183" s="20">
        <f t="shared" si="261"/>
        <v>1400000</v>
      </c>
      <c r="CF183" s="20">
        <f t="shared" si="254"/>
        <v>1292838.2494920886</v>
      </c>
      <c r="CG183" s="20">
        <f t="shared" si="246"/>
        <v>51713.529979683546</v>
      </c>
      <c r="CH183" s="20">
        <f t="shared" si="255"/>
        <v>4309.4608316402955</v>
      </c>
      <c r="CI183" s="20">
        <f t="shared" si="247"/>
        <v>1279196.4407939699</v>
      </c>
      <c r="CJ183" s="24">
        <f t="shared" si="248"/>
        <v>0.9050751830845768</v>
      </c>
      <c r="CK183" s="24">
        <f t="shared" si="249"/>
        <v>1.0683748707702353E-2</v>
      </c>
      <c r="CL183" s="24">
        <f t="shared" si="250"/>
        <v>3.2569188883341253E-2</v>
      </c>
      <c r="CM183" s="25">
        <f t="shared" si="251"/>
        <v>0.14045597649132197</v>
      </c>
      <c r="CN183" s="17"/>
      <c r="CO183" s="17"/>
      <c r="CP183" s="17"/>
      <c r="CQ183" s="17"/>
      <c r="CR183" s="17"/>
      <c r="CS183" s="17"/>
      <c r="CT183" s="17"/>
      <c r="CU183" s="17"/>
      <c r="CV183" s="17"/>
      <c r="CW183" s="30">
        <v>0</v>
      </c>
      <c r="CX183" s="17"/>
      <c r="CY183" s="17"/>
      <c r="CZ183" s="17"/>
      <c r="DA183" s="17"/>
      <c r="DB183" s="17"/>
    </row>
    <row r="184" spans="1:106" ht="15.75" thickBot="1" x14ac:dyDescent="0.3">
      <c r="A184" s="5">
        <f t="shared" si="258"/>
        <v>39</v>
      </c>
      <c r="B184" s="5">
        <f t="shared" si="258"/>
        <v>37</v>
      </c>
      <c r="C184" s="1">
        <v>47818</v>
      </c>
      <c r="D184" s="4"/>
      <c r="E184" s="30"/>
      <c r="F184" s="30"/>
      <c r="G184" s="30">
        <f t="shared" si="222"/>
        <v>0</v>
      </c>
      <c r="H184" s="30"/>
      <c r="I184" s="10">
        <v>0</v>
      </c>
      <c r="J184" s="60">
        <v>9000</v>
      </c>
      <c r="K184" s="11">
        <v>550</v>
      </c>
      <c r="L184" s="60">
        <f t="shared" si="72"/>
        <v>10849.777075688749</v>
      </c>
      <c r="M184" s="11">
        <v>305</v>
      </c>
      <c r="N184" s="60">
        <v>0</v>
      </c>
      <c r="O184" s="11">
        <v>0</v>
      </c>
      <c r="P184" s="11">
        <v>0</v>
      </c>
      <c r="Q184" s="60">
        <f>(Q183*($K$1/12))+Q183 + $Q$6</f>
        <v>185203.40426777361</v>
      </c>
      <c r="R184" s="60">
        <f>(R183*($K$1/12))+R183</f>
        <v>10021.213821784451</v>
      </c>
      <c r="S184" s="60">
        <f>(S183*($K$1/12))+S183</f>
        <v>8700.4239304135772</v>
      </c>
      <c r="T184" s="60">
        <f>(T183*($K$1/12))+T183+$T$6 + ((3%/12)*T$11)</f>
        <v>715651.16332268168</v>
      </c>
      <c r="U184" s="60">
        <f>(U183*$K$1/12) + U183 + ((U$11/12*7%))</f>
        <v>93211.930491236082</v>
      </c>
      <c r="V184" s="60">
        <v>3100</v>
      </c>
      <c r="W184" s="60">
        <f>(W183*($K$1/12))+W183+$W$6</f>
        <v>64574.407511924801</v>
      </c>
      <c r="X184" s="11">
        <v>0</v>
      </c>
      <c r="Y184" s="60">
        <f>(Y183*($K$1/12))+Y183+$Y$7</f>
        <v>229216.08333102326</v>
      </c>
      <c r="Z184" s="60">
        <f>'Mortgage and Loans'!U146</f>
        <v>121419.10000000003</v>
      </c>
      <c r="AA184" s="12">
        <f t="shared" si="252"/>
        <v>1451802.5037525264</v>
      </c>
      <c r="AB184" s="56">
        <f t="shared" si="260"/>
        <v>750</v>
      </c>
      <c r="AC184" s="56">
        <f t="shared" si="260"/>
        <v>750</v>
      </c>
      <c r="AD184" s="56">
        <f t="shared" si="260"/>
        <v>750</v>
      </c>
      <c r="AE184" s="56">
        <f t="shared" si="260"/>
        <v>750</v>
      </c>
      <c r="AF184" s="56">
        <f t="shared" si="259"/>
        <v>261.4396153847083</v>
      </c>
      <c r="AG184" s="56">
        <f t="shared" si="260"/>
        <v>750</v>
      </c>
      <c r="AH184" s="56">
        <f>'Mortgage and Loans'!AF141</f>
        <v>0</v>
      </c>
      <c r="AI184" s="56">
        <f>'Mortgage and Loans'!AQ141</f>
        <v>0</v>
      </c>
      <c r="AJ184" s="56">
        <f>'Mortgage and Loans'!BB141</f>
        <v>0</v>
      </c>
      <c r="AK184" s="56">
        <f>'Mortgage and Loans'!BM141</f>
        <v>0</v>
      </c>
      <c r="AL184" s="56">
        <f>'Mortgage and Loans'!T146</f>
        <v>58580.899999999783</v>
      </c>
      <c r="AM184" s="12">
        <f t="shared" si="12"/>
        <v>-62592.339615384495</v>
      </c>
      <c r="AN184" s="75">
        <f t="shared" si="85"/>
        <v>1389210.1641371418</v>
      </c>
      <c r="AO184" s="86">
        <f>'Mortgage and Loans'!G147</f>
        <v>0</v>
      </c>
      <c r="AP184" s="79">
        <f>('Salary Tax Breakdown'!B$16/12)-Data!AO184</f>
        <v>3447.5</v>
      </c>
      <c r="AQ184" s="87"/>
      <c r="AR184" s="20">
        <f t="shared" si="223"/>
        <v>4011.4396153847083</v>
      </c>
      <c r="AS184" s="20">
        <v>750</v>
      </c>
      <c r="AT184" s="20">
        <v>0</v>
      </c>
      <c r="AU184" s="20">
        <f t="shared" si="224"/>
        <v>4761.4396153847083</v>
      </c>
      <c r="AV184" s="20">
        <f t="shared" si="225"/>
        <v>4761.4396153843409</v>
      </c>
      <c r="AW184" s="51">
        <f t="shared" si="253"/>
        <v>0</v>
      </c>
      <c r="AX184" s="51">
        <f t="shared" si="14"/>
        <v>0</v>
      </c>
      <c r="AY184" s="51">
        <f t="shared" si="15"/>
        <v>0</v>
      </c>
      <c r="AZ184" s="51">
        <f t="shared" si="16"/>
        <v>0</v>
      </c>
      <c r="BA184" s="51">
        <f t="shared" si="17"/>
        <v>0</v>
      </c>
      <c r="BB184" s="51">
        <f t="shared" si="18"/>
        <v>0</v>
      </c>
      <c r="BC184" s="51">
        <f t="shared" si="19"/>
        <v>0</v>
      </c>
      <c r="BD184" s="51">
        <f t="shared" si="20"/>
        <v>0</v>
      </c>
      <c r="BE184" s="51">
        <f t="shared" si="21"/>
        <v>0</v>
      </c>
      <c r="BF184" s="51">
        <f t="shared" si="22"/>
        <v>0</v>
      </c>
      <c r="BG184" s="51">
        <f t="shared" si="23"/>
        <v>0</v>
      </c>
      <c r="BH184" s="51">
        <f t="shared" si="24"/>
        <v>0</v>
      </c>
      <c r="BI184" s="51">
        <f t="shared" si="226"/>
        <v>0</v>
      </c>
      <c r="BJ184" s="51">
        <f t="shared" si="227"/>
        <v>0</v>
      </c>
      <c r="BK184" s="51">
        <f t="shared" si="228"/>
        <v>0</v>
      </c>
      <c r="BL184" s="51">
        <f t="shared" si="229"/>
        <v>0</v>
      </c>
      <c r="BM184" s="51">
        <f t="shared" si="230"/>
        <v>0</v>
      </c>
      <c r="BN184" s="51">
        <f t="shared" si="231"/>
        <v>0</v>
      </c>
      <c r="BO184" s="51">
        <f t="shared" si="232"/>
        <v>0</v>
      </c>
      <c r="BP184" s="51">
        <f t="shared" si="233"/>
        <v>0</v>
      </c>
      <c r="BQ184" s="51">
        <f t="shared" si="234"/>
        <v>0</v>
      </c>
      <c r="BR184" s="51">
        <f t="shared" si="235"/>
        <v>0</v>
      </c>
      <c r="BS184" s="51">
        <f t="shared" si="236"/>
        <v>0</v>
      </c>
      <c r="BT184" s="51">
        <f t="shared" si="237"/>
        <v>0</v>
      </c>
      <c r="BU184" s="20">
        <f t="shared" si="238"/>
        <v>4761.4396153846128</v>
      </c>
      <c r="BV184" s="20">
        <f t="shared" si="239"/>
        <v>4761.4396153847383</v>
      </c>
      <c r="BW184" s="20">
        <f t="shared" si="240"/>
        <v>57137.2753846165</v>
      </c>
      <c r="BX184" s="20">
        <f t="shared" si="241"/>
        <v>57137.27538461535</v>
      </c>
      <c r="BY184" s="20">
        <f t="shared" si="242"/>
        <v>57137.275384616863</v>
      </c>
      <c r="BZ184" s="21">
        <f t="shared" si="243"/>
        <v>57137.275384616245</v>
      </c>
      <c r="CA184" s="19">
        <f t="shared" si="256"/>
        <v>1428431.8846154062</v>
      </c>
      <c r="CB184" s="20">
        <f t="shared" si="244"/>
        <v>1428431.884615381</v>
      </c>
      <c r="CC184" s="20">
        <f t="shared" si="245"/>
        <v>1428431.884615415</v>
      </c>
      <c r="CD184" s="20">
        <f t="shared" si="257"/>
        <v>0</v>
      </c>
      <c r="CE184" s="20">
        <f t="shared" si="261"/>
        <v>1400000</v>
      </c>
      <c r="CF184" s="20">
        <f t="shared" si="254"/>
        <v>1306578.6266768374</v>
      </c>
      <c r="CG184" s="20">
        <f t="shared" si="246"/>
        <v>52263.145067073499</v>
      </c>
      <c r="CH184" s="20">
        <f t="shared" si="255"/>
        <v>4355.2620889227919</v>
      </c>
      <c r="CI184" s="20">
        <f t="shared" si="247"/>
        <v>1292862.9248482708</v>
      </c>
      <c r="CJ184" s="24">
        <f t="shared" si="248"/>
        <v>0.91469438672509484</v>
      </c>
      <c r="CK184" s="24">
        <f t="shared" si="249"/>
        <v>1.0628071369443937E-2</v>
      </c>
      <c r="CL184" s="24">
        <f t="shared" si="250"/>
        <v>3.2395801849891027E-2</v>
      </c>
      <c r="CM184" s="25">
        <f t="shared" si="251"/>
        <v>0.13963057023301673</v>
      </c>
      <c r="CN184" s="17"/>
      <c r="CO184" s="17"/>
      <c r="CP184" s="17"/>
      <c r="CQ184" s="17"/>
      <c r="CR184" s="17"/>
      <c r="CS184" s="17"/>
      <c r="CT184" s="17"/>
      <c r="CU184" s="17"/>
      <c r="CV184" s="17"/>
      <c r="CW184" s="30">
        <v>0</v>
      </c>
      <c r="CX184" s="17"/>
      <c r="CY184" s="17"/>
      <c r="CZ184" s="17"/>
      <c r="DA184" s="17"/>
      <c r="DB184" s="17"/>
    </row>
    <row r="185" spans="1:106" ht="15.75" thickBot="1" x14ac:dyDescent="0.3">
      <c r="A185" s="5">
        <f t="shared" si="258"/>
        <v>39</v>
      </c>
      <c r="B185" s="5">
        <f t="shared" si="258"/>
        <v>37</v>
      </c>
      <c r="C185" s="1">
        <v>47849</v>
      </c>
      <c r="D185" s="4"/>
      <c r="E185" s="30"/>
      <c r="F185" s="30"/>
      <c r="G185" s="30">
        <f t="shared" si="222"/>
        <v>0</v>
      </c>
      <c r="H185" s="30"/>
      <c r="I185" s="10">
        <v>0</v>
      </c>
      <c r="J185" s="60">
        <v>9000</v>
      </c>
      <c r="K185" s="11">
        <v>550</v>
      </c>
      <c r="L185" s="60">
        <f t="shared" si="72"/>
        <v>10862.887222988538</v>
      </c>
      <c r="M185" s="11">
        <v>305</v>
      </c>
      <c r="N185" s="60">
        <v>0</v>
      </c>
      <c r="O185" s="11">
        <v>0</v>
      </c>
      <c r="P185" s="11">
        <v>0</v>
      </c>
      <c r="Q185" s="60">
        <f>(Q184*($K$1/12))+Q184 + $Q$6</f>
        <v>187123.25937422406</v>
      </c>
      <c r="R185" s="60">
        <f>(R184*($K$1/12))+R184</f>
        <v>10075.49539665245</v>
      </c>
      <c r="S185" s="60">
        <f>(S184*($K$1/12))+S184</f>
        <v>8747.5512267033173</v>
      </c>
      <c r="T185" s="60">
        <f>(T184*($K$1/12))+T184+$T$6 + ((3%/12)*T$11)</f>
        <v>722702.60712401289</v>
      </c>
      <c r="U185" s="60">
        <f>(U184*$K$1/12) + U184 + ((U$11/12*7%))</f>
        <v>94125.161781396935</v>
      </c>
      <c r="V185" s="60">
        <v>3100</v>
      </c>
      <c r="W185" s="60">
        <f>(W184*($K$1/12))+W184+$W$6</f>
        <v>65211.685552614392</v>
      </c>
      <c r="X185" s="11">
        <v>0</v>
      </c>
      <c r="Y185" s="60">
        <f>(Y184*($K$1/12))+Y184+$Y$7</f>
        <v>232407.6704490663</v>
      </c>
      <c r="Z185" s="60">
        <f>'Mortgage and Loans'!U147</f>
        <v>122672.30000000003</v>
      </c>
      <c r="AA185" s="12">
        <f t="shared" si="252"/>
        <v>1466883.618127659</v>
      </c>
      <c r="AB185" s="56">
        <f t="shared" si="260"/>
        <v>750</v>
      </c>
      <c r="AC185" s="56">
        <f t="shared" si="260"/>
        <v>750</v>
      </c>
      <c r="AD185" s="56">
        <f t="shared" si="260"/>
        <v>750</v>
      </c>
      <c r="AE185" s="56">
        <f t="shared" si="260"/>
        <v>750</v>
      </c>
      <c r="AF185" s="56">
        <f t="shared" si="259"/>
        <v>261.43961538473889</v>
      </c>
      <c r="AG185" s="56">
        <f t="shared" si="260"/>
        <v>750</v>
      </c>
      <c r="AH185" s="56">
        <f>'Mortgage and Loans'!AF142</f>
        <v>0</v>
      </c>
      <c r="AI185" s="56">
        <f>'Mortgage and Loans'!AQ142</f>
        <v>0</v>
      </c>
      <c r="AJ185" s="56">
        <f>'Mortgage and Loans'!BB142</f>
        <v>0</v>
      </c>
      <c r="AK185" s="56">
        <f>'Mortgage and Loans'!BM142</f>
        <v>0</v>
      </c>
      <c r="AL185" s="56">
        <f>'Mortgage and Loans'!T147</f>
        <v>57327.699999999779</v>
      </c>
      <c r="AM185" s="12">
        <f t="shared" si="12"/>
        <v>-61339.13961538452</v>
      </c>
      <c r="AN185" s="75">
        <f t="shared" si="85"/>
        <v>1405544.4785122743</v>
      </c>
      <c r="AO185" s="86">
        <f>'Mortgage and Loans'!G148</f>
        <v>0</v>
      </c>
      <c r="AP185" s="79">
        <f>('Salary Tax Breakdown'!B$16/12)-Data!AO185</f>
        <v>3447.5</v>
      </c>
      <c r="AQ185" s="87"/>
      <c r="AR185" s="20">
        <f t="shared" si="223"/>
        <v>4011.4396153847388</v>
      </c>
      <c r="AS185" s="20">
        <v>750</v>
      </c>
      <c r="AT185" s="20">
        <v>0</v>
      </c>
      <c r="AU185" s="20">
        <f t="shared" si="224"/>
        <v>4761.4396153847392</v>
      </c>
      <c r="AV185" s="20">
        <f t="shared" si="225"/>
        <v>4761.4396153849457</v>
      </c>
      <c r="AW185" s="51">
        <f t="shared" si="253"/>
        <v>0</v>
      </c>
      <c r="AX185" s="51">
        <f t="shared" si="14"/>
        <v>0</v>
      </c>
      <c r="AY185" s="51">
        <f t="shared" si="15"/>
        <v>0</v>
      </c>
      <c r="AZ185" s="51">
        <f t="shared" si="16"/>
        <v>0</v>
      </c>
      <c r="BA185" s="51">
        <f t="shared" si="17"/>
        <v>0</v>
      </c>
      <c r="BB185" s="51">
        <f t="shared" si="18"/>
        <v>0</v>
      </c>
      <c r="BC185" s="51">
        <f t="shared" si="19"/>
        <v>0</v>
      </c>
      <c r="BD185" s="51">
        <f t="shared" si="20"/>
        <v>0</v>
      </c>
      <c r="BE185" s="51">
        <f t="shared" si="21"/>
        <v>0</v>
      </c>
      <c r="BF185" s="51">
        <f t="shared" si="22"/>
        <v>0</v>
      </c>
      <c r="BG185" s="51">
        <f t="shared" si="23"/>
        <v>0</v>
      </c>
      <c r="BH185" s="51">
        <f t="shared" si="24"/>
        <v>0</v>
      </c>
      <c r="BI185" s="51">
        <f t="shared" si="226"/>
        <v>0</v>
      </c>
      <c r="BJ185" s="51">
        <f t="shared" si="227"/>
        <v>0</v>
      </c>
      <c r="BK185" s="51">
        <f t="shared" si="228"/>
        <v>0</v>
      </c>
      <c r="BL185" s="51">
        <f t="shared" si="229"/>
        <v>0</v>
      </c>
      <c r="BM185" s="51">
        <f t="shared" si="230"/>
        <v>0</v>
      </c>
      <c r="BN185" s="51">
        <f t="shared" si="231"/>
        <v>0</v>
      </c>
      <c r="BO185" s="51">
        <f t="shared" si="232"/>
        <v>0</v>
      </c>
      <c r="BP185" s="51">
        <f t="shared" si="233"/>
        <v>0</v>
      </c>
      <c r="BQ185" s="51">
        <f t="shared" si="234"/>
        <v>0</v>
      </c>
      <c r="BR185" s="51">
        <f t="shared" si="235"/>
        <v>0</v>
      </c>
      <c r="BS185" s="51">
        <f t="shared" si="236"/>
        <v>0</v>
      </c>
      <c r="BT185" s="51">
        <f t="shared" si="237"/>
        <v>0</v>
      </c>
      <c r="BU185" s="20">
        <f t="shared" si="238"/>
        <v>4761.439615384691</v>
      </c>
      <c r="BV185" s="20">
        <f t="shared" si="239"/>
        <v>4761.439615384721</v>
      </c>
      <c r="BW185" s="20">
        <f t="shared" si="240"/>
        <v>57137.275384616871</v>
      </c>
      <c r="BX185" s="20">
        <f t="shared" si="241"/>
        <v>57137.275384616296</v>
      </c>
      <c r="BY185" s="20">
        <f t="shared" si="242"/>
        <v>57137.275384616652</v>
      </c>
      <c r="BZ185" s="21">
        <f t="shared" si="243"/>
        <v>57137.275384616609</v>
      </c>
      <c r="CA185" s="19">
        <f t="shared" si="256"/>
        <v>1428431.8846154152</v>
      </c>
      <c r="CB185" s="20">
        <f t="shared" si="244"/>
        <v>1428431.8846154017</v>
      </c>
      <c r="CC185" s="20">
        <f t="shared" si="245"/>
        <v>1428431.884615412</v>
      </c>
      <c r="CD185" s="20">
        <f t="shared" si="257"/>
        <v>0</v>
      </c>
      <c r="CE185" s="20">
        <f t="shared" si="261"/>
        <v>1400000</v>
      </c>
      <c r="CF185" s="20">
        <f t="shared" si="254"/>
        <v>1320393.4309046704</v>
      </c>
      <c r="CG185" s="20">
        <f t="shared" si="246"/>
        <v>52815.737236186818</v>
      </c>
      <c r="CH185" s="20">
        <f t="shared" si="255"/>
        <v>4401.3114363489012</v>
      </c>
      <c r="CI185" s="20">
        <f t="shared" si="247"/>
        <v>1306603.435691199</v>
      </c>
      <c r="CJ185" s="24">
        <f t="shared" si="248"/>
        <v>0.92436569438533633</v>
      </c>
      <c r="CK185" s="24">
        <f t="shared" si="249"/>
        <v>1.0573266656725911E-2</v>
      </c>
      <c r="CL185" s="24">
        <f t="shared" si="250"/>
        <v>3.2225170503762404E-2</v>
      </c>
      <c r="CM185" s="25">
        <f t="shared" si="251"/>
        <v>0.13881917785866152</v>
      </c>
      <c r="CN185" s="17"/>
      <c r="CO185" s="17"/>
      <c r="CP185" s="17"/>
      <c r="CQ185" s="17"/>
      <c r="CR185" s="17"/>
      <c r="CS185" s="17"/>
      <c r="CT185" s="17"/>
      <c r="CU185" s="17"/>
      <c r="CV185" s="17"/>
      <c r="CW185" s="30">
        <v>0</v>
      </c>
      <c r="CX185" s="17"/>
      <c r="CY185" s="17"/>
      <c r="CZ185" s="17"/>
      <c r="DA185" s="17"/>
      <c r="DB185" s="17"/>
    </row>
    <row r="186" spans="1:106" ht="15.75" thickBot="1" x14ac:dyDescent="0.3">
      <c r="A186" s="5">
        <f t="shared" si="258"/>
        <v>39</v>
      </c>
      <c r="B186" s="5">
        <f t="shared" si="258"/>
        <v>37</v>
      </c>
      <c r="C186" s="1">
        <v>47880</v>
      </c>
      <c r="D186" s="4"/>
      <c r="E186" s="30"/>
      <c r="F186" s="30"/>
      <c r="G186" s="30">
        <f t="shared" si="222"/>
        <v>0</v>
      </c>
      <c r="H186" s="30"/>
      <c r="I186" s="10">
        <v>0</v>
      </c>
      <c r="J186" s="60">
        <v>9000</v>
      </c>
      <c r="K186" s="11">
        <v>550</v>
      </c>
      <c r="L186" s="60">
        <f t="shared" si="72"/>
        <v>10876.013211716316</v>
      </c>
      <c r="M186" s="11">
        <v>305</v>
      </c>
      <c r="N186" s="60">
        <v>0</v>
      </c>
      <c r="O186" s="11">
        <v>0</v>
      </c>
      <c r="P186" s="11">
        <v>0</v>
      </c>
      <c r="Q186" s="60">
        <f>(Q185*($K$1/12))+Q185 + $Q$6</f>
        <v>189053.51369583444</v>
      </c>
      <c r="R186" s="60">
        <f>(R185*($K$1/12))+R185</f>
        <v>10130.07099671765</v>
      </c>
      <c r="S186" s="60">
        <f>(S185*($K$1/12))+S185</f>
        <v>8794.9337958479609</v>
      </c>
      <c r="T186" s="60">
        <f>(T185*($K$1/12))+T185+$T$6 + ((3%/12)*T$11)</f>
        <v>729792.24624593463</v>
      </c>
      <c r="U186" s="60">
        <f>(U185*$K$1/12) + U185 + ((U$11/12*7%))</f>
        <v>95043.339741046162</v>
      </c>
      <c r="V186" s="60">
        <v>3100</v>
      </c>
      <c r="W186" s="60">
        <f>(W185*($K$1/12))+W185+$W$6</f>
        <v>65852.415516024383</v>
      </c>
      <c r="X186" s="11">
        <v>0</v>
      </c>
      <c r="Y186" s="60">
        <f>(Y185*($K$1/12))+Y185+$Y$7</f>
        <v>235616.54533066539</v>
      </c>
      <c r="Z186" s="60">
        <f>'Mortgage and Loans'!U148</f>
        <v>123929.82000000004</v>
      </c>
      <c r="AA186" s="12">
        <f t="shared" si="252"/>
        <v>1482043.8985337869</v>
      </c>
      <c r="AB186" s="56">
        <f t="shared" si="260"/>
        <v>750</v>
      </c>
      <c r="AC186" s="56">
        <f t="shared" si="260"/>
        <v>750</v>
      </c>
      <c r="AD186" s="56">
        <f t="shared" si="260"/>
        <v>750</v>
      </c>
      <c r="AE186" s="56">
        <f t="shared" si="260"/>
        <v>750</v>
      </c>
      <c r="AF186" s="56">
        <f t="shared" si="259"/>
        <v>261.43961538472166</v>
      </c>
      <c r="AG186" s="56">
        <f t="shared" si="260"/>
        <v>750</v>
      </c>
      <c r="AH186" s="56">
        <f>'Mortgage and Loans'!AF143</f>
        <v>0</v>
      </c>
      <c r="AI186" s="56">
        <f>'Mortgage and Loans'!AQ143</f>
        <v>0</v>
      </c>
      <c r="AJ186" s="56">
        <f>'Mortgage and Loans'!BB143</f>
        <v>0</v>
      </c>
      <c r="AK186" s="56">
        <f>'Mortgage and Loans'!BM143</f>
        <v>0</v>
      </c>
      <c r="AL186" s="56">
        <f>'Mortgage and Loans'!T148</f>
        <v>56070.179999999775</v>
      </c>
      <c r="AM186" s="12">
        <f t="shared" si="12"/>
        <v>-60081.619615384494</v>
      </c>
      <c r="AN186" s="75">
        <f t="shared" si="85"/>
        <v>1421962.2789184023</v>
      </c>
      <c r="AO186" s="86">
        <f>'Mortgage and Loans'!G149</f>
        <v>0</v>
      </c>
      <c r="AP186" s="79">
        <f>('Salary Tax Breakdown'!B$16/12)-Data!AO186</f>
        <v>3447.5</v>
      </c>
      <c r="AQ186" s="87"/>
      <c r="AR186" s="20">
        <f t="shared" si="223"/>
        <v>4011.4396153847215</v>
      </c>
      <c r="AS186" s="20">
        <v>750</v>
      </c>
      <c r="AT186" s="20">
        <v>0</v>
      </c>
      <c r="AU186" s="20">
        <f t="shared" si="224"/>
        <v>4761.439615384721</v>
      </c>
      <c r="AV186" s="20">
        <f t="shared" si="225"/>
        <v>4761.439615385274</v>
      </c>
      <c r="AW186" s="51">
        <f t="shared" si="253"/>
        <v>0</v>
      </c>
      <c r="AX186" s="51">
        <f t="shared" si="14"/>
        <v>0</v>
      </c>
      <c r="AY186" s="51">
        <f t="shared" si="15"/>
        <v>0</v>
      </c>
      <c r="AZ186" s="51">
        <f t="shared" si="16"/>
        <v>0</v>
      </c>
      <c r="BA186" s="51">
        <f t="shared" si="17"/>
        <v>0</v>
      </c>
      <c r="BB186" s="51">
        <f t="shared" si="18"/>
        <v>0</v>
      </c>
      <c r="BC186" s="51">
        <f t="shared" si="19"/>
        <v>0</v>
      </c>
      <c r="BD186" s="51">
        <f t="shared" si="20"/>
        <v>0</v>
      </c>
      <c r="BE186" s="51">
        <f t="shared" si="21"/>
        <v>0</v>
      </c>
      <c r="BF186" s="51">
        <f t="shared" si="22"/>
        <v>0</v>
      </c>
      <c r="BG186" s="51">
        <f t="shared" si="23"/>
        <v>0</v>
      </c>
      <c r="BH186" s="51">
        <f t="shared" si="24"/>
        <v>0</v>
      </c>
      <c r="BI186" s="51">
        <f t="shared" si="226"/>
        <v>0</v>
      </c>
      <c r="BJ186" s="51">
        <f t="shared" si="227"/>
        <v>0</v>
      </c>
      <c r="BK186" s="51">
        <f t="shared" si="228"/>
        <v>0</v>
      </c>
      <c r="BL186" s="51">
        <f t="shared" si="229"/>
        <v>0</v>
      </c>
      <c r="BM186" s="51">
        <f t="shared" si="230"/>
        <v>0</v>
      </c>
      <c r="BN186" s="51">
        <f t="shared" si="231"/>
        <v>0</v>
      </c>
      <c r="BO186" s="51">
        <f t="shared" si="232"/>
        <v>0</v>
      </c>
      <c r="BP186" s="51">
        <f t="shared" si="233"/>
        <v>0</v>
      </c>
      <c r="BQ186" s="51">
        <f t="shared" si="234"/>
        <v>0</v>
      </c>
      <c r="BR186" s="51">
        <f t="shared" si="235"/>
        <v>0</v>
      </c>
      <c r="BS186" s="51">
        <f t="shared" si="236"/>
        <v>0</v>
      </c>
      <c r="BT186" s="51">
        <f t="shared" si="237"/>
        <v>0</v>
      </c>
      <c r="BU186" s="20">
        <f t="shared" si="238"/>
        <v>4761.4396153847229</v>
      </c>
      <c r="BV186" s="20">
        <f t="shared" si="239"/>
        <v>4761.4396153846747</v>
      </c>
      <c r="BW186" s="20">
        <f t="shared" si="240"/>
        <v>57137.275384616652</v>
      </c>
      <c r="BX186" s="20">
        <f t="shared" si="241"/>
        <v>57137.275384616674</v>
      </c>
      <c r="BY186" s="20">
        <f t="shared" si="242"/>
        <v>57137.275384616092</v>
      </c>
      <c r="BZ186" s="21">
        <f t="shared" si="243"/>
        <v>57137.275384616478</v>
      </c>
      <c r="CA186" s="19">
        <f t="shared" si="256"/>
        <v>1428431.884615412</v>
      </c>
      <c r="CB186" s="20">
        <f t="shared" si="244"/>
        <v>1428431.8846154111</v>
      </c>
      <c r="CC186" s="20">
        <f t="shared" si="245"/>
        <v>1428431.884615401</v>
      </c>
      <c r="CD186" s="20">
        <f t="shared" si="257"/>
        <v>0</v>
      </c>
      <c r="CE186" s="20">
        <f t="shared" si="261"/>
        <v>1400000</v>
      </c>
      <c r="CF186" s="20">
        <f t="shared" si="254"/>
        <v>1334283.0653220704</v>
      </c>
      <c r="CG186" s="20">
        <f t="shared" si="246"/>
        <v>53371.322612882817</v>
      </c>
      <c r="CH186" s="20">
        <f t="shared" si="255"/>
        <v>4447.6102177402345</v>
      </c>
      <c r="CI186" s="20">
        <f t="shared" si="247"/>
        <v>1320418.3743011926</v>
      </c>
      <c r="CJ186" s="24">
        <f t="shared" si="248"/>
        <v>0.93408938829541099</v>
      </c>
      <c r="CK186" s="24">
        <f t="shared" si="249"/>
        <v>1.051931499529158E-2</v>
      </c>
      <c r="CL186" s="24">
        <f t="shared" si="250"/>
        <v>3.2057232098651203E-2</v>
      </c>
      <c r="CM186" s="25">
        <f t="shared" si="251"/>
        <v>0.13802145701905646</v>
      </c>
      <c r="CN186" s="17"/>
      <c r="CO186" s="17"/>
      <c r="CP186" s="17"/>
      <c r="CQ186" s="17"/>
      <c r="CR186" s="17"/>
      <c r="CS186" s="17"/>
      <c r="CT186" s="17"/>
      <c r="CU186" s="17"/>
      <c r="CV186" s="17"/>
      <c r="CW186" s="30">
        <v>0</v>
      </c>
      <c r="CX186" s="17"/>
      <c r="CY186" s="17"/>
      <c r="CZ186" s="17"/>
      <c r="DA186" s="17"/>
      <c r="DB186" s="17"/>
    </row>
    <row r="187" spans="1:106" ht="15.75" thickBot="1" x14ac:dyDescent="0.3">
      <c r="A187" s="5">
        <f t="shared" si="258"/>
        <v>39</v>
      </c>
      <c r="B187" s="5">
        <f t="shared" si="258"/>
        <v>37</v>
      </c>
      <c r="C187" s="1">
        <v>47908</v>
      </c>
      <c r="D187" s="4"/>
      <c r="E187" s="30"/>
      <c r="F187" s="30"/>
      <c r="G187" s="30">
        <f t="shared" ref="G187:G250" si="262">IF(F187=0,IF(F451=1,1,0),0)</f>
        <v>0</v>
      </c>
      <c r="H187" s="30"/>
      <c r="I187" s="10">
        <v>0</v>
      </c>
      <c r="J187" s="60">
        <v>9000</v>
      </c>
      <c r="K187" s="11">
        <v>550</v>
      </c>
      <c r="L187" s="60">
        <f t="shared" si="72"/>
        <v>10889.155061013806</v>
      </c>
      <c r="M187" s="11">
        <v>305</v>
      </c>
      <c r="N187" s="60">
        <v>0</v>
      </c>
      <c r="O187" s="11">
        <v>0</v>
      </c>
      <c r="P187" s="11">
        <v>0</v>
      </c>
      <c r="Q187" s="60">
        <f>(Q186*($K$1/12))+Q186 + $Q$6</f>
        <v>190994.2235616869</v>
      </c>
      <c r="R187" s="60">
        <f>(R186*($K$1/12))+R186</f>
        <v>10184.942214616538</v>
      </c>
      <c r="S187" s="60">
        <f>(S186*($K$1/12))+S186</f>
        <v>8842.5730205754699</v>
      </c>
      <c r="T187" s="60">
        <f>(T186*($K$1/12))+T186+$T$6 + ((3%/12)*T$11)</f>
        <v>736920.28757976682</v>
      </c>
      <c r="U187" s="60">
        <f>(U186*$K$1/12) + U186 + ((U$11/12*7%))</f>
        <v>95966.491164643492</v>
      </c>
      <c r="V187" s="60">
        <v>3100</v>
      </c>
      <c r="W187" s="60">
        <f>(W186*($K$1/12))+W186+$W$6</f>
        <v>66496.616100069514</v>
      </c>
      <c r="X187" s="11">
        <v>0</v>
      </c>
      <c r="Y187" s="60">
        <f>(Y186*($K$1/12))+Y186+$Y$7</f>
        <v>238842.80161787316</v>
      </c>
      <c r="Z187" s="60">
        <f>'Mortgage and Loans'!U149</f>
        <v>125191.67000000004</v>
      </c>
      <c r="AA187" s="12">
        <f t="shared" si="252"/>
        <v>1497283.7603202458</v>
      </c>
      <c r="AB187" s="56">
        <f t="shared" si="260"/>
        <v>750</v>
      </c>
      <c r="AC187" s="56">
        <f t="shared" si="260"/>
        <v>750</v>
      </c>
      <c r="AD187" s="56">
        <f t="shared" si="260"/>
        <v>750</v>
      </c>
      <c r="AE187" s="56">
        <f t="shared" si="260"/>
        <v>750</v>
      </c>
      <c r="AF187" s="56">
        <f t="shared" si="259"/>
        <v>261.43961538467556</v>
      </c>
      <c r="AG187" s="56">
        <f t="shared" si="260"/>
        <v>750</v>
      </c>
      <c r="AH187" s="56">
        <f>'Mortgage and Loans'!AF144</f>
        <v>0</v>
      </c>
      <c r="AI187" s="56">
        <f>'Mortgage and Loans'!AQ144</f>
        <v>0</v>
      </c>
      <c r="AJ187" s="56">
        <f>'Mortgage and Loans'!BB144</f>
        <v>0</v>
      </c>
      <c r="AK187" s="56">
        <f>'Mortgage and Loans'!BM144</f>
        <v>0</v>
      </c>
      <c r="AL187" s="56">
        <f>'Mortgage and Loans'!T149</f>
        <v>54808.329999999769</v>
      </c>
      <c r="AM187" s="12">
        <f t="shared" si="12"/>
        <v>-58819.769615384444</v>
      </c>
      <c r="AN187" s="75">
        <f t="shared" si="85"/>
        <v>1438463.9907048612</v>
      </c>
      <c r="AO187" s="86">
        <f>'Mortgage and Loans'!G150</f>
        <v>0</v>
      </c>
      <c r="AP187" s="79">
        <f>('Salary Tax Breakdown'!B$16/12)-Data!AO187</f>
        <v>3447.5</v>
      </c>
      <c r="AQ187" s="87"/>
      <c r="AR187" s="20">
        <f t="shared" si="223"/>
        <v>4011.4396153846756</v>
      </c>
      <c r="AS187" s="20">
        <v>750</v>
      </c>
      <c r="AT187" s="20">
        <v>0</v>
      </c>
      <c r="AU187" s="20">
        <f t="shared" si="224"/>
        <v>4761.4396153846756</v>
      </c>
      <c r="AV187" s="20">
        <f t="shared" si="225"/>
        <v>4761.4396153853013</v>
      </c>
      <c r="AW187" s="51">
        <f t="shared" si="253"/>
        <v>0</v>
      </c>
      <c r="AX187" s="51">
        <f t="shared" si="14"/>
        <v>0</v>
      </c>
      <c r="AY187" s="51">
        <f t="shared" si="15"/>
        <v>0</v>
      </c>
      <c r="AZ187" s="51">
        <f t="shared" si="16"/>
        <v>0</v>
      </c>
      <c r="BA187" s="51">
        <f t="shared" si="17"/>
        <v>0</v>
      </c>
      <c r="BB187" s="51">
        <f t="shared" si="18"/>
        <v>0</v>
      </c>
      <c r="BC187" s="51">
        <f t="shared" si="19"/>
        <v>0</v>
      </c>
      <c r="BD187" s="51">
        <f t="shared" si="20"/>
        <v>0</v>
      </c>
      <c r="BE187" s="51">
        <f t="shared" si="21"/>
        <v>0</v>
      </c>
      <c r="BF187" s="51">
        <f t="shared" si="22"/>
        <v>0</v>
      </c>
      <c r="BG187" s="51">
        <f t="shared" si="23"/>
        <v>0</v>
      </c>
      <c r="BH187" s="51">
        <f t="shared" si="24"/>
        <v>0</v>
      </c>
      <c r="BI187" s="51">
        <f t="shared" si="226"/>
        <v>0</v>
      </c>
      <c r="BJ187" s="51">
        <f t="shared" si="227"/>
        <v>0</v>
      </c>
      <c r="BK187" s="51">
        <f t="shared" si="228"/>
        <v>0</v>
      </c>
      <c r="BL187" s="51">
        <f t="shared" si="229"/>
        <v>0</v>
      </c>
      <c r="BM187" s="51">
        <f t="shared" si="230"/>
        <v>0</v>
      </c>
      <c r="BN187" s="51">
        <f t="shared" si="231"/>
        <v>0</v>
      </c>
      <c r="BO187" s="51">
        <f t="shared" si="232"/>
        <v>0</v>
      </c>
      <c r="BP187" s="51">
        <f t="shared" si="233"/>
        <v>0</v>
      </c>
      <c r="BQ187" s="51">
        <f t="shared" si="234"/>
        <v>0</v>
      </c>
      <c r="BR187" s="51">
        <f t="shared" si="235"/>
        <v>0</v>
      </c>
      <c r="BS187" s="51">
        <f t="shared" si="236"/>
        <v>0</v>
      </c>
      <c r="BT187" s="51">
        <f t="shared" si="237"/>
        <v>0</v>
      </c>
      <c r="BU187" s="20">
        <f t="shared" si="238"/>
        <v>4761.4396153847119</v>
      </c>
      <c r="BV187" s="20">
        <f t="shared" si="239"/>
        <v>4761.4396153846228</v>
      </c>
      <c r="BW187" s="20">
        <f t="shared" si="240"/>
        <v>57137.275384616107</v>
      </c>
      <c r="BX187" s="20">
        <f t="shared" si="241"/>
        <v>57137.275384616543</v>
      </c>
      <c r="BY187" s="20">
        <f t="shared" si="242"/>
        <v>57137.275384615474</v>
      </c>
      <c r="BZ187" s="21">
        <f t="shared" si="243"/>
        <v>57137.275384616041</v>
      </c>
      <c r="CA187" s="19">
        <f t="shared" si="256"/>
        <v>1428431.884615401</v>
      </c>
      <c r="CB187" s="20">
        <f t="shared" si="244"/>
        <v>1428431.8846154094</v>
      </c>
      <c r="CC187" s="20">
        <f t="shared" si="245"/>
        <v>1428431.884615388</v>
      </c>
      <c r="CD187" s="20">
        <f t="shared" si="257"/>
        <v>0</v>
      </c>
      <c r="CE187" s="20">
        <f t="shared" si="261"/>
        <v>1400000</v>
      </c>
      <c r="CF187" s="20">
        <f t="shared" si="254"/>
        <v>1348247.9352592321</v>
      </c>
      <c r="CG187" s="20">
        <f t="shared" si="246"/>
        <v>53929.917410369286</v>
      </c>
      <c r="CH187" s="20">
        <f t="shared" si="255"/>
        <v>4494.1597841974408</v>
      </c>
      <c r="CI187" s="20">
        <f t="shared" si="247"/>
        <v>1334308.1438286577</v>
      </c>
      <c r="CJ187" s="24">
        <f t="shared" si="248"/>
        <v>0.9438657522141729</v>
      </c>
      <c r="CK187" s="24">
        <f t="shared" si="249"/>
        <v>1.0466197391024242E-2</v>
      </c>
      <c r="CL187" s="24">
        <f t="shared" si="250"/>
        <v>3.189192577593028E-2</v>
      </c>
      <c r="CM187" s="25">
        <f t="shared" si="251"/>
        <v>0.13723707641305091</v>
      </c>
      <c r="CN187" s="17"/>
      <c r="CO187" s="17"/>
      <c r="CP187" s="17"/>
      <c r="CQ187" s="17"/>
      <c r="CR187" s="17"/>
      <c r="CS187" s="17"/>
      <c r="CT187" s="17"/>
      <c r="CU187" s="17"/>
      <c r="CV187" s="17"/>
      <c r="CW187" s="30">
        <v>0</v>
      </c>
      <c r="CX187" s="17"/>
      <c r="CY187" s="17"/>
      <c r="CZ187" s="17"/>
      <c r="DA187" s="17"/>
      <c r="DB187" s="17"/>
    </row>
    <row r="188" spans="1:106" ht="15.75" thickBot="1" x14ac:dyDescent="0.3">
      <c r="A188" s="5">
        <f t="shared" si="258"/>
        <v>39</v>
      </c>
      <c r="B188" s="5">
        <f t="shared" si="258"/>
        <v>37</v>
      </c>
      <c r="C188" s="1">
        <v>47939</v>
      </c>
      <c r="D188" s="4"/>
      <c r="E188" s="30"/>
      <c r="F188" s="30"/>
      <c r="G188" s="30">
        <f t="shared" si="262"/>
        <v>0</v>
      </c>
      <c r="H188" s="30"/>
      <c r="I188" s="10">
        <v>0</v>
      </c>
      <c r="J188" s="60">
        <v>9000</v>
      </c>
      <c r="K188" s="11">
        <v>550</v>
      </c>
      <c r="L188" s="60">
        <f t="shared" si="72"/>
        <v>10902.312790045864</v>
      </c>
      <c r="M188" s="11">
        <v>305</v>
      </c>
      <c r="N188" s="60">
        <v>0</v>
      </c>
      <c r="O188" s="11">
        <v>0</v>
      </c>
      <c r="P188" s="11">
        <v>0</v>
      </c>
      <c r="Q188" s="60">
        <f>(Q187*($K$1/12))+Q187 + $Q$6</f>
        <v>192945.44560597939</v>
      </c>
      <c r="R188" s="60">
        <f>(R187*($K$1/12))+R187</f>
        <v>10240.110651612378</v>
      </c>
      <c r="S188" s="60">
        <f>(S187*($K$1/12))+S187</f>
        <v>8890.4702911035874</v>
      </c>
      <c r="T188" s="60">
        <f>(T187*($K$1/12))+T187+$T$6 + ((3%/12)*T$11)</f>
        <v>744086.93913749058</v>
      </c>
      <c r="U188" s="60">
        <f>(U187*$K$1/12) + U187 + ((U$11/12*7%))</f>
        <v>96894.642991785309</v>
      </c>
      <c r="V188" s="60">
        <v>3100</v>
      </c>
      <c r="W188" s="60">
        <f>(W187*($K$1/12))+W187+$W$6</f>
        <v>67144.306103944895</v>
      </c>
      <c r="X188" s="11">
        <v>0</v>
      </c>
      <c r="Y188" s="60">
        <f>(Y187*($K$1/12))+Y187+$Y$7</f>
        <v>242086.53345996997</v>
      </c>
      <c r="Z188" s="60">
        <f>'Mortgage and Loans'!U150</f>
        <v>126457.86000000004</v>
      </c>
      <c r="AA188" s="12">
        <f t="shared" si="252"/>
        <v>1512603.6210319321</v>
      </c>
      <c r="AB188" s="56">
        <f t="shared" si="260"/>
        <v>750</v>
      </c>
      <c r="AC188" s="56">
        <f t="shared" si="260"/>
        <v>750</v>
      </c>
      <c r="AD188" s="56">
        <f t="shared" si="260"/>
        <v>750</v>
      </c>
      <c r="AE188" s="56">
        <f t="shared" si="260"/>
        <v>750</v>
      </c>
      <c r="AF188" s="56">
        <f t="shared" si="259"/>
        <v>261.43961538462338</v>
      </c>
      <c r="AG188" s="56">
        <f t="shared" si="260"/>
        <v>750</v>
      </c>
      <c r="AH188" s="56">
        <f>'Mortgage and Loans'!AF145</f>
        <v>0</v>
      </c>
      <c r="AI188" s="56">
        <f>'Mortgage and Loans'!AQ145</f>
        <v>0</v>
      </c>
      <c r="AJ188" s="56">
        <f>'Mortgage and Loans'!BB145</f>
        <v>0</v>
      </c>
      <c r="AK188" s="56">
        <f>'Mortgage and Loans'!BM145</f>
        <v>0</v>
      </c>
      <c r="AL188" s="56">
        <f>'Mortgage and Loans'!T150</f>
        <v>53542.139999999767</v>
      </c>
      <c r="AM188" s="12">
        <f t="shared" si="12"/>
        <v>-57553.579615384391</v>
      </c>
      <c r="AN188" s="75">
        <f t="shared" si="85"/>
        <v>1455050.0414165477</v>
      </c>
      <c r="AO188" s="86">
        <f>'Mortgage and Loans'!G151</f>
        <v>0</v>
      </c>
      <c r="AP188" s="79">
        <f>('Salary Tax Breakdown'!B$16/12)-Data!AO188</f>
        <v>3447.5</v>
      </c>
      <c r="AQ188" s="87"/>
      <c r="AR188" s="20">
        <f t="shared" si="223"/>
        <v>4011.4396153846233</v>
      </c>
      <c r="AS188" s="20">
        <v>750</v>
      </c>
      <c r="AT188" s="20">
        <v>0</v>
      </c>
      <c r="AU188" s="20">
        <f t="shared" si="224"/>
        <v>4761.4396153846228</v>
      </c>
      <c r="AV188" s="20">
        <f t="shared" si="225"/>
        <v>4761.439615385103</v>
      </c>
      <c r="AW188" s="51">
        <f t="shared" si="253"/>
        <v>0</v>
      </c>
      <c r="AX188" s="51">
        <f t="shared" si="14"/>
        <v>0</v>
      </c>
      <c r="AY188" s="51">
        <f t="shared" si="15"/>
        <v>0</v>
      </c>
      <c r="AZ188" s="51">
        <f t="shared" si="16"/>
        <v>0</v>
      </c>
      <c r="BA188" s="51">
        <f t="shared" si="17"/>
        <v>0</v>
      </c>
      <c r="BB188" s="51">
        <f t="shared" si="18"/>
        <v>0</v>
      </c>
      <c r="BC188" s="51">
        <f t="shared" si="19"/>
        <v>0</v>
      </c>
      <c r="BD188" s="51">
        <f t="shared" si="20"/>
        <v>0</v>
      </c>
      <c r="BE188" s="51">
        <f t="shared" si="21"/>
        <v>0</v>
      </c>
      <c r="BF188" s="51">
        <f t="shared" si="22"/>
        <v>0</v>
      </c>
      <c r="BG188" s="51">
        <f t="shared" si="23"/>
        <v>0</v>
      </c>
      <c r="BH188" s="51">
        <f t="shared" si="24"/>
        <v>0</v>
      </c>
      <c r="BI188" s="51">
        <f t="shared" si="226"/>
        <v>0</v>
      </c>
      <c r="BJ188" s="51">
        <f t="shared" si="227"/>
        <v>0</v>
      </c>
      <c r="BK188" s="51">
        <f t="shared" si="228"/>
        <v>0</v>
      </c>
      <c r="BL188" s="51">
        <f t="shared" si="229"/>
        <v>0</v>
      </c>
      <c r="BM188" s="51">
        <f t="shared" si="230"/>
        <v>0</v>
      </c>
      <c r="BN188" s="51">
        <f t="shared" si="231"/>
        <v>0</v>
      </c>
      <c r="BO188" s="51">
        <f t="shared" si="232"/>
        <v>0</v>
      </c>
      <c r="BP188" s="51">
        <f t="shared" si="233"/>
        <v>0</v>
      </c>
      <c r="BQ188" s="51">
        <f t="shared" si="234"/>
        <v>0</v>
      </c>
      <c r="BR188" s="51">
        <f t="shared" si="235"/>
        <v>0</v>
      </c>
      <c r="BS188" s="51">
        <f t="shared" si="236"/>
        <v>0</v>
      </c>
      <c r="BT188" s="51">
        <f t="shared" si="237"/>
        <v>0</v>
      </c>
      <c r="BU188" s="20">
        <f t="shared" si="238"/>
        <v>4761.4396153846728</v>
      </c>
      <c r="BV188" s="20">
        <f t="shared" si="239"/>
        <v>4761.4396153845837</v>
      </c>
      <c r="BW188" s="20">
        <f t="shared" si="240"/>
        <v>57137.275384615474</v>
      </c>
      <c r="BX188" s="20">
        <f t="shared" si="241"/>
        <v>57137.275384616078</v>
      </c>
      <c r="BY188" s="20">
        <f t="shared" si="242"/>
        <v>57137.275384615001</v>
      </c>
      <c r="BZ188" s="21">
        <f t="shared" si="243"/>
        <v>57137.275384615517</v>
      </c>
      <c r="CA188" s="19">
        <f t="shared" si="256"/>
        <v>1428431.884615388</v>
      </c>
      <c r="CB188" s="20">
        <f t="shared" si="244"/>
        <v>1428431.8846154001</v>
      </c>
      <c r="CC188" s="20">
        <f t="shared" si="245"/>
        <v>1428431.8846153775</v>
      </c>
      <c r="CD188" s="20">
        <f t="shared" si="257"/>
        <v>0</v>
      </c>
      <c r="CE188" s="20">
        <f t="shared" si="261"/>
        <v>1400000</v>
      </c>
      <c r="CF188" s="20">
        <f t="shared" si="254"/>
        <v>1362288.4482418862</v>
      </c>
      <c r="CG188" s="20">
        <f t="shared" si="246"/>
        <v>54491.537929675447</v>
      </c>
      <c r="CH188" s="20">
        <f t="shared" si="255"/>
        <v>4540.9614941396203</v>
      </c>
      <c r="CI188" s="20">
        <f t="shared" si="247"/>
        <v>1348273.1496077296</v>
      </c>
      <c r="CJ188" s="24">
        <f t="shared" si="248"/>
        <v>0.95369507143749965</v>
      </c>
      <c r="CK188" s="24">
        <f t="shared" si="249"/>
        <v>1.0413895408602674E-2</v>
      </c>
      <c r="CL188" s="24">
        <f t="shared" si="250"/>
        <v>3.1729192494173018E-2</v>
      </c>
      <c r="CM188" s="25">
        <f t="shared" si="251"/>
        <v>0.13646571534535148</v>
      </c>
      <c r="CN188" s="17"/>
      <c r="CO188" s="17"/>
      <c r="CP188" s="17"/>
      <c r="CQ188" s="17"/>
      <c r="CR188" s="17"/>
      <c r="CS188" s="17"/>
      <c r="CT188" s="17"/>
      <c r="CU188" s="17"/>
      <c r="CV188" s="17"/>
      <c r="CW188" s="30">
        <v>0</v>
      </c>
      <c r="CX188" s="17"/>
      <c r="CY188" s="17"/>
      <c r="CZ188" s="17"/>
      <c r="DA188" s="17"/>
      <c r="DB188" s="17"/>
    </row>
    <row r="189" spans="1:106" ht="15.75" thickBot="1" x14ac:dyDescent="0.3">
      <c r="A189" s="5">
        <f t="shared" si="258"/>
        <v>39</v>
      </c>
      <c r="B189" s="5">
        <f t="shared" si="258"/>
        <v>37</v>
      </c>
      <c r="C189" s="1">
        <v>47969</v>
      </c>
      <c r="D189" s="4"/>
      <c r="E189" s="30"/>
      <c r="F189" s="30"/>
      <c r="G189" s="30">
        <f t="shared" si="262"/>
        <v>0</v>
      </c>
      <c r="H189" s="30"/>
      <c r="I189" s="10">
        <v>0</v>
      </c>
      <c r="J189" s="60">
        <v>9000</v>
      </c>
      <c r="K189" s="11">
        <v>550</v>
      </c>
      <c r="L189" s="60">
        <f t="shared" si="72"/>
        <v>10915.486418000502</v>
      </c>
      <c r="M189" s="11">
        <v>305</v>
      </c>
      <c r="N189" s="60">
        <v>0</v>
      </c>
      <c r="O189" s="11">
        <v>0</v>
      </c>
      <c r="P189" s="11">
        <v>0</v>
      </c>
      <c r="Q189" s="60">
        <f>(Q188*($K$1/12))+Q188 + $Q$6</f>
        <v>194907.23676967845</v>
      </c>
      <c r="R189" s="60">
        <f>(R188*($K$1/12))+R188</f>
        <v>10295.577917641946</v>
      </c>
      <c r="S189" s="60">
        <f>(S188*($K$1/12))+S188</f>
        <v>8938.6270051803986</v>
      </c>
      <c r="T189" s="60">
        <f>(T188*($K$1/12))+T188+$T$6 + ((3%/12)*T$11)</f>
        <v>751292.41005781863</v>
      </c>
      <c r="U189" s="60">
        <f>(U188*$K$1/12) + U188 + ((U$11/12*7%))</f>
        <v>97827.822307990806</v>
      </c>
      <c r="V189" s="60">
        <v>3100</v>
      </c>
      <c r="W189" s="60">
        <f>(W188*($K$1/12))+W188+$W$6</f>
        <v>67795.504428674598</v>
      </c>
      <c r="X189" s="11">
        <v>0</v>
      </c>
      <c r="Y189" s="60">
        <f>(Y188*($K$1/12))+Y188+$Y$7</f>
        <v>245347.83551621146</v>
      </c>
      <c r="Z189" s="60">
        <f>'Mortgage and Loans'!U151</f>
        <v>127728.41000000005</v>
      </c>
      <c r="AA189" s="12">
        <f t="shared" si="252"/>
        <v>1528003.9104211973</v>
      </c>
      <c r="AB189" s="56">
        <f t="shared" si="260"/>
        <v>750</v>
      </c>
      <c r="AC189" s="56">
        <f t="shared" si="260"/>
        <v>750</v>
      </c>
      <c r="AD189" s="56">
        <f t="shared" si="260"/>
        <v>750</v>
      </c>
      <c r="AE189" s="56">
        <f t="shared" si="260"/>
        <v>750</v>
      </c>
      <c r="AF189" s="56">
        <f t="shared" si="259"/>
        <v>261.43961538458342</v>
      </c>
      <c r="AG189" s="56">
        <f t="shared" si="260"/>
        <v>750</v>
      </c>
      <c r="AH189" s="56">
        <f>'Mortgage and Loans'!AF146</f>
        <v>0</v>
      </c>
      <c r="AI189" s="56">
        <f>'Mortgage and Loans'!AQ146</f>
        <v>0</v>
      </c>
      <c r="AJ189" s="56">
        <f>'Mortgage and Loans'!BB146</f>
        <v>0</v>
      </c>
      <c r="AK189" s="56">
        <f>'Mortgage and Loans'!BM146</f>
        <v>0</v>
      </c>
      <c r="AL189" s="56">
        <f>'Mortgage and Loans'!T151</f>
        <v>52271.589999999764</v>
      </c>
      <c r="AM189" s="12">
        <f t="shared" si="12"/>
        <v>-56283.029615384345</v>
      </c>
      <c r="AN189" s="75">
        <f t="shared" si="85"/>
        <v>1471720.880805813</v>
      </c>
      <c r="AO189" s="86">
        <f>'Mortgage and Loans'!G152</f>
        <v>0</v>
      </c>
      <c r="AP189" s="79">
        <f>('Salary Tax Breakdown'!B$16/12)-Data!AO189</f>
        <v>3447.5</v>
      </c>
      <c r="AQ189" s="87"/>
      <c r="AR189" s="20">
        <f t="shared" ref="AR189:AR252" si="263">SUM(AB189:AG189)</f>
        <v>4011.4396153845832</v>
      </c>
      <c r="AS189" s="20">
        <v>750</v>
      </c>
      <c r="AT189" s="20">
        <v>0</v>
      </c>
      <c r="AU189" s="20">
        <f t="shared" ref="AU189:AU252" si="264">SUM(AR189:AT189)</f>
        <v>4761.4396153845828</v>
      </c>
      <c r="AV189" s="20">
        <f t="shared" ref="AV189:AV252" si="265">AU177</f>
        <v>4761.4396153848056</v>
      </c>
      <c r="AW189" s="51">
        <f t="shared" si="253"/>
        <v>0</v>
      </c>
      <c r="AX189" s="51">
        <f t="shared" si="14"/>
        <v>0</v>
      </c>
      <c r="AY189" s="51">
        <f t="shared" si="15"/>
        <v>0</v>
      </c>
      <c r="AZ189" s="51">
        <f t="shared" si="16"/>
        <v>0</v>
      </c>
      <c r="BA189" s="51">
        <f t="shared" si="17"/>
        <v>0</v>
      </c>
      <c r="BB189" s="51">
        <f t="shared" si="18"/>
        <v>0</v>
      </c>
      <c r="BC189" s="51">
        <f t="shared" si="19"/>
        <v>0</v>
      </c>
      <c r="BD189" s="51">
        <f t="shared" si="20"/>
        <v>0</v>
      </c>
      <c r="BE189" s="51">
        <f t="shared" si="21"/>
        <v>0</v>
      </c>
      <c r="BF189" s="51">
        <f t="shared" si="22"/>
        <v>0</v>
      </c>
      <c r="BG189" s="51">
        <f t="shared" si="23"/>
        <v>0</v>
      </c>
      <c r="BH189" s="51">
        <f t="shared" si="24"/>
        <v>0</v>
      </c>
      <c r="BI189" s="51">
        <f t="shared" ref="BI189:BI252" si="266">$AU189*AW189</f>
        <v>0</v>
      </c>
      <c r="BJ189" s="51">
        <f t="shared" ref="BJ189:BJ252" si="267">$AU189*AX189</f>
        <v>0</v>
      </c>
      <c r="BK189" s="51">
        <f t="shared" ref="BK189:BK252" si="268">$AU189*AY189</f>
        <v>0</v>
      </c>
      <c r="BL189" s="51">
        <f t="shared" ref="BL189:BL252" si="269">$AU189*AZ189</f>
        <v>0</v>
      </c>
      <c r="BM189" s="51">
        <f t="shared" ref="BM189:BM252" si="270">$AU189*BA189</f>
        <v>0</v>
      </c>
      <c r="BN189" s="51">
        <f t="shared" ref="BN189:BN252" si="271">$AU189*BB189</f>
        <v>0</v>
      </c>
      <c r="BO189" s="51">
        <f t="shared" ref="BO189:BO252" si="272">$AU189*BC189</f>
        <v>0</v>
      </c>
      <c r="BP189" s="51">
        <f t="shared" ref="BP189:BP252" si="273">$AU189*BD189</f>
        <v>0</v>
      </c>
      <c r="BQ189" s="51">
        <f t="shared" ref="BQ189:BQ252" si="274">$AU189*BE189</f>
        <v>0</v>
      </c>
      <c r="BR189" s="51">
        <f t="shared" ref="BR189:BR252" si="275">$AU189*BF189</f>
        <v>0</v>
      </c>
      <c r="BS189" s="51">
        <f t="shared" ref="BS189:BS252" si="276">$AU189*BG189</f>
        <v>0</v>
      </c>
      <c r="BT189" s="51">
        <f t="shared" ref="BT189:BT252" si="277">$AU189*BH189</f>
        <v>0</v>
      </c>
      <c r="BU189" s="20">
        <f t="shared" ref="BU189:BU252" si="278">AVERAGE(AU187:AU189)</f>
        <v>4761.4396153846274</v>
      </c>
      <c r="BV189" s="20">
        <f t="shared" ref="BV189:BV252" si="279">AVERAGE(AU178:AU189)</f>
        <v>4761.4396153845646</v>
      </c>
      <c r="BW189" s="20">
        <f t="shared" ref="BW189:BW252" si="280">AU189*12</f>
        <v>57137.275384614994</v>
      </c>
      <c r="BX189" s="20">
        <f t="shared" ref="BX189:BX252" si="281">BU189*12</f>
        <v>57137.275384615525</v>
      </c>
      <c r="BY189" s="20">
        <f t="shared" ref="BY189:BY252" si="282">BV189*12</f>
        <v>57137.275384614775</v>
      </c>
      <c r="BZ189" s="21">
        <f t="shared" ref="BZ189:BZ252" si="283">IF(BY189&gt;0,AVERAGE(BW189:BY189), IF(BX189&gt;0,AVERAGE(BW189:BX189), BW189))</f>
        <v>57137.275384615095</v>
      </c>
      <c r="CA189" s="19">
        <f t="shared" si="256"/>
        <v>1428431.8846153773</v>
      </c>
      <c r="CB189" s="20">
        <f t="shared" ref="CB189:CB252" si="284">AVERAGE(CA187:CA189)</f>
        <v>1428431.8846153887</v>
      </c>
      <c r="CC189" s="20">
        <f t="shared" ref="CC189:CC252" si="285">AVERAGE(CA178:CA189)</f>
        <v>1428431.8846153722</v>
      </c>
      <c r="CD189" s="20">
        <f t="shared" si="257"/>
        <v>0</v>
      </c>
      <c r="CE189" s="20">
        <f t="shared" si="261"/>
        <v>1400000</v>
      </c>
      <c r="CF189" s="20">
        <f t="shared" si="254"/>
        <v>1376405.0140031963</v>
      </c>
      <c r="CG189" s="20">
        <f t="shared" ref="CG189:CG252" si="286">CA$11*CF189</f>
        <v>55056.200560127851</v>
      </c>
      <c r="CH189" s="20">
        <f t="shared" si="255"/>
        <v>4588.0167133439872</v>
      </c>
      <c r="CI189" s="20">
        <f t="shared" ref="CI189:CI252" si="287">AVERAGE(CF187:CF189)</f>
        <v>1362313.7991681048</v>
      </c>
      <c r="CJ189" s="24">
        <f t="shared" ref="CJ189:CJ252" si="288">CF189/CB189</f>
        <v>0.96357763280662079</v>
      </c>
      <c r="CK189" s="24">
        <f t="shared" ref="CK189:CK252" si="289">(CF189-CF188)/CF188</f>
        <v>1.0362391151101892E-2</v>
      </c>
      <c r="CL189" s="24">
        <f t="shared" ref="CL189:CL252" si="290">(CF189-CF186)/CF186</f>
        <v>3.1568974961814759E-2</v>
      </c>
      <c r="CM189" s="25">
        <f t="shared" ref="CM189:CM252" si="291">(CF189-CF177)/CF177</f>
        <v>0.13570706330540205</v>
      </c>
      <c r="CN189" s="17"/>
      <c r="CO189" s="17"/>
      <c r="CP189" s="17"/>
      <c r="CQ189" s="17"/>
      <c r="CR189" s="17"/>
      <c r="CS189" s="17"/>
      <c r="CT189" s="17"/>
      <c r="CU189" s="17"/>
      <c r="CV189" s="17"/>
      <c r="CW189" s="30">
        <v>0</v>
      </c>
      <c r="CX189" s="17"/>
      <c r="CY189" s="17"/>
      <c r="CZ189" s="17"/>
      <c r="DA189" s="17"/>
      <c r="DB189" s="17"/>
    </row>
    <row r="190" spans="1:106" ht="15.75" thickBot="1" x14ac:dyDescent="0.3">
      <c r="A190" s="5">
        <f t="shared" si="258"/>
        <v>39</v>
      </c>
      <c r="B190" s="5">
        <f t="shared" si="258"/>
        <v>37</v>
      </c>
      <c r="C190" s="1">
        <v>48000</v>
      </c>
      <c r="D190" s="4"/>
      <c r="E190" s="30"/>
      <c r="F190" s="30"/>
      <c r="G190" s="30">
        <f t="shared" si="262"/>
        <v>0</v>
      </c>
      <c r="H190" s="30"/>
      <c r="I190" s="10">
        <v>0</v>
      </c>
      <c r="J190" s="60">
        <v>9000</v>
      </c>
      <c r="K190" s="11">
        <v>550</v>
      </c>
      <c r="L190" s="60">
        <f t="shared" si="72"/>
        <v>10928.675964088919</v>
      </c>
      <c r="M190" s="11">
        <v>305</v>
      </c>
      <c r="N190" s="60">
        <v>0</v>
      </c>
      <c r="O190" s="11">
        <v>0</v>
      </c>
      <c r="P190" s="11">
        <v>0</v>
      </c>
      <c r="Q190" s="60">
        <f>(Q189*($K$1/12))+Q189 + $Q$6</f>
        <v>196879.65430218089</v>
      </c>
      <c r="R190" s="60">
        <f>(R189*($K$1/12))+R189</f>
        <v>10351.345631362507</v>
      </c>
      <c r="S190" s="60">
        <f>(S189*($K$1/12))+S189</f>
        <v>8987.0445681251258</v>
      </c>
      <c r="T190" s="60">
        <f>(T189*($K$1/12))+T189+$T$6 + ((3%/12)*T$11)</f>
        <v>758536.91061229852</v>
      </c>
      <c r="U190" s="60">
        <f>(U189*$K$1/12) + U189 + ((U$11/12*7%))</f>
        <v>98766.056345492412</v>
      </c>
      <c r="V190" s="60">
        <v>3100</v>
      </c>
      <c r="W190" s="60">
        <f>(W189*($K$1/12))+W189+$W$6</f>
        <v>68450.230077663247</v>
      </c>
      <c r="X190" s="11">
        <v>0</v>
      </c>
      <c r="Y190" s="60">
        <f>(Y189*($K$1/12))+Y189+$Y$7</f>
        <v>248626.80295859094</v>
      </c>
      <c r="Z190" s="60">
        <f>'Mortgage and Loans'!U152</f>
        <v>129003.33000000005</v>
      </c>
      <c r="AA190" s="12">
        <f t="shared" si="252"/>
        <v>1543485.0504598026</v>
      </c>
      <c r="AB190" s="56">
        <f t="shared" si="260"/>
        <v>750</v>
      </c>
      <c r="AC190" s="56">
        <f t="shared" si="260"/>
        <v>750</v>
      </c>
      <c r="AD190" s="56">
        <f t="shared" si="260"/>
        <v>750</v>
      </c>
      <c r="AE190" s="56">
        <f t="shared" si="260"/>
        <v>750</v>
      </c>
      <c r="AF190" s="56">
        <f t="shared" si="259"/>
        <v>261.43961538456489</v>
      </c>
      <c r="AG190" s="56">
        <f t="shared" si="260"/>
        <v>750</v>
      </c>
      <c r="AH190" s="56">
        <f>'Mortgage and Loans'!AF147</f>
        <v>0</v>
      </c>
      <c r="AI190" s="56">
        <f>'Mortgage and Loans'!AQ147</f>
        <v>0</v>
      </c>
      <c r="AJ190" s="56">
        <f>'Mortgage and Loans'!BB147</f>
        <v>0</v>
      </c>
      <c r="AK190" s="56">
        <f>'Mortgage and Loans'!BM147</f>
        <v>0</v>
      </c>
      <c r="AL190" s="56">
        <f>'Mortgage and Loans'!T152</f>
        <v>50996.669999999758</v>
      </c>
      <c r="AM190" s="12">
        <f t="shared" si="12"/>
        <v>-55008.109615384325</v>
      </c>
      <c r="AN190" s="75">
        <f t="shared" si="85"/>
        <v>1488476.9408444182</v>
      </c>
      <c r="AO190" s="86">
        <f>'Mortgage and Loans'!G153</f>
        <v>0</v>
      </c>
      <c r="AP190" s="79">
        <f>('Salary Tax Breakdown'!B$16/12)-Data!AO190</f>
        <v>3447.5</v>
      </c>
      <c r="AQ190" s="87"/>
      <c r="AR190" s="20">
        <f t="shared" si="263"/>
        <v>4011.4396153845651</v>
      </c>
      <c r="AS190" s="20">
        <v>750</v>
      </c>
      <c r="AT190" s="20">
        <v>0</v>
      </c>
      <c r="AU190" s="20">
        <f t="shared" si="264"/>
        <v>4761.4396153845646</v>
      </c>
      <c r="AV190" s="20">
        <f t="shared" si="265"/>
        <v>4761.4396153845319</v>
      </c>
      <c r="AW190" s="51">
        <f t="shared" si="253"/>
        <v>0</v>
      </c>
      <c r="AX190" s="51">
        <f t="shared" si="14"/>
        <v>0</v>
      </c>
      <c r="AY190" s="51">
        <f t="shared" si="15"/>
        <v>0</v>
      </c>
      <c r="AZ190" s="51">
        <f t="shared" si="16"/>
        <v>0</v>
      </c>
      <c r="BA190" s="51">
        <f t="shared" si="17"/>
        <v>0</v>
      </c>
      <c r="BB190" s="51">
        <f t="shared" si="18"/>
        <v>0</v>
      </c>
      <c r="BC190" s="51">
        <f t="shared" si="19"/>
        <v>0</v>
      </c>
      <c r="BD190" s="51">
        <f t="shared" si="20"/>
        <v>0</v>
      </c>
      <c r="BE190" s="51">
        <f t="shared" si="21"/>
        <v>0</v>
      </c>
      <c r="BF190" s="51">
        <f t="shared" si="22"/>
        <v>0</v>
      </c>
      <c r="BG190" s="51">
        <f t="shared" si="23"/>
        <v>0</v>
      </c>
      <c r="BH190" s="51">
        <f t="shared" si="24"/>
        <v>0</v>
      </c>
      <c r="BI190" s="51">
        <f t="shared" si="266"/>
        <v>0</v>
      </c>
      <c r="BJ190" s="51">
        <f t="shared" si="267"/>
        <v>0</v>
      </c>
      <c r="BK190" s="51">
        <f t="shared" si="268"/>
        <v>0</v>
      </c>
      <c r="BL190" s="51">
        <f t="shared" si="269"/>
        <v>0</v>
      </c>
      <c r="BM190" s="51">
        <f t="shared" si="270"/>
        <v>0</v>
      </c>
      <c r="BN190" s="51">
        <f t="shared" si="271"/>
        <v>0</v>
      </c>
      <c r="BO190" s="51">
        <f t="shared" si="272"/>
        <v>0</v>
      </c>
      <c r="BP190" s="51">
        <f t="shared" si="273"/>
        <v>0</v>
      </c>
      <c r="BQ190" s="51">
        <f t="shared" si="274"/>
        <v>0</v>
      </c>
      <c r="BR190" s="51">
        <f t="shared" si="275"/>
        <v>0</v>
      </c>
      <c r="BS190" s="51">
        <f t="shared" si="276"/>
        <v>0</v>
      </c>
      <c r="BT190" s="51">
        <f t="shared" si="277"/>
        <v>0</v>
      </c>
      <c r="BU190" s="20">
        <f t="shared" si="278"/>
        <v>4761.4396153845901</v>
      </c>
      <c r="BV190" s="20">
        <f t="shared" si="279"/>
        <v>4761.4396153845673</v>
      </c>
      <c r="BW190" s="20">
        <f t="shared" si="280"/>
        <v>57137.275384614775</v>
      </c>
      <c r="BX190" s="20">
        <f t="shared" si="281"/>
        <v>57137.275384615081</v>
      </c>
      <c r="BY190" s="20">
        <f t="shared" si="282"/>
        <v>57137.275384614812</v>
      </c>
      <c r="BZ190" s="21">
        <f t="shared" si="283"/>
        <v>57137.275384614884</v>
      </c>
      <c r="CA190" s="19">
        <f t="shared" si="256"/>
        <v>1428431.8846153722</v>
      </c>
      <c r="CB190" s="20">
        <f t="shared" si="284"/>
        <v>1428431.8846153792</v>
      </c>
      <c r="CC190" s="20">
        <f t="shared" si="285"/>
        <v>1428431.8846153722</v>
      </c>
      <c r="CD190" s="20">
        <f t="shared" si="257"/>
        <v>0</v>
      </c>
      <c r="CE190" s="20">
        <f t="shared" si="261"/>
        <v>1400000</v>
      </c>
      <c r="CF190" s="20">
        <f t="shared" si="254"/>
        <v>1390598.0444957137</v>
      </c>
      <c r="CG190" s="20">
        <f t="shared" si="286"/>
        <v>55623.921779828546</v>
      </c>
      <c r="CH190" s="20">
        <f t="shared" si="255"/>
        <v>4635.3268149857122</v>
      </c>
      <c r="CI190" s="20">
        <f t="shared" si="287"/>
        <v>1376430.5022469321</v>
      </c>
      <c r="CJ190" s="24">
        <f t="shared" si="288"/>
        <v>0.97351372471649034</v>
      </c>
      <c r="CK190" s="24">
        <f t="shared" si="289"/>
        <v>1.0311667240471445E-2</v>
      </c>
      <c r="CL190" s="24">
        <f t="shared" si="290"/>
        <v>3.141121757278182E-2</v>
      </c>
      <c r="CM190" s="25">
        <f t="shared" si="291"/>
        <v>0.13496081956617051</v>
      </c>
      <c r="CN190" s="17"/>
      <c r="CO190" s="17"/>
      <c r="CP190" s="17"/>
      <c r="CQ190" s="17"/>
      <c r="CR190" s="17"/>
      <c r="CS190" s="17"/>
      <c r="CT190" s="17"/>
      <c r="CU190" s="17"/>
      <c r="CV190" s="17"/>
      <c r="CW190" s="30">
        <v>0</v>
      </c>
      <c r="CX190" s="17"/>
      <c r="CY190" s="17"/>
      <c r="CZ190" s="17"/>
      <c r="DA190" s="17"/>
      <c r="DB190" s="17"/>
    </row>
    <row r="191" spans="1:106" ht="15.75" thickBot="1" x14ac:dyDescent="0.3">
      <c r="A191" s="5">
        <f t="shared" si="258"/>
        <v>39</v>
      </c>
      <c r="B191" s="5">
        <f t="shared" si="258"/>
        <v>37</v>
      </c>
      <c r="C191" s="1">
        <v>48030</v>
      </c>
      <c r="D191" s="4"/>
      <c r="E191" s="30"/>
      <c r="F191" s="30"/>
      <c r="G191" s="30">
        <f t="shared" si="262"/>
        <v>0</v>
      </c>
      <c r="H191" s="30"/>
      <c r="I191" s="10">
        <v>0</v>
      </c>
      <c r="J191" s="60">
        <v>9000</v>
      </c>
      <c r="K191" s="11">
        <v>550</v>
      </c>
      <c r="L191" s="60">
        <f t="shared" si="72"/>
        <v>10941.881447545526</v>
      </c>
      <c r="M191" s="11">
        <v>305</v>
      </c>
      <c r="N191" s="60">
        <v>0</v>
      </c>
      <c r="O191" s="11">
        <v>0</v>
      </c>
      <c r="P191" s="11">
        <v>0</v>
      </c>
      <c r="Q191" s="60">
        <f>(Q190*($K$1/12))+Q190 + $Q$6</f>
        <v>198862.75576298439</v>
      </c>
      <c r="R191" s="60">
        <f>(R190*($K$1/12))+R190</f>
        <v>10407.415420199053</v>
      </c>
      <c r="S191" s="60">
        <f>(S190*($K$1/12))+S190</f>
        <v>9035.7243928691369</v>
      </c>
      <c r="T191" s="60">
        <f>(T190*($K$1/12))+T190+$T$6 + ((3%/12)*T$11)</f>
        <v>765820.65221144853</v>
      </c>
      <c r="U191" s="60">
        <f>(U190*$K$1/12) + U190 + ((U$11/12*7%))</f>
        <v>99709.372484030493</v>
      </c>
      <c r="V191" s="60">
        <v>3100</v>
      </c>
      <c r="W191" s="60">
        <f>(W190*($K$1/12))+W190+$W$6</f>
        <v>69108.502157250594</v>
      </c>
      <c r="X191" s="11">
        <v>0</v>
      </c>
      <c r="Y191" s="60">
        <f>(Y190*($K$1/12))+Y190+$Y$7</f>
        <v>251923.53147461664</v>
      </c>
      <c r="Z191" s="60">
        <f>'Mortgage and Loans'!U153</f>
        <v>130282.64000000004</v>
      </c>
      <c r="AA191" s="12">
        <f t="shared" si="252"/>
        <v>1559047.4753509446</v>
      </c>
      <c r="AB191" s="56">
        <f t="shared" si="260"/>
        <v>750</v>
      </c>
      <c r="AC191" s="56">
        <f t="shared" si="260"/>
        <v>750</v>
      </c>
      <c r="AD191" s="56">
        <f t="shared" si="260"/>
        <v>750</v>
      </c>
      <c r="AE191" s="56">
        <f t="shared" si="260"/>
        <v>750</v>
      </c>
      <c r="AF191" s="56">
        <f t="shared" si="259"/>
        <v>261.43961538456767</v>
      </c>
      <c r="AG191" s="56">
        <f t="shared" si="260"/>
        <v>750</v>
      </c>
      <c r="AH191" s="56">
        <f>'Mortgage and Loans'!AF148</f>
        <v>0</v>
      </c>
      <c r="AI191" s="56">
        <f>'Mortgage and Loans'!AQ148</f>
        <v>0</v>
      </c>
      <c r="AJ191" s="56">
        <f>'Mortgage and Loans'!BB148</f>
        <v>0</v>
      </c>
      <c r="AK191" s="56">
        <f>'Mortgage and Loans'!BM148</f>
        <v>0</v>
      </c>
      <c r="AL191" s="56">
        <f>'Mortgage and Loans'!T153</f>
        <v>49717.359999999753</v>
      </c>
      <c r="AM191" s="12">
        <f t="shared" si="12"/>
        <v>-53728.79961538432</v>
      </c>
      <c r="AN191" s="75">
        <f t="shared" si="85"/>
        <v>1505318.6757355602</v>
      </c>
      <c r="AO191" s="86">
        <f>'Mortgage and Loans'!G154</f>
        <v>0</v>
      </c>
      <c r="AP191" s="79">
        <f>('Salary Tax Breakdown'!B$16/12)-Data!AO191</f>
        <v>3447.5</v>
      </c>
      <c r="AQ191" s="87"/>
      <c r="AR191" s="20">
        <f t="shared" si="263"/>
        <v>4011.4396153845678</v>
      </c>
      <c r="AS191" s="20">
        <v>750</v>
      </c>
      <c r="AT191" s="20">
        <v>0</v>
      </c>
      <c r="AU191" s="20">
        <f t="shared" si="264"/>
        <v>4761.4396153845682</v>
      </c>
      <c r="AV191" s="20">
        <f t="shared" si="265"/>
        <v>4761.4396153843627</v>
      </c>
      <c r="AW191" s="51">
        <f t="shared" si="253"/>
        <v>0</v>
      </c>
      <c r="AX191" s="51">
        <f t="shared" si="14"/>
        <v>0</v>
      </c>
      <c r="AY191" s="51">
        <f t="shared" si="15"/>
        <v>0</v>
      </c>
      <c r="AZ191" s="51">
        <f t="shared" si="16"/>
        <v>0</v>
      </c>
      <c r="BA191" s="51">
        <f t="shared" si="17"/>
        <v>0</v>
      </c>
      <c r="BB191" s="51">
        <f t="shared" si="18"/>
        <v>0</v>
      </c>
      <c r="BC191" s="51">
        <f t="shared" si="19"/>
        <v>0</v>
      </c>
      <c r="BD191" s="51">
        <f t="shared" si="20"/>
        <v>0</v>
      </c>
      <c r="BE191" s="51">
        <f t="shared" si="21"/>
        <v>0</v>
      </c>
      <c r="BF191" s="51">
        <f t="shared" si="22"/>
        <v>0</v>
      </c>
      <c r="BG191" s="51">
        <f t="shared" si="23"/>
        <v>0</v>
      </c>
      <c r="BH191" s="51">
        <f t="shared" si="24"/>
        <v>0</v>
      </c>
      <c r="BI191" s="51">
        <f t="shared" si="266"/>
        <v>0</v>
      </c>
      <c r="BJ191" s="51">
        <f t="shared" si="267"/>
        <v>0</v>
      </c>
      <c r="BK191" s="51">
        <f t="shared" si="268"/>
        <v>0</v>
      </c>
      <c r="BL191" s="51">
        <f t="shared" si="269"/>
        <v>0</v>
      </c>
      <c r="BM191" s="51">
        <f t="shared" si="270"/>
        <v>0</v>
      </c>
      <c r="BN191" s="51">
        <f t="shared" si="271"/>
        <v>0</v>
      </c>
      <c r="BO191" s="51">
        <f t="shared" si="272"/>
        <v>0</v>
      </c>
      <c r="BP191" s="51">
        <f t="shared" si="273"/>
        <v>0</v>
      </c>
      <c r="BQ191" s="51">
        <f t="shared" si="274"/>
        <v>0</v>
      </c>
      <c r="BR191" s="51">
        <f t="shared" si="275"/>
        <v>0</v>
      </c>
      <c r="BS191" s="51">
        <f t="shared" si="276"/>
        <v>0</v>
      </c>
      <c r="BT191" s="51">
        <f t="shared" si="277"/>
        <v>0</v>
      </c>
      <c r="BU191" s="20">
        <f t="shared" si="278"/>
        <v>4761.4396153845719</v>
      </c>
      <c r="BV191" s="20">
        <f t="shared" si="279"/>
        <v>4761.4396153845846</v>
      </c>
      <c r="BW191" s="20">
        <f t="shared" si="280"/>
        <v>57137.275384614819</v>
      </c>
      <c r="BX191" s="20">
        <f t="shared" si="281"/>
        <v>57137.275384614863</v>
      </c>
      <c r="BY191" s="20">
        <f t="shared" si="282"/>
        <v>57137.275384615015</v>
      </c>
      <c r="BZ191" s="21">
        <f t="shared" si="283"/>
        <v>57137.275384614906</v>
      </c>
      <c r="CA191" s="19">
        <f t="shared" si="256"/>
        <v>1428431.8846153726</v>
      </c>
      <c r="CB191" s="20">
        <f t="shared" si="284"/>
        <v>1428431.884615374</v>
      </c>
      <c r="CC191" s="20">
        <f t="shared" si="285"/>
        <v>1428431.8846153764</v>
      </c>
      <c r="CD191" s="20">
        <f t="shared" si="257"/>
        <v>0</v>
      </c>
      <c r="CE191" s="20">
        <f t="shared" si="261"/>
        <v>1400000</v>
      </c>
      <c r="CF191" s="20">
        <f t="shared" si="254"/>
        <v>1404867.9539033987</v>
      </c>
      <c r="CG191" s="20">
        <f t="shared" si="286"/>
        <v>56194.718156135947</v>
      </c>
      <c r="CH191" s="20">
        <f t="shared" si="255"/>
        <v>4682.8931796779952</v>
      </c>
      <c r="CI191" s="20">
        <f t="shared" si="287"/>
        <v>1390623.6708007695</v>
      </c>
      <c r="CJ191" s="24">
        <f t="shared" si="288"/>
        <v>0.98350363712420197</v>
      </c>
      <c r="CK191" s="24">
        <f t="shared" si="289"/>
        <v>1.0261706798861408E-2</v>
      </c>
      <c r="CL191" s="24">
        <f t="shared" si="290"/>
        <v>3.1255866344946155E-2</v>
      </c>
      <c r="CM191" s="25">
        <f t="shared" si="291"/>
        <v>0.13422669280175151</v>
      </c>
      <c r="CN191" s="17"/>
      <c r="CO191" s="17"/>
      <c r="CP191" s="17"/>
      <c r="CQ191" s="17"/>
      <c r="CR191" s="17"/>
      <c r="CS191" s="17"/>
      <c r="CT191" s="17"/>
      <c r="CU191" s="17"/>
      <c r="CV191" s="17"/>
      <c r="CW191" s="30">
        <v>0</v>
      </c>
      <c r="CX191" s="17"/>
      <c r="CY191" s="17"/>
      <c r="CZ191" s="17"/>
      <c r="DA191" s="17"/>
      <c r="DB191" s="17"/>
    </row>
    <row r="192" spans="1:106" ht="15.75" thickBot="1" x14ac:dyDescent="0.3">
      <c r="A192" s="5">
        <f t="shared" si="258"/>
        <v>39</v>
      </c>
      <c r="B192" s="5">
        <f t="shared" si="258"/>
        <v>37</v>
      </c>
      <c r="C192" s="1">
        <v>48061</v>
      </c>
      <c r="D192" s="4"/>
      <c r="E192" s="30"/>
      <c r="F192" s="30"/>
      <c r="G192" s="30">
        <f t="shared" si="262"/>
        <v>0</v>
      </c>
      <c r="H192" s="30"/>
      <c r="I192" s="10">
        <v>0</v>
      </c>
      <c r="J192" s="60">
        <v>9000</v>
      </c>
      <c r="K192" s="11">
        <v>550</v>
      </c>
      <c r="L192" s="60">
        <f t="shared" si="72"/>
        <v>10955.102887627976</v>
      </c>
      <c r="M192" s="11">
        <v>305</v>
      </c>
      <c r="N192" s="60">
        <v>0</v>
      </c>
      <c r="O192" s="11">
        <v>0</v>
      </c>
      <c r="P192" s="11">
        <v>0</v>
      </c>
      <c r="Q192" s="60">
        <f>(Q191*($K$1/12))+Q191 + $Q$6</f>
        <v>200856.59902336725</v>
      </c>
      <c r="R192" s="60">
        <f>(R191*($K$1/12))+R191</f>
        <v>10463.788920391798</v>
      </c>
      <c r="S192" s="60">
        <f>(S191*($K$1/12))+S191</f>
        <v>9084.6678999971773</v>
      </c>
      <c r="T192" s="60">
        <f>(T191*($K$1/12))+T191+$T$6 + ((3%/12)*T$11)</f>
        <v>773143.84741092718</v>
      </c>
      <c r="U192" s="60">
        <f>(U191*$K$1/12) + U191 + ((U$11/12*7%))</f>
        <v>100657.79825165232</v>
      </c>
      <c r="V192" s="60">
        <v>3100</v>
      </c>
      <c r="W192" s="60">
        <f>(W191*($K$1/12))+W191+$W$6</f>
        <v>69770.339877269042</v>
      </c>
      <c r="X192" s="11">
        <v>0</v>
      </c>
      <c r="Y192" s="60">
        <f>(Y191*($K$1/12))+Y191+$Y$7</f>
        <v>255238.11727010415</v>
      </c>
      <c r="Z192" s="60">
        <f>'Mortgage and Loans'!U154</f>
        <v>131566.35000000003</v>
      </c>
      <c r="AA192" s="12">
        <f t="shared" si="252"/>
        <v>1574691.6115413369</v>
      </c>
      <c r="AB192" s="56">
        <f t="shared" si="260"/>
        <v>750</v>
      </c>
      <c r="AC192" s="56">
        <f t="shared" si="260"/>
        <v>750</v>
      </c>
      <c r="AD192" s="56">
        <f t="shared" si="260"/>
        <v>750</v>
      </c>
      <c r="AE192" s="56">
        <f t="shared" si="260"/>
        <v>750</v>
      </c>
      <c r="AF192" s="56">
        <f t="shared" si="259"/>
        <v>261.43961538458484</v>
      </c>
      <c r="AG192" s="56">
        <f t="shared" si="260"/>
        <v>750</v>
      </c>
      <c r="AH192" s="56">
        <f>'Mortgage and Loans'!AF149</f>
        <v>0</v>
      </c>
      <c r="AI192" s="56">
        <f>'Mortgage and Loans'!AQ149</f>
        <v>0</v>
      </c>
      <c r="AJ192" s="56">
        <f>'Mortgage and Loans'!BB149</f>
        <v>0</v>
      </c>
      <c r="AK192" s="56">
        <f>'Mortgage and Loans'!BM149</f>
        <v>0</v>
      </c>
      <c r="AL192" s="56">
        <f>'Mortgage and Loans'!T154</f>
        <v>48433.649999999747</v>
      </c>
      <c r="AM192" s="12">
        <f t="shared" si="12"/>
        <v>-52445.089615384335</v>
      </c>
      <c r="AN192" s="75">
        <f t="shared" si="85"/>
        <v>1522246.5219259525</v>
      </c>
      <c r="AO192" s="86">
        <f>'Mortgage and Loans'!G155</f>
        <v>0</v>
      </c>
      <c r="AP192" s="79">
        <f>('Salary Tax Breakdown'!B$16/12)-Data!AO192</f>
        <v>3447.5</v>
      </c>
      <c r="AQ192" s="87"/>
      <c r="AR192" s="20">
        <f t="shared" si="263"/>
        <v>4011.4396153845846</v>
      </c>
      <c r="AS192" s="20">
        <v>750</v>
      </c>
      <c r="AT192" s="20">
        <v>0</v>
      </c>
      <c r="AU192" s="20">
        <f t="shared" si="264"/>
        <v>4761.4396153845846</v>
      </c>
      <c r="AV192" s="20">
        <f t="shared" si="265"/>
        <v>4761.4396153843209</v>
      </c>
      <c r="AW192" s="51">
        <f t="shared" si="253"/>
        <v>0</v>
      </c>
      <c r="AX192" s="51">
        <f t="shared" si="14"/>
        <v>0</v>
      </c>
      <c r="AY192" s="51">
        <f t="shared" si="15"/>
        <v>0</v>
      </c>
      <c r="AZ192" s="51">
        <f t="shared" si="16"/>
        <v>0</v>
      </c>
      <c r="BA192" s="51">
        <f t="shared" si="17"/>
        <v>0</v>
      </c>
      <c r="BB192" s="51">
        <f t="shared" si="18"/>
        <v>0</v>
      </c>
      <c r="BC192" s="51">
        <f t="shared" si="19"/>
        <v>0</v>
      </c>
      <c r="BD192" s="51">
        <f t="shared" si="20"/>
        <v>0</v>
      </c>
      <c r="BE192" s="51">
        <f t="shared" si="21"/>
        <v>0</v>
      </c>
      <c r="BF192" s="51">
        <f t="shared" si="22"/>
        <v>0</v>
      </c>
      <c r="BG192" s="51">
        <f t="shared" si="23"/>
        <v>0</v>
      </c>
      <c r="BH192" s="51">
        <f t="shared" si="24"/>
        <v>0</v>
      </c>
      <c r="BI192" s="51">
        <f t="shared" si="266"/>
        <v>0</v>
      </c>
      <c r="BJ192" s="51">
        <f t="shared" si="267"/>
        <v>0</v>
      </c>
      <c r="BK192" s="51">
        <f t="shared" si="268"/>
        <v>0</v>
      </c>
      <c r="BL192" s="51">
        <f t="shared" si="269"/>
        <v>0</v>
      </c>
      <c r="BM192" s="51">
        <f t="shared" si="270"/>
        <v>0</v>
      </c>
      <c r="BN192" s="51">
        <f t="shared" si="271"/>
        <v>0</v>
      </c>
      <c r="BO192" s="51">
        <f t="shared" si="272"/>
        <v>0</v>
      </c>
      <c r="BP192" s="51">
        <f t="shared" si="273"/>
        <v>0</v>
      </c>
      <c r="BQ192" s="51">
        <f t="shared" si="274"/>
        <v>0</v>
      </c>
      <c r="BR192" s="51">
        <f t="shared" si="275"/>
        <v>0</v>
      </c>
      <c r="BS192" s="51">
        <f t="shared" si="276"/>
        <v>0</v>
      </c>
      <c r="BT192" s="51">
        <f t="shared" si="277"/>
        <v>0</v>
      </c>
      <c r="BU192" s="20">
        <f t="shared" si="278"/>
        <v>4761.4396153845728</v>
      </c>
      <c r="BV192" s="20">
        <f t="shared" si="279"/>
        <v>4761.4396153846064</v>
      </c>
      <c r="BW192" s="20">
        <f t="shared" si="280"/>
        <v>57137.275384615015</v>
      </c>
      <c r="BX192" s="20">
        <f t="shared" si="281"/>
        <v>57137.27538461487</v>
      </c>
      <c r="BY192" s="20">
        <f t="shared" si="282"/>
        <v>57137.275384615277</v>
      </c>
      <c r="BZ192" s="21">
        <f t="shared" si="283"/>
        <v>57137.275384615059</v>
      </c>
      <c r="CA192" s="19">
        <f t="shared" si="256"/>
        <v>1428431.8846153764</v>
      </c>
      <c r="CB192" s="20">
        <f t="shared" si="284"/>
        <v>1428431.8846153738</v>
      </c>
      <c r="CC192" s="20">
        <f t="shared" si="285"/>
        <v>1428431.8846153819</v>
      </c>
      <c r="CD192" s="20">
        <f t="shared" si="257"/>
        <v>0</v>
      </c>
      <c r="CE192" s="20">
        <f t="shared" si="261"/>
        <v>1400000</v>
      </c>
      <c r="CF192" s="20">
        <f t="shared" si="254"/>
        <v>1419215.1586537089</v>
      </c>
      <c r="CG192" s="20">
        <f t="shared" si="286"/>
        <v>56768.606346148357</v>
      </c>
      <c r="CH192" s="20">
        <f t="shared" si="255"/>
        <v>4730.7171955123631</v>
      </c>
      <c r="CI192" s="20">
        <f t="shared" si="287"/>
        <v>1404893.7190176072</v>
      </c>
      <c r="CJ192" s="24">
        <f t="shared" si="288"/>
        <v>0.99354766155745211</v>
      </c>
      <c r="CK192" s="24">
        <f t="shared" si="289"/>
        <v>1.0212493430750364E-2</v>
      </c>
      <c r="CL192" s="24">
        <f t="shared" si="290"/>
        <v>3.1102868861253068E-2</v>
      </c>
      <c r="CM192" s="25">
        <f t="shared" si="291"/>
        <v>0.13350440072276828</v>
      </c>
      <c r="CN192" s="17"/>
      <c r="CO192" s="17"/>
      <c r="CP192" s="17"/>
      <c r="CQ192" s="17"/>
      <c r="CR192" s="17"/>
      <c r="CS192" s="17"/>
      <c r="CT192" s="17"/>
      <c r="CU192" s="17"/>
      <c r="CV192" s="17"/>
      <c r="CW192" s="30">
        <v>0</v>
      </c>
      <c r="CX192" s="17"/>
      <c r="CY192" s="17"/>
      <c r="CZ192" s="17"/>
      <c r="DA192" s="17"/>
      <c r="DB192" s="17"/>
    </row>
    <row r="193" spans="1:106" ht="15.75" thickBot="1" x14ac:dyDescent="0.3">
      <c r="A193" s="5">
        <f t="shared" si="258"/>
        <v>39</v>
      </c>
      <c r="B193" s="5">
        <f t="shared" si="258"/>
        <v>37</v>
      </c>
      <c r="C193" s="1">
        <v>48092</v>
      </c>
      <c r="D193" s="4"/>
      <c r="E193" s="30"/>
      <c r="F193" s="30"/>
      <c r="G193" s="30">
        <f t="shared" si="262"/>
        <v>0</v>
      </c>
      <c r="H193" s="30"/>
      <c r="I193" s="10">
        <v>0</v>
      </c>
      <c r="J193" s="60">
        <v>9000</v>
      </c>
      <c r="K193" s="11">
        <v>550</v>
      </c>
      <c r="L193" s="60">
        <f t="shared" si="72"/>
        <v>10968.340303617193</v>
      </c>
      <c r="M193" s="11">
        <v>305</v>
      </c>
      <c r="N193" s="60">
        <v>0</v>
      </c>
      <c r="O193" s="11">
        <v>0</v>
      </c>
      <c r="P193" s="11">
        <v>0</v>
      </c>
      <c r="Q193" s="60">
        <f>(Q192*($K$1/12))+Q192 + $Q$6</f>
        <v>202861.24226807716</v>
      </c>
      <c r="R193" s="60">
        <f>(R192*($K$1/12))+R192</f>
        <v>10520.467777043921</v>
      </c>
      <c r="S193" s="60">
        <f>(S192*($K$1/12))+S192</f>
        <v>9133.876517788829</v>
      </c>
      <c r="T193" s="60">
        <f>(T192*($K$1/12))+T192+$T$6 + ((3%/12)*T$11)</f>
        <v>780506.70991773636</v>
      </c>
      <c r="U193" s="60">
        <f>(U192*$K$1/12) + U192 + ((U$11/12*7%))</f>
        <v>101611.36132551543</v>
      </c>
      <c r="V193" s="60">
        <v>3100</v>
      </c>
      <c r="W193" s="60">
        <f>(W192*($K$1/12))+W192+$W$6</f>
        <v>70435.762551604246</v>
      </c>
      <c r="X193" s="11">
        <v>0</v>
      </c>
      <c r="Y193" s="60">
        <f>(Y192*($K$1/12))+Y192+$Y$7</f>
        <v>258570.65707198388</v>
      </c>
      <c r="Z193" s="60">
        <f>'Mortgage and Loans'!U155</f>
        <v>132854.48000000004</v>
      </c>
      <c r="AA193" s="12">
        <f t="shared" si="252"/>
        <v>1590417.897733367</v>
      </c>
      <c r="AB193" s="56">
        <f t="shared" ref="AB193:AG224" si="292">$AC$1/5</f>
        <v>750</v>
      </c>
      <c r="AC193" s="56">
        <f t="shared" si="292"/>
        <v>750</v>
      </c>
      <c r="AD193" s="56">
        <f t="shared" si="292"/>
        <v>750</v>
      </c>
      <c r="AE193" s="56">
        <f t="shared" si="292"/>
        <v>750</v>
      </c>
      <c r="AF193" s="56">
        <f t="shared" si="259"/>
        <v>261.43961538460684</v>
      </c>
      <c r="AG193" s="56">
        <f t="shared" si="292"/>
        <v>750</v>
      </c>
      <c r="AH193" s="56">
        <f>'Mortgage and Loans'!AF150</f>
        <v>0</v>
      </c>
      <c r="AI193" s="56">
        <f>'Mortgage and Loans'!AQ150</f>
        <v>0</v>
      </c>
      <c r="AJ193" s="56">
        <f>'Mortgage and Loans'!BB150</f>
        <v>0</v>
      </c>
      <c r="AK193" s="56">
        <f>'Mortgage and Loans'!BM150</f>
        <v>0</v>
      </c>
      <c r="AL193" s="56">
        <f>'Mortgage and Loans'!T155</f>
        <v>47145.519999999742</v>
      </c>
      <c r="AM193" s="12">
        <f t="shared" si="12"/>
        <v>-51156.959615384352</v>
      </c>
      <c r="AN193" s="75">
        <f t="shared" si="85"/>
        <v>1539260.9381179826</v>
      </c>
      <c r="AO193" s="86">
        <f>'Mortgage and Loans'!G156</f>
        <v>0</v>
      </c>
      <c r="AP193" s="79">
        <f>('Salary Tax Breakdown'!B$16/12)-Data!AO193</f>
        <v>3447.5</v>
      </c>
      <c r="AQ193" s="87"/>
      <c r="AR193" s="20">
        <f t="shared" si="263"/>
        <v>4011.4396153846069</v>
      </c>
      <c r="AS193" s="20">
        <v>750</v>
      </c>
      <c r="AT193" s="20">
        <v>0</v>
      </c>
      <c r="AU193" s="20">
        <f t="shared" si="264"/>
        <v>4761.4396153846064</v>
      </c>
      <c r="AV193" s="20">
        <f t="shared" si="265"/>
        <v>4761.4396153843845</v>
      </c>
      <c r="AW193" s="51">
        <f t="shared" si="253"/>
        <v>0</v>
      </c>
      <c r="AX193" s="51">
        <f t="shared" si="14"/>
        <v>0</v>
      </c>
      <c r="AY193" s="51">
        <f t="shared" si="15"/>
        <v>0</v>
      </c>
      <c r="AZ193" s="51">
        <f t="shared" si="16"/>
        <v>0</v>
      </c>
      <c r="BA193" s="51">
        <f t="shared" si="17"/>
        <v>0</v>
      </c>
      <c r="BB193" s="51">
        <f t="shared" si="18"/>
        <v>0</v>
      </c>
      <c r="BC193" s="51">
        <f t="shared" si="19"/>
        <v>0</v>
      </c>
      <c r="BD193" s="51">
        <f t="shared" si="20"/>
        <v>0</v>
      </c>
      <c r="BE193" s="51">
        <f t="shared" si="21"/>
        <v>0</v>
      </c>
      <c r="BF193" s="51">
        <f t="shared" si="22"/>
        <v>0</v>
      </c>
      <c r="BG193" s="51">
        <f t="shared" si="23"/>
        <v>0</v>
      </c>
      <c r="BH193" s="51">
        <f t="shared" si="24"/>
        <v>0</v>
      </c>
      <c r="BI193" s="51">
        <f t="shared" si="266"/>
        <v>0</v>
      </c>
      <c r="BJ193" s="51">
        <f t="shared" si="267"/>
        <v>0</v>
      </c>
      <c r="BK193" s="51">
        <f t="shared" si="268"/>
        <v>0</v>
      </c>
      <c r="BL193" s="51">
        <f t="shared" si="269"/>
        <v>0</v>
      </c>
      <c r="BM193" s="51">
        <f t="shared" si="270"/>
        <v>0</v>
      </c>
      <c r="BN193" s="51">
        <f t="shared" si="271"/>
        <v>0</v>
      </c>
      <c r="BO193" s="51">
        <f t="shared" si="272"/>
        <v>0</v>
      </c>
      <c r="BP193" s="51">
        <f t="shared" si="273"/>
        <v>0</v>
      </c>
      <c r="BQ193" s="51">
        <f t="shared" si="274"/>
        <v>0</v>
      </c>
      <c r="BR193" s="51">
        <f t="shared" si="275"/>
        <v>0</v>
      </c>
      <c r="BS193" s="51">
        <f t="shared" si="276"/>
        <v>0</v>
      </c>
      <c r="BT193" s="51">
        <f t="shared" si="277"/>
        <v>0</v>
      </c>
      <c r="BU193" s="20">
        <f t="shared" si="278"/>
        <v>4761.4396153845864</v>
      </c>
      <c r="BV193" s="20">
        <f t="shared" si="279"/>
        <v>4761.4396153846246</v>
      </c>
      <c r="BW193" s="20">
        <f t="shared" si="280"/>
        <v>57137.275384615277</v>
      </c>
      <c r="BX193" s="20">
        <f t="shared" si="281"/>
        <v>57137.275384615037</v>
      </c>
      <c r="BY193" s="20">
        <f t="shared" si="282"/>
        <v>57137.275384615496</v>
      </c>
      <c r="BZ193" s="21">
        <f t="shared" si="283"/>
        <v>57137.27538461527</v>
      </c>
      <c r="CA193" s="19">
        <f t="shared" si="256"/>
        <v>1428431.8846153817</v>
      </c>
      <c r="CB193" s="20">
        <f t="shared" si="284"/>
        <v>1428431.8846153768</v>
      </c>
      <c r="CC193" s="20">
        <f t="shared" si="285"/>
        <v>1428431.8846153866</v>
      </c>
      <c r="CD193" s="20">
        <f t="shared" si="257"/>
        <v>0</v>
      </c>
      <c r="CE193" s="20">
        <f t="shared" si="261"/>
        <v>1400000</v>
      </c>
      <c r="CF193" s="20">
        <f t="shared" si="254"/>
        <v>1433640.0774297498</v>
      </c>
      <c r="CG193" s="20">
        <f t="shared" si="286"/>
        <v>57345.603097189989</v>
      </c>
      <c r="CH193" s="20">
        <f t="shared" si="255"/>
        <v>4778.8002580991661</v>
      </c>
      <c r="CI193" s="20">
        <f t="shared" si="287"/>
        <v>1419241.0633289525</v>
      </c>
      <c r="CJ193" s="24">
        <f t="shared" si="288"/>
        <v>1.0036460911230467</v>
      </c>
      <c r="CK193" s="24">
        <f t="shared" si="289"/>
        <v>1.0164011205830563E-2</v>
      </c>
      <c r="CL193" s="24">
        <f t="shared" si="290"/>
        <v>3.0952174213393822E-2</v>
      </c>
      <c r="CM193" s="25">
        <f t="shared" si="291"/>
        <v>0.13279366972861317</v>
      </c>
      <c r="CN193" s="17"/>
      <c r="CO193" s="17"/>
      <c r="CP193" s="17"/>
      <c r="CQ193" s="17"/>
      <c r="CR193" s="17"/>
      <c r="CS193" s="17"/>
      <c r="CT193" s="17"/>
      <c r="CU193" s="17"/>
      <c r="CV193" s="17"/>
      <c r="CW193" s="30">
        <v>0</v>
      </c>
      <c r="CX193" s="17"/>
      <c r="CY193" s="17"/>
      <c r="CZ193" s="17"/>
      <c r="DA193" s="17"/>
      <c r="DB193" s="17"/>
    </row>
    <row r="194" spans="1:106" ht="15.75" thickBot="1" x14ac:dyDescent="0.3">
      <c r="A194" s="5">
        <f t="shared" si="258"/>
        <v>39</v>
      </c>
      <c r="B194" s="5">
        <f t="shared" si="258"/>
        <v>38</v>
      </c>
      <c r="C194" s="1">
        <v>48122</v>
      </c>
      <c r="D194" s="4"/>
      <c r="E194" s="30"/>
      <c r="F194" s="30"/>
      <c r="G194" s="30">
        <f t="shared" si="262"/>
        <v>0</v>
      </c>
      <c r="H194" s="30"/>
      <c r="I194" s="10">
        <v>0</v>
      </c>
      <c r="J194" s="60">
        <v>9000</v>
      </c>
      <c r="K194" s="11">
        <v>550</v>
      </c>
      <c r="L194" s="60">
        <f t="shared" si="72"/>
        <v>10981.593714817396</v>
      </c>
      <c r="M194" s="11">
        <v>305</v>
      </c>
      <c r="N194" s="60">
        <v>0</v>
      </c>
      <c r="O194" s="11">
        <v>0</v>
      </c>
      <c r="P194" s="11">
        <v>0</v>
      </c>
      <c r="Q194" s="60">
        <f>(Q193*($K$1/12))+Q193 + $Q$6</f>
        <v>204876.74399702926</v>
      </c>
      <c r="R194" s="60">
        <f>(R193*($K$1/12))+R193</f>
        <v>10577.453644169576</v>
      </c>
      <c r="S194" s="60">
        <f>(S193*($K$1/12))+S193</f>
        <v>9183.351682260185</v>
      </c>
      <c r="T194" s="60">
        <f>(T193*($K$1/12))+T193+$T$6 + ((3%/12)*T$11)</f>
        <v>787909.45459645742</v>
      </c>
      <c r="U194" s="60">
        <f>(U193*$K$1/12) + U193 + ((U$11/12*7%))</f>
        <v>102570.0895326953</v>
      </c>
      <c r="V194" s="60">
        <v>3100</v>
      </c>
      <c r="W194" s="60">
        <f>(W193*($K$1/12))+W193+$W$6</f>
        <v>71104.789598758769</v>
      </c>
      <c r="X194" s="11">
        <v>0</v>
      </c>
      <c r="Y194" s="60">
        <f>(Y193*($K$1/12))+Y193+$Y$7</f>
        <v>261921.24813112378</v>
      </c>
      <c r="Z194" s="60">
        <f>'Mortgage and Loans'!U156</f>
        <v>134147.04000000004</v>
      </c>
      <c r="AA194" s="12">
        <f t="shared" si="252"/>
        <v>1606226.7648973118</v>
      </c>
      <c r="AB194" s="56">
        <f t="shared" si="292"/>
        <v>750</v>
      </c>
      <c r="AC194" s="56">
        <f t="shared" si="292"/>
        <v>750</v>
      </c>
      <c r="AD194" s="56">
        <f t="shared" si="292"/>
        <v>750</v>
      </c>
      <c r="AE194" s="56">
        <f t="shared" si="292"/>
        <v>750</v>
      </c>
      <c r="AF194" s="56">
        <f t="shared" si="259"/>
        <v>261.43961538462537</v>
      </c>
      <c r="AG194" s="56">
        <f t="shared" si="292"/>
        <v>750</v>
      </c>
      <c r="AH194" s="56">
        <f>'Mortgage and Loans'!AF151</f>
        <v>0</v>
      </c>
      <c r="AI194" s="56">
        <f>'Mortgage and Loans'!AQ151</f>
        <v>0</v>
      </c>
      <c r="AJ194" s="56">
        <f>'Mortgage and Loans'!BB151</f>
        <v>0</v>
      </c>
      <c r="AK194" s="56">
        <f>'Mortgage and Loans'!BM151</f>
        <v>0</v>
      </c>
      <c r="AL194" s="56">
        <f>'Mortgage and Loans'!T156</f>
        <v>45852.959999999737</v>
      </c>
      <c r="AM194" s="12">
        <f t="shared" si="12"/>
        <v>-49864.399615384362</v>
      </c>
      <c r="AN194" s="75">
        <f t="shared" si="85"/>
        <v>1556362.3652819274</v>
      </c>
      <c r="AO194" s="86">
        <f>'Mortgage and Loans'!G157</f>
        <v>0</v>
      </c>
      <c r="AP194" s="79">
        <f>('Salary Tax Breakdown'!B$16/12)-Data!AO194</f>
        <v>3447.5</v>
      </c>
      <c r="AQ194" s="87"/>
      <c r="AR194" s="20">
        <f t="shared" si="263"/>
        <v>4011.4396153846255</v>
      </c>
      <c r="AS194" s="20">
        <v>750</v>
      </c>
      <c r="AT194" s="20">
        <v>0</v>
      </c>
      <c r="AU194" s="20">
        <f t="shared" si="264"/>
        <v>4761.4396153846255</v>
      </c>
      <c r="AV194" s="20">
        <f t="shared" si="265"/>
        <v>4761.4396153845037</v>
      </c>
      <c r="AW194" s="51">
        <f t="shared" si="253"/>
        <v>0</v>
      </c>
      <c r="AX194" s="51">
        <f t="shared" si="14"/>
        <v>0</v>
      </c>
      <c r="AY194" s="51">
        <f t="shared" si="15"/>
        <v>0</v>
      </c>
      <c r="AZ194" s="51">
        <f t="shared" si="16"/>
        <v>0</v>
      </c>
      <c r="BA194" s="51">
        <f t="shared" si="17"/>
        <v>0</v>
      </c>
      <c r="BB194" s="51">
        <f t="shared" si="18"/>
        <v>0</v>
      </c>
      <c r="BC194" s="51">
        <f t="shared" si="19"/>
        <v>0</v>
      </c>
      <c r="BD194" s="51">
        <f t="shared" si="20"/>
        <v>0</v>
      </c>
      <c r="BE194" s="51">
        <f t="shared" si="21"/>
        <v>0</v>
      </c>
      <c r="BF194" s="51">
        <f t="shared" si="22"/>
        <v>0</v>
      </c>
      <c r="BG194" s="51">
        <f t="shared" si="23"/>
        <v>0</v>
      </c>
      <c r="BH194" s="51">
        <f t="shared" si="24"/>
        <v>0</v>
      </c>
      <c r="BI194" s="51">
        <f t="shared" si="266"/>
        <v>0</v>
      </c>
      <c r="BJ194" s="51">
        <f t="shared" si="267"/>
        <v>0</v>
      </c>
      <c r="BK194" s="51">
        <f t="shared" si="268"/>
        <v>0</v>
      </c>
      <c r="BL194" s="51">
        <f t="shared" si="269"/>
        <v>0</v>
      </c>
      <c r="BM194" s="51">
        <f t="shared" si="270"/>
        <v>0</v>
      </c>
      <c r="BN194" s="51">
        <f t="shared" si="271"/>
        <v>0</v>
      </c>
      <c r="BO194" s="51">
        <f t="shared" si="272"/>
        <v>0</v>
      </c>
      <c r="BP194" s="51">
        <f t="shared" si="273"/>
        <v>0</v>
      </c>
      <c r="BQ194" s="51">
        <f t="shared" si="274"/>
        <v>0</v>
      </c>
      <c r="BR194" s="51">
        <f t="shared" si="275"/>
        <v>0</v>
      </c>
      <c r="BS194" s="51">
        <f t="shared" si="276"/>
        <v>0</v>
      </c>
      <c r="BT194" s="51">
        <f t="shared" si="277"/>
        <v>0</v>
      </c>
      <c r="BU194" s="20">
        <f t="shared" si="278"/>
        <v>4761.4396153846055</v>
      </c>
      <c r="BV194" s="20">
        <f t="shared" si="279"/>
        <v>4761.4396153846346</v>
      </c>
      <c r="BW194" s="20">
        <f t="shared" si="280"/>
        <v>57137.27538461551</v>
      </c>
      <c r="BX194" s="20">
        <f t="shared" si="281"/>
        <v>57137.275384615263</v>
      </c>
      <c r="BY194" s="20">
        <f t="shared" si="282"/>
        <v>57137.275384615612</v>
      </c>
      <c r="BZ194" s="21">
        <f t="shared" si="283"/>
        <v>57137.275384615466</v>
      </c>
      <c r="CA194" s="19">
        <f t="shared" si="256"/>
        <v>1428431.8846153866</v>
      </c>
      <c r="CB194" s="20">
        <f t="shared" si="284"/>
        <v>1428431.8846153815</v>
      </c>
      <c r="CC194" s="20">
        <f t="shared" si="285"/>
        <v>1428431.8846153896</v>
      </c>
      <c r="CD194" s="20">
        <f t="shared" si="257"/>
        <v>0</v>
      </c>
      <c r="CE194" s="20">
        <f t="shared" si="261"/>
        <v>1400000</v>
      </c>
      <c r="CF194" s="20">
        <f t="shared" si="254"/>
        <v>1448143.1311824943</v>
      </c>
      <c r="CG194" s="20">
        <f t="shared" si="286"/>
        <v>57925.725247299772</v>
      </c>
      <c r="CH194" s="20">
        <f t="shared" si="255"/>
        <v>4827.1437706083143</v>
      </c>
      <c r="CI194" s="20">
        <f t="shared" si="287"/>
        <v>1433666.1224219843</v>
      </c>
      <c r="CJ194" s="24">
        <f t="shared" si="288"/>
        <v>1.0137992205154538</v>
      </c>
      <c r="CK194" s="24">
        <f t="shared" si="289"/>
        <v>1.0116244642620379E-2</v>
      </c>
      <c r="CL194" s="24">
        <f t="shared" si="290"/>
        <v>3.0803732947894766E-2</v>
      </c>
      <c r="CM194" s="25">
        <f t="shared" si="291"/>
        <v>0.13209423457562225</v>
      </c>
      <c r="CN194" s="17"/>
      <c r="CO194" s="17"/>
      <c r="CP194" s="17"/>
      <c r="CQ194" s="17"/>
      <c r="CR194" s="17"/>
      <c r="CS194" s="17"/>
      <c r="CT194" s="17"/>
      <c r="CU194" s="17"/>
      <c r="CV194" s="17"/>
      <c r="CW194" s="30">
        <v>0</v>
      </c>
      <c r="CX194" s="17"/>
      <c r="CY194" s="17"/>
      <c r="CZ194" s="17"/>
      <c r="DA194" s="17"/>
      <c r="DB194" s="17"/>
    </row>
    <row r="195" spans="1:106" ht="15.75" thickBot="1" x14ac:dyDescent="0.3">
      <c r="A195" s="5">
        <f t="shared" si="258"/>
        <v>39</v>
      </c>
      <c r="B195" s="5">
        <f t="shared" si="258"/>
        <v>38</v>
      </c>
      <c r="C195" s="1">
        <v>48153</v>
      </c>
      <c r="D195" s="4"/>
      <c r="E195" s="30"/>
      <c r="F195" s="30"/>
      <c r="G195" s="30">
        <f t="shared" si="262"/>
        <v>0</v>
      </c>
      <c r="H195" s="30"/>
      <c r="I195" s="10">
        <v>0</v>
      </c>
      <c r="J195" s="60">
        <v>9000</v>
      </c>
      <c r="K195" s="11">
        <v>550</v>
      </c>
      <c r="L195" s="60">
        <f t="shared" si="72"/>
        <v>10994.863140556134</v>
      </c>
      <c r="M195" s="11">
        <v>305</v>
      </c>
      <c r="N195" s="60">
        <v>0</v>
      </c>
      <c r="O195" s="11">
        <v>0</v>
      </c>
      <c r="P195" s="11">
        <v>0</v>
      </c>
      <c r="Q195" s="60">
        <f>(Q194*($K$1/12))+Q194 + $Q$6</f>
        <v>206903.16302701319</v>
      </c>
      <c r="R195" s="60">
        <f>(R194*($K$1/12))+R194</f>
        <v>10634.748184742162</v>
      </c>
      <c r="S195" s="60">
        <f>(S194*($K$1/12))+S194</f>
        <v>9233.094837205761</v>
      </c>
      <c r="T195" s="60">
        <f>(T194*($K$1/12))+T194+$T$6 + ((3%/12)*T$11)</f>
        <v>795352.29747552157</v>
      </c>
      <c r="U195" s="60">
        <f>(U194*$K$1/12) + U194 + ((U$11/12*7%))</f>
        <v>103534.01085099739</v>
      </c>
      <c r="V195" s="60">
        <v>3100</v>
      </c>
      <c r="W195" s="60">
        <f>(W194*($K$1/12))+W194+$W$6</f>
        <v>71777.440542418713</v>
      </c>
      <c r="X195" s="11">
        <v>0</v>
      </c>
      <c r="Y195" s="60">
        <f>(Y194*($K$1/12))+Y194+$Y$7</f>
        <v>265289.98822516738</v>
      </c>
      <c r="Z195" s="60">
        <f>'Mortgage and Loans'!U157</f>
        <v>135444.05000000005</v>
      </c>
      <c r="AA195" s="12">
        <f t="shared" si="252"/>
        <v>1622118.6562836224</v>
      </c>
      <c r="AB195" s="56">
        <f t="shared" si="292"/>
        <v>750</v>
      </c>
      <c r="AC195" s="56">
        <f t="shared" si="292"/>
        <v>750</v>
      </c>
      <c r="AD195" s="56">
        <f t="shared" si="292"/>
        <v>750</v>
      </c>
      <c r="AE195" s="56">
        <f t="shared" si="292"/>
        <v>750</v>
      </c>
      <c r="AF195" s="56">
        <f t="shared" si="259"/>
        <v>261.43961538463549</v>
      </c>
      <c r="AG195" s="56">
        <f t="shared" si="292"/>
        <v>750</v>
      </c>
      <c r="AH195" s="56">
        <f>'Mortgage and Loans'!AF152</f>
        <v>0</v>
      </c>
      <c r="AI195" s="56">
        <f>'Mortgage and Loans'!AQ152</f>
        <v>0</v>
      </c>
      <c r="AJ195" s="56">
        <f>'Mortgage and Loans'!BB152</f>
        <v>0</v>
      </c>
      <c r="AK195" s="56">
        <f>'Mortgage and Loans'!BM152</f>
        <v>0</v>
      </c>
      <c r="AL195" s="56">
        <f>'Mortgage and Loans'!T157</f>
        <v>44555.949999999735</v>
      </c>
      <c r="AM195" s="12">
        <f t="shared" si="12"/>
        <v>-48567.389615384367</v>
      </c>
      <c r="AN195" s="75">
        <f t="shared" si="85"/>
        <v>1573551.266668238</v>
      </c>
      <c r="AO195" s="86">
        <f>'Mortgage and Loans'!G158</f>
        <v>0</v>
      </c>
      <c r="AP195" s="79">
        <f>('Salary Tax Breakdown'!B$16/12)-Data!AO195</f>
        <v>3447.5</v>
      </c>
      <c r="AQ195" s="87"/>
      <c r="AR195" s="20">
        <f t="shared" si="263"/>
        <v>4011.4396153846355</v>
      </c>
      <c r="AS195" s="20">
        <v>750</v>
      </c>
      <c r="AT195" s="20">
        <v>0</v>
      </c>
      <c r="AU195" s="20">
        <f t="shared" si="264"/>
        <v>4761.4396153846355</v>
      </c>
      <c r="AV195" s="20">
        <f t="shared" si="265"/>
        <v>4761.4396153846246</v>
      </c>
      <c r="AW195" s="51">
        <f t="shared" si="253"/>
        <v>0</v>
      </c>
      <c r="AX195" s="51">
        <f t="shared" si="14"/>
        <v>0</v>
      </c>
      <c r="AY195" s="51">
        <f t="shared" si="15"/>
        <v>0</v>
      </c>
      <c r="AZ195" s="51">
        <f t="shared" si="16"/>
        <v>0</v>
      </c>
      <c r="BA195" s="51">
        <f t="shared" si="17"/>
        <v>0</v>
      </c>
      <c r="BB195" s="51">
        <f t="shared" si="18"/>
        <v>0</v>
      </c>
      <c r="BC195" s="51">
        <f t="shared" si="19"/>
        <v>0</v>
      </c>
      <c r="BD195" s="51">
        <f t="shared" si="20"/>
        <v>0</v>
      </c>
      <c r="BE195" s="51">
        <f t="shared" si="21"/>
        <v>0</v>
      </c>
      <c r="BF195" s="51">
        <f t="shared" si="22"/>
        <v>0</v>
      </c>
      <c r="BG195" s="51">
        <f t="shared" si="23"/>
        <v>0</v>
      </c>
      <c r="BH195" s="51">
        <f t="shared" si="24"/>
        <v>0</v>
      </c>
      <c r="BI195" s="51">
        <f t="shared" si="266"/>
        <v>0</v>
      </c>
      <c r="BJ195" s="51">
        <f t="shared" si="267"/>
        <v>0</v>
      </c>
      <c r="BK195" s="51">
        <f t="shared" si="268"/>
        <v>0</v>
      </c>
      <c r="BL195" s="51">
        <f t="shared" si="269"/>
        <v>0</v>
      </c>
      <c r="BM195" s="51">
        <f t="shared" si="270"/>
        <v>0</v>
      </c>
      <c r="BN195" s="51">
        <f t="shared" si="271"/>
        <v>0</v>
      </c>
      <c r="BO195" s="51">
        <f t="shared" si="272"/>
        <v>0</v>
      </c>
      <c r="BP195" s="51">
        <f t="shared" si="273"/>
        <v>0</v>
      </c>
      <c r="BQ195" s="51">
        <f t="shared" si="274"/>
        <v>0</v>
      </c>
      <c r="BR195" s="51">
        <f t="shared" si="275"/>
        <v>0</v>
      </c>
      <c r="BS195" s="51">
        <f t="shared" si="276"/>
        <v>0</v>
      </c>
      <c r="BT195" s="51">
        <f t="shared" si="277"/>
        <v>0</v>
      </c>
      <c r="BU195" s="20">
        <f t="shared" si="278"/>
        <v>4761.4396153846219</v>
      </c>
      <c r="BV195" s="20">
        <f t="shared" si="279"/>
        <v>4761.4396153846355</v>
      </c>
      <c r="BW195" s="20">
        <f t="shared" si="280"/>
        <v>57137.275384615627</v>
      </c>
      <c r="BX195" s="20">
        <f t="shared" si="281"/>
        <v>57137.275384615466</v>
      </c>
      <c r="BY195" s="20">
        <f t="shared" si="282"/>
        <v>57137.275384615627</v>
      </c>
      <c r="BZ195" s="21">
        <f t="shared" si="283"/>
        <v>57137.275384615576</v>
      </c>
      <c r="CA195" s="19">
        <f t="shared" si="256"/>
        <v>1428431.8846153894</v>
      </c>
      <c r="CB195" s="20">
        <f t="shared" si="284"/>
        <v>1428431.8846153859</v>
      </c>
      <c r="CC195" s="20">
        <f t="shared" si="285"/>
        <v>1428431.8846153899</v>
      </c>
      <c r="CD195" s="20">
        <f t="shared" si="257"/>
        <v>0</v>
      </c>
      <c r="CE195" s="20">
        <f t="shared" si="261"/>
        <v>1400000</v>
      </c>
      <c r="CF195" s="20">
        <f t="shared" si="254"/>
        <v>1462724.7431430663</v>
      </c>
      <c r="CG195" s="20">
        <f t="shared" si="286"/>
        <v>58508.989725722655</v>
      </c>
      <c r="CH195" s="20">
        <f t="shared" si="255"/>
        <v>4875.7491438102215</v>
      </c>
      <c r="CI195" s="20">
        <f t="shared" si="287"/>
        <v>1448169.3172517701</v>
      </c>
      <c r="CJ195" s="24">
        <f t="shared" si="288"/>
        <v>1.0240073460254031</v>
      </c>
      <c r="CK195" s="24">
        <f t="shared" si="289"/>
        <v>1.0069178692761683E-2</v>
      </c>
      <c r="CL195" s="24">
        <f t="shared" si="290"/>
        <v>3.0657497014498731E-2</v>
      </c>
      <c r="CM195" s="25">
        <f t="shared" si="291"/>
        <v>0.13140583806034534</v>
      </c>
      <c r="CN195" s="17"/>
      <c r="CO195" s="17"/>
      <c r="CP195" s="17"/>
      <c r="CQ195" s="17"/>
      <c r="CR195" s="17"/>
      <c r="CS195" s="17"/>
      <c r="CT195" s="17"/>
      <c r="CU195" s="17"/>
      <c r="CV195" s="17"/>
      <c r="CW195" s="30">
        <v>0</v>
      </c>
      <c r="CX195" s="17"/>
      <c r="CY195" s="17"/>
      <c r="CZ195" s="17"/>
      <c r="DA195" s="17"/>
      <c r="DB195" s="17"/>
    </row>
    <row r="196" spans="1:106" ht="15.75" thickBot="1" x14ac:dyDescent="0.3">
      <c r="A196" s="5">
        <f t="shared" si="258"/>
        <v>40</v>
      </c>
      <c r="B196" s="5">
        <f t="shared" si="258"/>
        <v>38</v>
      </c>
      <c r="C196" s="1">
        <v>48183</v>
      </c>
      <c r="D196" s="4"/>
      <c r="E196" s="30"/>
      <c r="F196" s="30"/>
      <c r="G196" s="30">
        <f t="shared" si="262"/>
        <v>0</v>
      </c>
      <c r="H196" s="30"/>
      <c r="I196" s="10">
        <v>0</v>
      </c>
      <c r="J196" s="60">
        <v>9000</v>
      </c>
      <c r="K196" s="11">
        <v>550</v>
      </c>
      <c r="L196" s="60">
        <f t="shared" si="72"/>
        <v>11008.148600184304</v>
      </c>
      <c r="M196" s="11">
        <v>305</v>
      </c>
      <c r="N196" s="60">
        <v>0</v>
      </c>
      <c r="O196" s="11">
        <v>0</v>
      </c>
      <c r="P196" s="11">
        <v>0</v>
      </c>
      <c r="Q196" s="60">
        <f>(Q195*($K$1/12))+Q195 + $Q$6</f>
        <v>208940.55849340951</v>
      </c>
      <c r="R196" s="60">
        <f>(R195*($K$1/12))+R195</f>
        <v>10692.353070742849</v>
      </c>
      <c r="S196" s="60">
        <f>(S195*($K$1/12))+S195</f>
        <v>9283.1074342406264</v>
      </c>
      <c r="T196" s="60">
        <f>(T195*($K$1/12))+T195+$T$6 + ((3%/12)*T$11)</f>
        <v>802835.45575351396</v>
      </c>
      <c r="U196" s="60">
        <f>(U195*$K$1/12) + U195 + ((U$11/12*7%))</f>
        <v>104503.15340977363</v>
      </c>
      <c r="V196" s="60">
        <v>3100</v>
      </c>
      <c r="W196" s="60">
        <f>(W195*($K$1/12))+W195+$W$6</f>
        <v>72453.735012023477</v>
      </c>
      <c r="X196" s="11">
        <v>0</v>
      </c>
      <c r="Y196" s="60">
        <f>(Y195*($K$1/12))+Y195+$Y$7</f>
        <v>268676.97566138703</v>
      </c>
      <c r="Z196" s="60">
        <f>'Mortgage and Loans'!U158</f>
        <v>136745.52000000005</v>
      </c>
      <c r="AA196" s="12">
        <f t="shared" si="252"/>
        <v>1638094.0074352755</v>
      </c>
      <c r="AB196" s="56">
        <f t="shared" si="292"/>
        <v>750</v>
      </c>
      <c r="AC196" s="56">
        <f t="shared" si="292"/>
        <v>750</v>
      </c>
      <c r="AD196" s="56">
        <f t="shared" si="292"/>
        <v>750</v>
      </c>
      <c r="AE196" s="56">
        <f t="shared" si="292"/>
        <v>750</v>
      </c>
      <c r="AF196" s="56">
        <f t="shared" si="259"/>
        <v>261.4396153846364</v>
      </c>
      <c r="AG196" s="56">
        <f t="shared" si="292"/>
        <v>750</v>
      </c>
      <c r="AH196" s="56">
        <f>'Mortgage and Loans'!AF153</f>
        <v>0</v>
      </c>
      <c r="AI196" s="56">
        <f>'Mortgage and Loans'!AQ153</f>
        <v>0</v>
      </c>
      <c r="AJ196" s="56">
        <f>'Mortgage and Loans'!BB153</f>
        <v>0</v>
      </c>
      <c r="AK196" s="56">
        <f>'Mortgage and Loans'!BM153</f>
        <v>0</v>
      </c>
      <c r="AL196" s="56">
        <f>'Mortgage and Loans'!T158</f>
        <v>43254.479999999734</v>
      </c>
      <c r="AM196" s="12">
        <f t="shared" si="12"/>
        <v>-47265.919615384373</v>
      </c>
      <c r="AN196" s="75">
        <f t="shared" si="85"/>
        <v>1590828.0878198911</v>
      </c>
      <c r="AO196" s="86">
        <f>'Mortgage and Loans'!G159</f>
        <v>0</v>
      </c>
      <c r="AP196" s="79">
        <f>('Salary Tax Breakdown'!B$16/12)-Data!AO196</f>
        <v>3447.5</v>
      </c>
      <c r="AQ196" s="87"/>
      <c r="AR196" s="20">
        <f t="shared" si="263"/>
        <v>4011.4396153846365</v>
      </c>
      <c r="AS196" s="20">
        <v>750</v>
      </c>
      <c r="AT196" s="20">
        <v>0</v>
      </c>
      <c r="AU196" s="20">
        <f t="shared" si="264"/>
        <v>4761.4396153846365</v>
      </c>
      <c r="AV196" s="20">
        <f t="shared" si="265"/>
        <v>4761.4396153847083</v>
      </c>
      <c r="AW196" s="51">
        <f t="shared" si="253"/>
        <v>0</v>
      </c>
      <c r="AX196" s="51">
        <f t="shared" si="14"/>
        <v>0</v>
      </c>
      <c r="AY196" s="51">
        <f t="shared" si="15"/>
        <v>0</v>
      </c>
      <c r="AZ196" s="51">
        <f t="shared" si="16"/>
        <v>0</v>
      </c>
      <c r="BA196" s="51">
        <f t="shared" si="17"/>
        <v>0</v>
      </c>
      <c r="BB196" s="51">
        <f t="shared" si="18"/>
        <v>0</v>
      </c>
      <c r="BC196" s="51">
        <f t="shared" si="19"/>
        <v>0</v>
      </c>
      <c r="BD196" s="51">
        <f t="shared" si="20"/>
        <v>0</v>
      </c>
      <c r="BE196" s="51">
        <f t="shared" si="21"/>
        <v>0</v>
      </c>
      <c r="BF196" s="51">
        <f t="shared" si="22"/>
        <v>0</v>
      </c>
      <c r="BG196" s="51">
        <f t="shared" si="23"/>
        <v>0</v>
      </c>
      <c r="BH196" s="51">
        <f t="shared" si="24"/>
        <v>0</v>
      </c>
      <c r="BI196" s="51">
        <f t="shared" si="266"/>
        <v>0</v>
      </c>
      <c r="BJ196" s="51">
        <f t="shared" si="267"/>
        <v>0</v>
      </c>
      <c r="BK196" s="51">
        <f t="shared" si="268"/>
        <v>0</v>
      </c>
      <c r="BL196" s="51">
        <f t="shared" si="269"/>
        <v>0</v>
      </c>
      <c r="BM196" s="51">
        <f t="shared" si="270"/>
        <v>0</v>
      </c>
      <c r="BN196" s="51">
        <f t="shared" si="271"/>
        <v>0</v>
      </c>
      <c r="BO196" s="51">
        <f t="shared" si="272"/>
        <v>0</v>
      </c>
      <c r="BP196" s="51">
        <f t="shared" si="273"/>
        <v>0</v>
      </c>
      <c r="BQ196" s="51">
        <f t="shared" si="274"/>
        <v>0</v>
      </c>
      <c r="BR196" s="51">
        <f t="shared" si="275"/>
        <v>0</v>
      </c>
      <c r="BS196" s="51">
        <f t="shared" si="276"/>
        <v>0</v>
      </c>
      <c r="BT196" s="51">
        <f t="shared" si="277"/>
        <v>0</v>
      </c>
      <c r="BU196" s="20">
        <f t="shared" si="278"/>
        <v>4761.4396153846319</v>
      </c>
      <c r="BV196" s="20">
        <f t="shared" si="279"/>
        <v>4761.4396153846301</v>
      </c>
      <c r="BW196" s="20">
        <f t="shared" si="280"/>
        <v>57137.275384615641</v>
      </c>
      <c r="BX196" s="20">
        <f t="shared" si="281"/>
        <v>57137.275384615583</v>
      </c>
      <c r="BY196" s="20">
        <f t="shared" si="282"/>
        <v>57137.275384615561</v>
      </c>
      <c r="BZ196" s="21">
        <f t="shared" si="283"/>
        <v>57137.27538461559</v>
      </c>
      <c r="CA196" s="19">
        <f t="shared" si="256"/>
        <v>1428431.8846153896</v>
      </c>
      <c r="CB196" s="20">
        <f t="shared" si="284"/>
        <v>1428431.8846153885</v>
      </c>
      <c r="CC196" s="20">
        <f t="shared" si="285"/>
        <v>1428431.8846153885</v>
      </c>
      <c r="CD196" s="20">
        <f t="shared" si="257"/>
        <v>0</v>
      </c>
      <c r="CE196" s="20">
        <f t="shared" si="261"/>
        <v>1400000</v>
      </c>
      <c r="CF196" s="20">
        <f t="shared" si="254"/>
        <v>1477385.3388350911</v>
      </c>
      <c r="CG196" s="20">
        <f t="shared" si="286"/>
        <v>59095.413553403647</v>
      </c>
      <c r="CH196" s="20">
        <f t="shared" si="255"/>
        <v>4924.6177961169706</v>
      </c>
      <c r="CI196" s="20">
        <f t="shared" si="287"/>
        <v>1462751.0710535506</v>
      </c>
      <c r="CJ196" s="24">
        <f t="shared" si="288"/>
        <v>1.0342707655485326</v>
      </c>
      <c r="CK196" s="24">
        <f t="shared" si="289"/>
        <v>1.0022798725973883E-2</v>
      </c>
      <c r="CL196" s="24">
        <f t="shared" si="290"/>
        <v>3.0513419716731448E-2</v>
      </c>
      <c r="CM196" s="25">
        <f t="shared" si="291"/>
        <v>0.13072823071710948</v>
      </c>
      <c r="CN196" s="17"/>
      <c r="CO196" s="17"/>
      <c r="CP196" s="17"/>
      <c r="CQ196" s="17"/>
      <c r="CR196" s="17"/>
      <c r="CS196" s="17"/>
      <c r="CT196" s="17"/>
      <c r="CU196" s="17"/>
      <c r="CV196" s="17"/>
      <c r="CW196" s="30">
        <v>0</v>
      </c>
      <c r="CX196" s="17"/>
      <c r="CY196" s="17"/>
      <c r="CZ196" s="17"/>
      <c r="DA196" s="17"/>
      <c r="DB196" s="17"/>
    </row>
    <row r="197" spans="1:106" ht="15.75" thickBot="1" x14ac:dyDescent="0.3">
      <c r="A197" s="5">
        <f t="shared" si="258"/>
        <v>40</v>
      </c>
      <c r="B197" s="5">
        <f t="shared" si="258"/>
        <v>38</v>
      </c>
      <c r="C197" s="1">
        <v>48214</v>
      </c>
      <c r="D197" s="4"/>
      <c r="E197" s="30"/>
      <c r="F197" s="30"/>
      <c r="G197" s="30">
        <f t="shared" si="262"/>
        <v>0</v>
      </c>
      <c r="H197" s="30"/>
      <c r="I197" s="10">
        <v>0</v>
      </c>
      <c r="J197" s="60">
        <v>9000</v>
      </c>
      <c r="K197" s="11">
        <v>550</v>
      </c>
      <c r="L197" s="60">
        <f t="shared" si="72"/>
        <v>11021.450113076193</v>
      </c>
      <c r="M197" s="11">
        <v>305</v>
      </c>
      <c r="N197" s="60">
        <v>0</v>
      </c>
      <c r="O197" s="11">
        <v>0</v>
      </c>
      <c r="P197" s="11">
        <v>0</v>
      </c>
      <c r="Q197" s="60">
        <f>(Q196*($K$1/12))+Q196 + $Q$6</f>
        <v>210988.98985191548</v>
      </c>
      <c r="R197" s="60">
        <f>(R196*($K$1/12))+R196</f>
        <v>10750.269983209373</v>
      </c>
      <c r="S197" s="60">
        <f>(S196*($K$1/12))+S196</f>
        <v>9333.3909328427635</v>
      </c>
      <c r="T197" s="60">
        <f>(T196*($K$1/12))+T196+$T$6 + ((3%/12)*T$11)</f>
        <v>810359.14780551218</v>
      </c>
      <c r="U197" s="60">
        <f>(U196*$K$1/12) + U196 + ((U$11/12*7%))</f>
        <v>105477.54549074323</v>
      </c>
      <c r="V197" s="60">
        <v>3100</v>
      </c>
      <c r="W197" s="60">
        <f>(W196*($K$1/12))+W196+$W$6</f>
        <v>73133.692743338601</v>
      </c>
      <c r="X197" s="11">
        <v>0</v>
      </c>
      <c r="Y197" s="60">
        <f>(Y196*($K$1/12))+Y196+$Y$7</f>
        <v>272082.30927955289</v>
      </c>
      <c r="Z197" s="60">
        <f>'Mortgage and Loans'!U159</f>
        <v>138051.47000000003</v>
      </c>
      <c r="AA197" s="12">
        <f t="shared" si="252"/>
        <v>1654153.2662001906</v>
      </c>
      <c r="AB197" s="56">
        <f t="shared" si="292"/>
        <v>750</v>
      </c>
      <c r="AC197" s="56">
        <f t="shared" si="292"/>
        <v>750</v>
      </c>
      <c r="AD197" s="56">
        <f t="shared" si="292"/>
        <v>750</v>
      </c>
      <c r="AE197" s="56">
        <f t="shared" si="292"/>
        <v>750</v>
      </c>
      <c r="AF197" s="56">
        <f t="shared" si="259"/>
        <v>261.43961538463043</v>
      </c>
      <c r="AG197" s="56">
        <f t="shared" si="292"/>
        <v>750</v>
      </c>
      <c r="AH197" s="56">
        <f>'Mortgage and Loans'!AF154</f>
        <v>0</v>
      </c>
      <c r="AI197" s="56">
        <f>'Mortgage and Loans'!AQ154</f>
        <v>0</v>
      </c>
      <c r="AJ197" s="56">
        <f>'Mortgage and Loans'!BB154</f>
        <v>0</v>
      </c>
      <c r="AK197" s="56">
        <f>'Mortgage and Loans'!BM154</f>
        <v>0</v>
      </c>
      <c r="AL197" s="56">
        <f>'Mortgage and Loans'!T159</f>
        <v>41948.52999999973</v>
      </c>
      <c r="AM197" s="12">
        <f t="shared" si="12"/>
        <v>-45959.969615384362</v>
      </c>
      <c r="AN197" s="75">
        <f t="shared" si="85"/>
        <v>1608193.2965848062</v>
      </c>
      <c r="AO197" s="86">
        <f>'Mortgage and Loans'!G160</f>
        <v>0</v>
      </c>
      <c r="AP197" s="79">
        <f>('Salary Tax Breakdown'!B$16/12)-Data!AO197</f>
        <v>3447.5</v>
      </c>
      <c r="AQ197" s="87"/>
      <c r="AR197" s="20">
        <f t="shared" si="263"/>
        <v>4011.4396153846305</v>
      </c>
      <c r="AS197" s="20">
        <v>750</v>
      </c>
      <c r="AT197" s="20">
        <v>0</v>
      </c>
      <c r="AU197" s="20">
        <f t="shared" si="264"/>
        <v>4761.4396153846301</v>
      </c>
      <c r="AV197" s="20">
        <f t="shared" si="265"/>
        <v>4761.4396153847392</v>
      </c>
      <c r="AW197" s="51">
        <f t="shared" si="253"/>
        <v>0</v>
      </c>
      <c r="AX197" s="51">
        <f t="shared" si="14"/>
        <v>0</v>
      </c>
      <c r="AY197" s="51">
        <f t="shared" si="15"/>
        <v>0</v>
      </c>
      <c r="AZ197" s="51">
        <f t="shared" si="16"/>
        <v>0</v>
      </c>
      <c r="BA197" s="51">
        <f t="shared" si="17"/>
        <v>0</v>
      </c>
      <c r="BB197" s="51">
        <f t="shared" si="18"/>
        <v>0</v>
      </c>
      <c r="BC197" s="51">
        <f t="shared" si="19"/>
        <v>0</v>
      </c>
      <c r="BD197" s="51">
        <f t="shared" si="20"/>
        <v>0</v>
      </c>
      <c r="BE197" s="51">
        <f t="shared" si="21"/>
        <v>0</v>
      </c>
      <c r="BF197" s="51">
        <f t="shared" si="22"/>
        <v>0</v>
      </c>
      <c r="BG197" s="51">
        <f t="shared" si="23"/>
        <v>0</v>
      </c>
      <c r="BH197" s="51">
        <f t="shared" si="24"/>
        <v>0</v>
      </c>
      <c r="BI197" s="51">
        <f t="shared" si="266"/>
        <v>0</v>
      </c>
      <c r="BJ197" s="51">
        <f t="shared" si="267"/>
        <v>0</v>
      </c>
      <c r="BK197" s="51">
        <f t="shared" si="268"/>
        <v>0</v>
      </c>
      <c r="BL197" s="51">
        <f t="shared" si="269"/>
        <v>0</v>
      </c>
      <c r="BM197" s="51">
        <f t="shared" si="270"/>
        <v>0</v>
      </c>
      <c r="BN197" s="51">
        <f t="shared" si="271"/>
        <v>0</v>
      </c>
      <c r="BO197" s="51">
        <f t="shared" si="272"/>
        <v>0</v>
      </c>
      <c r="BP197" s="51">
        <f t="shared" si="273"/>
        <v>0</v>
      </c>
      <c r="BQ197" s="51">
        <f t="shared" si="274"/>
        <v>0</v>
      </c>
      <c r="BR197" s="51">
        <f t="shared" si="275"/>
        <v>0</v>
      </c>
      <c r="BS197" s="51">
        <f t="shared" si="276"/>
        <v>0</v>
      </c>
      <c r="BT197" s="51">
        <f t="shared" si="277"/>
        <v>0</v>
      </c>
      <c r="BU197" s="20">
        <f t="shared" si="278"/>
        <v>4761.4396153846337</v>
      </c>
      <c r="BV197" s="20">
        <f t="shared" si="279"/>
        <v>4761.4396153846219</v>
      </c>
      <c r="BW197" s="20">
        <f t="shared" si="280"/>
        <v>57137.275384615561</v>
      </c>
      <c r="BX197" s="20">
        <f t="shared" si="281"/>
        <v>57137.275384615605</v>
      </c>
      <c r="BY197" s="20">
        <f t="shared" si="282"/>
        <v>57137.275384615466</v>
      </c>
      <c r="BZ197" s="21">
        <f t="shared" si="283"/>
        <v>57137.275384615546</v>
      </c>
      <c r="CA197" s="19">
        <f t="shared" si="256"/>
        <v>1428431.8846153887</v>
      </c>
      <c r="CB197" s="20">
        <f t="shared" si="284"/>
        <v>1428431.8846153894</v>
      </c>
      <c r="CC197" s="20">
        <f t="shared" si="285"/>
        <v>1428431.8846153861</v>
      </c>
      <c r="CD197" s="20">
        <f t="shared" si="257"/>
        <v>0</v>
      </c>
      <c r="CE197" s="20">
        <f t="shared" si="261"/>
        <v>1400000</v>
      </c>
      <c r="CF197" s="20">
        <f t="shared" si="254"/>
        <v>1492125.3460871144</v>
      </c>
      <c r="CG197" s="20">
        <f t="shared" si="286"/>
        <v>59685.013843484579</v>
      </c>
      <c r="CH197" s="20">
        <f t="shared" si="255"/>
        <v>4973.7511536237153</v>
      </c>
      <c r="CI197" s="20">
        <f t="shared" si="287"/>
        <v>1477411.8093550906</v>
      </c>
      <c r="CJ197" s="24">
        <f t="shared" si="288"/>
        <v>1.0445897785940803</v>
      </c>
      <c r="CK197" s="24">
        <f t="shared" si="289"/>
        <v>9.9770905156306242E-3</v>
      </c>
      <c r="CL197" s="24">
        <f t="shared" si="290"/>
        <v>3.0371455664541948E-2</v>
      </c>
      <c r="CM197" s="25">
        <f t="shared" si="291"/>
        <v>0.13006117052913657</v>
      </c>
      <c r="CN197" s="17"/>
      <c r="CO197" s="17"/>
      <c r="CP197" s="17"/>
      <c r="CQ197" s="17"/>
      <c r="CR197" s="17"/>
      <c r="CS197" s="17"/>
      <c r="CT197" s="17"/>
      <c r="CU197" s="17"/>
      <c r="CV197" s="17"/>
      <c r="CW197" s="30">
        <v>0</v>
      </c>
      <c r="CX197" s="17"/>
      <c r="CY197" s="17"/>
      <c r="CZ197" s="17"/>
      <c r="DA197" s="17"/>
      <c r="DB197" s="17"/>
    </row>
    <row r="198" spans="1:106" ht="15.75" thickBot="1" x14ac:dyDescent="0.3">
      <c r="A198" s="5">
        <f t="shared" si="258"/>
        <v>40</v>
      </c>
      <c r="B198" s="5">
        <f t="shared" si="258"/>
        <v>38</v>
      </c>
      <c r="C198" s="1">
        <v>48245</v>
      </c>
      <c r="D198" s="4"/>
      <c r="E198" s="30"/>
      <c r="F198" s="30"/>
      <c r="G198" s="30">
        <f t="shared" si="262"/>
        <v>0</v>
      </c>
      <c r="H198" s="30"/>
      <c r="I198" s="10">
        <v>0</v>
      </c>
      <c r="J198" s="60">
        <v>9000</v>
      </c>
      <c r="K198" s="11">
        <v>550</v>
      </c>
      <c r="L198" s="60">
        <f t="shared" si="72"/>
        <v>11034.767698629492</v>
      </c>
      <c r="M198" s="11">
        <v>305</v>
      </c>
      <c r="N198" s="60">
        <v>0</v>
      </c>
      <c r="O198" s="11">
        <v>0</v>
      </c>
      <c r="P198" s="11">
        <v>0</v>
      </c>
      <c r="Q198" s="60">
        <f>(Q197*($K$1/12))+Q197 + $Q$6</f>
        <v>213048.51688028005</v>
      </c>
      <c r="R198" s="60">
        <f>(R197*($K$1/12))+R197</f>
        <v>10808.50061228509</v>
      </c>
      <c r="S198" s="60">
        <f>(S197*($K$1/12))+S197</f>
        <v>9383.9468003956626</v>
      </c>
      <c r="T198" s="60">
        <f>(T197*($K$1/12))+T197+$T$6 + ((3%/12)*T$11)</f>
        <v>817923.59318945871</v>
      </c>
      <c r="U198" s="60">
        <f>(U197*$K$1/12) + U197 + ((U$11/12*7%))</f>
        <v>106457.21552881808</v>
      </c>
      <c r="V198" s="60">
        <v>3100</v>
      </c>
      <c r="W198" s="60">
        <f>(W197*($K$1/12))+W197+$W$6</f>
        <v>73817.333579031678</v>
      </c>
      <c r="X198" s="11">
        <v>0</v>
      </c>
      <c r="Y198" s="60">
        <f>(Y197*($K$1/12))+Y197+$Y$7</f>
        <v>275506.08845481713</v>
      </c>
      <c r="Z198" s="60">
        <f>'Mortgage and Loans'!U160</f>
        <v>139361.92000000004</v>
      </c>
      <c r="AA198" s="12">
        <f t="shared" si="252"/>
        <v>1670296.8827437162</v>
      </c>
      <c r="AB198" s="56">
        <f t="shared" si="292"/>
        <v>750</v>
      </c>
      <c r="AC198" s="56">
        <f t="shared" si="292"/>
        <v>750</v>
      </c>
      <c r="AD198" s="56">
        <f t="shared" si="292"/>
        <v>750</v>
      </c>
      <c r="AE198" s="56">
        <f t="shared" si="292"/>
        <v>750</v>
      </c>
      <c r="AF198" s="56">
        <f t="shared" si="259"/>
        <v>261.43961538462133</v>
      </c>
      <c r="AG198" s="56">
        <f t="shared" si="292"/>
        <v>750</v>
      </c>
      <c r="AH198" s="56">
        <f>'Mortgage and Loans'!AF155</f>
        <v>0</v>
      </c>
      <c r="AI198" s="56">
        <f>'Mortgage and Loans'!AQ155</f>
        <v>0</v>
      </c>
      <c r="AJ198" s="56">
        <f>'Mortgage and Loans'!BB155</f>
        <v>0</v>
      </c>
      <c r="AK198" s="56">
        <f>'Mortgage and Loans'!BM155</f>
        <v>0</v>
      </c>
      <c r="AL198" s="56">
        <f>'Mortgage and Loans'!T160</f>
        <v>40638.079999999725</v>
      </c>
      <c r="AM198" s="12">
        <f t="shared" si="12"/>
        <v>-44649.51961538435</v>
      </c>
      <c r="AN198" s="75">
        <f t="shared" si="85"/>
        <v>1625647.363128332</v>
      </c>
      <c r="AO198" s="86">
        <f>'Mortgage and Loans'!G161</f>
        <v>0</v>
      </c>
      <c r="AP198" s="79">
        <f>('Salary Tax Breakdown'!B$16/12)-Data!AO198</f>
        <v>3447.5</v>
      </c>
      <c r="AQ198" s="87"/>
      <c r="AR198" s="20">
        <f t="shared" si="263"/>
        <v>4011.4396153846214</v>
      </c>
      <c r="AS198" s="20">
        <v>750</v>
      </c>
      <c r="AT198" s="20">
        <v>0</v>
      </c>
      <c r="AU198" s="20">
        <f t="shared" si="264"/>
        <v>4761.439615384621</v>
      </c>
      <c r="AV198" s="20">
        <f t="shared" si="265"/>
        <v>4761.439615384721</v>
      </c>
      <c r="AW198" s="51">
        <f t="shared" si="253"/>
        <v>0</v>
      </c>
      <c r="AX198" s="51">
        <f t="shared" si="14"/>
        <v>0</v>
      </c>
      <c r="AY198" s="51">
        <f t="shared" si="15"/>
        <v>0</v>
      </c>
      <c r="AZ198" s="51">
        <f t="shared" si="16"/>
        <v>0</v>
      </c>
      <c r="BA198" s="51">
        <f t="shared" si="17"/>
        <v>0</v>
      </c>
      <c r="BB198" s="51">
        <f t="shared" si="18"/>
        <v>0</v>
      </c>
      <c r="BC198" s="51">
        <f t="shared" si="19"/>
        <v>0</v>
      </c>
      <c r="BD198" s="51">
        <f t="shared" si="20"/>
        <v>0</v>
      </c>
      <c r="BE198" s="51">
        <f t="shared" si="21"/>
        <v>0</v>
      </c>
      <c r="BF198" s="51">
        <f t="shared" si="22"/>
        <v>0</v>
      </c>
      <c r="BG198" s="51">
        <f t="shared" si="23"/>
        <v>0</v>
      </c>
      <c r="BH198" s="51">
        <f t="shared" si="24"/>
        <v>0</v>
      </c>
      <c r="BI198" s="51">
        <f t="shared" si="266"/>
        <v>0</v>
      </c>
      <c r="BJ198" s="51">
        <f t="shared" si="267"/>
        <v>0</v>
      </c>
      <c r="BK198" s="51">
        <f t="shared" si="268"/>
        <v>0</v>
      </c>
      <c r="BL198" s="51">
        <f t="shared" si="269"/>
        <v>0</v>
      </c>
      <c r="BM198" s="51">
        <f t="shared" si="270"/>
        <v>0</v>
      </c>
      <c r="BN198" s="51">
        <f t="shared" si="271"/>
        <v>0</v>
      </c>
      <c r="BO198" s="51">
        <f t="shared" si="272"/>
        <v>0</v>
      </c>
      <c r="BP198" s="51">
        <f t="shared" si="273"/>
        <v>0</v>
      </c>
      <c r="BQ198" s="51">
        <f t="shared" si="274"/>
        <v>0</v>
      </c>
      <c r="BR198" s="51">
        <f t="shared" si="275"/>
        <v>0</v>
      </c>
      <c r="BS198" s="51">
        <f t="shared" si="276"/>
        <v>0</v>
      </c>
      <c r="BT198" s="51">
        <f t="shared" si="277"/>
        <v>0</v>
      </c>
      <c r="BU198" s="20">
        <f t="shared" si="278"/>
        <v>4761.4396153846292</v>
      </c>
      <c r="BV198" s="20">
        <f t="shared" si="279"/>
        <v>4761.4396153846137</v>
      </c>
      <c r="BW198" s="20">
        <f t="shared" si="280"/>
        <v>57137.275384615452</v>
      </c>
      <c r="BX198" s="20">
        <f t="shared" si="281"/>
        <v>57137.275384615554</v>
      </c>
      <c r="BY198" s="20">
        <f t="shared" si="282"/>
        <v>57137.275384615365</v>
      </c>
      <c r="BZ198" s="21">
        <f t="shared" si="283"/>
        <v>57137.275384615459</v>
      </c>
      <c r="CA198" s="19">
        <f t="shared" si="256"/>
        <v>1428431.8846153864</v>
      </c>
      <c r="CB198" s="20">
        <f t="shared" si="284"/>
        <v>1428431.8846153885</v>
      </c>
      <c r="CC198" s="20">
        <f t="shared" si="285"/>
        <v>1428431.8846153843</v>
      </c>
      <c r="CD198" s="20">
        <f t="shared" si="257"/>
        <v>0</v>
      </c>
      <c r="CE198" s="20">
        <f t="shared" si="261"/>
        <v>1400000</v>
      </c>
      <c r="CF198" s="20">
        <f t="shared" si="254"/>
        <v>1506945.1950450866</v>
      </c>
      <c r="CG198" s="20">
        <f t="shared" si="286"/>
        <v>60277.807801803465</v>
      </c>
      <c r="CH198" s="20">
        <f t="shared" si="255"/>
        <v>5023.150650150289</v>
      </c>
      <c r="CI198" s="20">
        <f t="shared" si="287"/>
        <v>1492151.9599890972</v>
      </c>
      <c r="CJ198" s="24">
        <f t="shared" si="288"/>
        <v>1.0549646862936262</v>
      </c>
      <c r="CK198" s="24">
        <f t="shared" si="289"/>
        <v>9.9320402249282024E-3</v>
      </c>
      <c r="CL198" s="24">
        <f t="shared" si="290"/>
        <v>3.0231560728917771E-2</v>
      </c>
      <c r="CM198" s="25">
        <f t="shared" si="291"/>
        <v>0.12940442265250429</v>
      </c>
      <c r="CN198" s="17"/>
      <c r="CO198" s="17"/>
      <c r="CP198" s="17"/>
      <c r="CQ198" s="17"/>
      <c r="CR198" s="17"/>
      <c r="CS198" s="17"/>
      <c r="CT198" s="17"/>
      <c r="CU198" s="17"/>
      <c r="CV198" s="17"/>
      <c r="CW198" s="30">
        <v>0</v>
      </c>
      <c r="CX198" s="17"/>
      <c r="CY198" s="17"/>
      <c r="CZ198" s="17"/>
      <c r="DA198" s="17"/>
      <c r="DB198" s="17"/>
    </row>
    <row r="199" spans="1:106" ht="15.75" thickBot="1" x14ac:dyDescent="0.3">
      <c r="A199" s="5">
        <f t="shared" si="258"/>
        <v>40</v>
      </c>
      <c r="B199" s="5">
        <f t="shared" si="258"/>
        <v>38</v>
      </c>
      <c r="C199" s="1">
        <v>48274</v>
      </c>
      <c r="D199" s="4"/>
      <c r="E199" s="30"/>
      <c r="F199" s="30"/>
      <c r="G199" s="30">
        <f t="shared" si="262"/>
        <v>0</v>
      </c>
      <c r="H199" s="30"/>
      <c r="I199" s="10">
        <v>0</v>
      </c>
      <c r="J199" s="60">
        <v>9000</v>
      </c>
      <c r="K199" s="11">
        <v>550</v>
      </c>
      <c r="L199" s="60">
        <f t="shared" si="72"/>
        <v>11048.101376265335</v>
      </c>
      <c r="M199" s="11">
        <v>305</v>
      </c>
      <c r="N199" s="60">
        <v>0</v>
      </c>
      <c r="O199" s="11">
        <v>0</v>
      </c>
      <c r="P199" s="11">
        <v>0</v>
      </c>
      <c r="Q199" s="60">
        <f>(Q198*($K$1/12))+Q198 + $Q$6</f>
        <v>215119.19968004824</v>
      </c>
      <c r="R199" s="60">
        <f>(R198*($K$1/12))+R198</f>
        <v>10867.046657268302</v>
      </c>
      <c r="S199" s="60">
        <f>(S198*($K$1/12))+S198</f>
        <v>9434.7765122311393</v>
      </c>
      <c r="T199" s="60">
        <f>(T198*($K$1/12))+T198+$T$6 + ((3%/12)*T$11)</f>
        <v>825529.01265256829</v>
      </c>
      <c r="U199" s="60">
        <f>(U198*$K$1/12) + U198 + ((U$11/12*7%))</f>
        <v>107442.19211293251</v>
      </c>
      <c r="V199" s="60">
        <v>3100</v>
      </c>
      <c r="W199" s="60">
        <f>(W198*($K$1/12))+W198+$W$6</f>
        <v>74504.67746925143</v>
      </c>
      <c r="X199" s="11">
        <v>0</v>
      </c>
      <c r="Y199" s="60">
        <f>(Y198*($K$1/12))+Y198+$Y$7</f>
        <v>278948.41310061404</v>
      </c>
      <c r="Z199" s="60">
        <f>'Mortgage and Loans'!U161</f>
        <v>140676.88000000006</v>
      </c>
      <c r="AA199" s="12">
        <f t="shared" si="252"/>
        <v>1686525.2995611792</v>
      </c>
      <c r="AB199" s="56">
        <f t="shared" si="292"/>
        <v>750</v>
      </c>
      <c r="AC199" s="56">
        <f t="shared" si="292"/>
        <v>750</v>
      </c>
      <c r="AD199" s="56">
        <f t="shared" si="292"/>
        <v>750</v>
      </c>
      <c r="AE199" s="56">
        <f t="shared" si="292"/>
        <v>750</v>
      </c>
      <c r="AF199" s="56">
        <f t="shared" si="259"/>
        <v>261.43961538461298</v>
      </c>
      <c r="AG199" s="56">
        <f t="shared" si="292"/>
        <v>750</v>
      </c>
      <c r="AH199" s="56">
        <f>'Mortgage and Loans'!AF156</f>
        <v>0</v>
      </c>
      <c r="AI199" s="56">
        <f>'Mortgage and Loans'!AQ156</f>
        <v>0</v>
      </c>
      <c r="AJ199" s="56">
        <f>'Mortgage and Loans'!BB156</f>
        <v>0</v>
      </c>
      <c r="AK199" s="56">
        <f>'Mortgage and Loans'!BM156</f>
        <v>0</v>
      </c>
      <c r="AL199" s="56">
        <f>'Mortgage and Loans'!T161</f>
        <v>39323.119999999719</v>
      </c>
      <c r="AM199" s="12">
        <f t="shared" si="12"/>
        <v>-43334.559615384329</v>
      </c>
      <c r="AN199" s="75">
        <f t="shared" si="85"/>
        <v>1643190.7399457949</v>
      </c>
      <c r="AO199" s="86">
        <f>'Mortgage and Loans'!G162</f>
        <v>0</v>
      </c>
      <c r="AP199" s="79">
        <f>('Salary Tax Breakdown'!B$16/12)-Data!AO199</f>
        <v>3447.5</v>
      </c>
      <c r="AQ199" s="87"/>
      <c r="AR199" s="20">
        <f t="shared" si="263"/>
        <v>4011.4396153846128</v>
      </c>
      <c r="AS199" s="20">
        <v>750</v>
      </c>
      <c r="AT199" s="20">
        <v>0</v>
      </c>
      <c r="AU199" s="20">
        <f t="shared" si="264"/>
        <v>4761.4396153846128</v>
      </c>
      <c r="AV199" s="20">
        <f t="shared" si="265"/>
        <v>4761.4396153846756</v>
      </c>
      <c r="AW199" s="51">
        <f t="shared" si="253"/>
        <v>0</v>
      </c>
      <c r="AX199" s="51">
        <f t="shared" si="14"/>
        <v>0</v>
      </c>
      <c r="AY199" s="51">
        <f t="shared" si="15"/>
        <v>0</v>
      </c>
      <c r="AZ199" s="51">
        <f t="shared" si="16"/>
        <v>0</v>
      </c>
      <c r="BA199" s="51">
        <f t="shared" si="17"/>
        <v>0</v>
      </c>
      <c r="BB199" s="51">
        <f t="shared" si="18"/>
        <v>0</v>
      </c>
      <c r="BC199" s="51">
        <f t="shared" si="19"/>
        <v>0</v>
      </c>
      <c r="BD199" s="51">
        <f t="shared" si="20"/>
        <v>0</v>
      </c>
      <c r="BE199" s="51">
        <f t="shared" si="21"/>
        <v>0</v>
      </c>
      <c r="BF199" s="51">
        <f t="shared" si="22"/>
        <v>0</v>
      </c>
      <c r="BG199" s="51">
        <f t="shared" si="23"/>
        <v>0</v>
      </c>
      <c r="BH199" s="51">
        <f t="shared" si="24"/>
        <v>0</v>
      </c>
      <c r="BI199" s="51">
        <f t="shared" si="266"/>
        <v>0</v>
      </c>
      <c r="BJ199" s="51">
        <f t="shared" si="267"/>
        <v>0</v>
      </c>
      <c r="BK199" s="51">
        <f t="shared" si="268"/>
        <v>0</v>
      </c>
      <c r="BL199" s="51">
        <f t="shared" si="269"/>
        <v>0</v>
      </c>
      <c r="BM199" s="51">
        <f t="shared" si="270"/>
        <v>0</v>
      </c>
      <c r="BN199" s="51">
        <f t="shared" si="271"/>
        <v>0</v>
      </c>
      <c r="BO199" s="51">
        <f t="shared" si="272"/>
        <v>0</v>
      </c>
      <c r="BP199" s="51">
        <f t="shared" si="273"/>
        <v>0</v>
      </c>
      <c r="BQ199" s="51">
        <f t="shared" si="274"/>
        <v>0</v>
      </c>
      <c r="BR199" s="51">
        <f t="shared" si="275"/>
        <v>0</v>
      </c>
      <c r="BS199" s="51">
        <f t="shared" si="276"/>
        <v>0</v>
      </c>
      <c r="BT199" s="51">
        <f t="shared" si="277"/>
        <v>0</v>
      </c>
      <c r="BU199" s="20">
        <f t="shared" si="278"/>
        <v>4761.439615384621</v>
      </c>
      <c r="BV199" s="20">
        <f t="shared" si="279"/>
        <v>4761.4396153846083</v>
      </c>
      <c r="BW199" s="20">
        <f t="shared" si="280"/>
        <v>57137.27538461535</v>
      </c>
      <c r="BX199" s="20">
        <f t="shared" si="281"/>
        <v>57137.275384615452</v>
      </c>
      <c r="BY199" s="20">
        <f t="shared" si="282"/>
        <v>57137.275384615299</v>
      </c>
      <c r="BZ199" s="21">
        <f t="shared" si="283"/>
        <v>57137.275384615372</v>
      </c>
      <c r="CA199" s="19">
        <f t="shared" si="256"/>
        <v>1428431.8846153843</v>
      </c>
      <c r="CB199" s="20">
        <f t="shared" si="284"/>
        <v>1428431.8846153866</v>
      </c>
      <c r="CC199" s="20">
        <f t="shared" si="285"/>
        <v>1428431.8846153829</v>
      </c>
      <c r="CD199" s="20">
        <f t="shared" si="257"/>
        <v>0</v>
      </c>
      <c r="CE199" s="20">
        <f t="shared" si="261"/>
        <v>1400000</v>
      </c>
      <c r="CF199" s="20">
        <f t="shared" si="254"/>
        <v>1521845.3181849138</v>
      </c>
      <c r="CG199" s="20">
        <f t="shared" si="286"/>
        <v>60873.812727396551</v>
      </c>
      <c r="CH199" s="20">
        <f t="shared" si="255"/>
        <v>5072.8177272830462</v>
      </c>
      <c r="CI199" s="20">
        <f t="shared" si="287"/>
        <v>1506971.9531057049</v>
      </c>
      <c r="CJ199" s="24">
        <f t="shared" si="288"/>
        <v>1.0653957914098784</v>
      </c>
      <c r="CK199" s="24">
        <f t="shared" si="289"/>
        <v>9.8876343936193916E-3</v>
      </c>
      <c r="CL199" s="24">
        <f t="shared" si="290"/>
        <v>3.0093691998378126E-2</v>
      </c>
      <c r="CM199" s="25">
        <f t="shared" si="291"/>
        <v>0.12875775915229096</v>
      </c>
      <c r="CN199" s="17"/>
      <c r="CO199" s="17"/>
      <c r="CP199" s="17"/>
      <c r="CQ199" s="17"/>
      <c r="CR199" s="17"/>
      <c r="CS199" s="17"/>
      <c r="CT199" s="17"/>
      <c r="CU199" s="17"/>
      <c r="CV199" s="17"/>
      <c r="CW199" s="30">
        <v>0</v>
      </c>
      <c r="CX199" s="17"/>
      <c r="CY199" s="17"/>
      <c r="CZ199" s="17"/>
      <c r="DA199" s="17"/>
      <c r="DB199" s="17"/>
    </row>
    <row r="200" spans="1:106" ht="15.75" thickBot="1" x14ac:dyDescent="0.3">
      <c r="A200" s="5">
        <f t="shared" si="258"/>
        <v>40</v>
      </c>
      <c r="B200" s="5">
        <f t="shared" si="258"/>
        <v>38</v>
      </c>
      <c r="C200" s="1">
        <v>48305</v>
      </c>
      <c r="D200" s="4"/>
      <c r="E200" s="30"/>
      <c r="F200" s="30"/>
      <c r="G200" s="30">
        <f t="shared" si="262"/>
        <v>0</v>
      </c>
      <c r="H200" s="30"/>
      <c r="I200" s="10">
        <v>0</v>
      </c>
      <c r="J200" s="60">
        <v>9000</v>
      </c>
      <c r="K200" s="11">
        <v>550</v>
      </c>
      <c r="L200" s="60">
        <f t="shared" si="72"/>
        <v>11061.451165428321</v>
      </c>
      <c r="M200" s="11">
        <v>305</v>
      </c>
      <c r="N200" s="60">
        <v>0</v>
      </c>
      <c r="O200" s="11">
        <v>0</v>
      </c>
      <c r="P200" s="11">
        <v>0</v>
      </c>
      <c r="Q200" s="60">
        <f>(Q199*($K$1/12))+Q199 + $Q$6</f>
        <v>217201.09867831517</v>
      </c>
      <c r="R200" s="60">
        <f>(R199*($K$1/12))+R199</f>
        <v>10925.909826661838</v>
      </c>
      <c r="S200" s="60">
        <f>(S199*($K$1/12))+S199</f>
        <v>9485.8815516723917</v>
      </c>
      <c r="T200" s="60">
        <f>(T199*($K$1/12))+T199+$T$6 + ((3%/12)*T$11)</f>
        <v>833175.62813776964</v>
      </c>
      <c r="U200" s="60">
        <f>(U199*$K$1/12) + U199 + ((U$11/12*7%))</f>
        <v>108432.50398687755</v>
      </c>
      <c r="V200" s="60">
        <v>3100</v>
      </c>
      <c r="W200" s="60">
        <f>(W199*($K$1/12))+W199+$W$6</f>
        <v>75195.744472209873</v>
      </c>
      <c r="X200" s="11">
        <v>0</v>
      </c>
      <c r="Y200" s="60">
        <f>(Y199*($K$1/12))+Y199+$Y$7</f>
        <v>282409.38367157569</v>
      </c>
      <c r="Z200" s="60">
        <f>'Mortgage and Loans'!U162</f>
        <v>141996.36000000004</v>
      </c>
      <c r="AA200" s="12">
        <f t="shared" si="252"/>
        <v>1702838.9614905105</v>
      </c>
      <c r="AB200" s="56">
        <f t="shared" si="292"/>
        <v>750</v>
      </c>
      <c r="AC200" s="56">
        <f t="shared" si="292"/>
        <v>750</v>
      </c>
      <c r="AD200" s="56">
        <f t="shared" si="292"/>
        <v>750</v>
      </c>
      <c r="AE200" s="56">
        <f t="shared" si="292"/>
        <v>750</v>
      </c>
      <c r="AF200" s="56">
        <f t="shared" si="259"/>
        <v>261.43961538460775</v>
      </c>
      <c r="AG200" s="56">
        <f t="shared" si="292"/>
        <v>750</v>
      </c>
      <c r="AH200" s="56">
        <f>'Mortgage and Loans'!AF157</f>
        <v>0</v>
      </c>
      <c r="AI200" s="56">
        <f>'Mortgage and Loans'!AQ157</f>
        <v>0</v>
      </c>
      <c r="AJ200" s="56">
        <f>'Mortgage and Loans'!BB157</f>
        <v>0</v>
      </c>
      <c r="AK200" s="56">
        <f>'Mortgage and Loans'!BM157</f>
        <v>0</v>
      </c>
      <c r="AL200" s="56">
        <f>'Mortgage and Loans'!T162</f>
        <v>38003.639999999716</v>
      </c>
      <c r="AM200" s="12">
        <f t="shared" si="12"/>
        <v>-42015.079615384326</v>
      </c>
      <c r="AN200" s="75">
        <f t="shared" si="85"/>
        <v>1660823.8818751262</v>
      </c>
      <c r="AO200" s="86">
        <f>'Mortgage and Loans'!G163</f>
        <v>0</v>
      </c>
      <c r="AP200" s="79">
        <f>('Salary Tax Breakdown'!B$16/12)-Data!AO200</f>
        <v>3447.5</v>
      </c>
      <c r="AQ200" s="87"/>
      <c r="AR200" s="20">
        <f t="shared" si="263"/>
        <v>4011.4396153846078</v>
      </c>
      <c r="AS200" s="20">
        <v>750</v>
      </c>
      <c r="AT200" s="20">
        <v>0</v>
      </c>
      <c r="AU200" s="20">
        <f t="shared" si="264"/>
        <v>4761.4396153846083</v>
      </c>
      <c r="AV200" s="20">
        <f t="shared" si="265"/>
        <v>4761.4396153846228</v>
      </c>
      <c r="AW200" s="51">
        <f t="shared" si="253"/>
        <v>0</v>
      </c>
      <c r="AX200" s="51">
        <f t="shared" si="14"/>
        <v>0</v>
      </c>
      <c r="AY200" s="51">
        <f t="shared" si="15"/>
        <v>0</v>
      </c>
      <c r="AZ200" s="51">
        <f t="shared" si="16"/>
        <v>0</v>
      </c>
      <c r="BA200" s="51">
        <f t="shared" si="17"/>
        <v>0</v>
      </c>
      <c r="BB200" s="51">
        <f t="shared" si="18"/>
        <v>0</v>
      </c>
      <c r="BC200" s="51">
        <f t="shared" si="19"/>
        <v>0</v>
      </c>
      <c r="BD200" s="51">
        <f t="shared" si="20"/>
        <v>0</v>
      </c>
      <c r="BE200" s="51">
        <f t="shared" si="21"/>
        <v>0</v>
      </c>
      <c r="BF200" s="51">
        <f t="shared" si="22"/>
        <v>0</v>
      </c>
      <c r="BG200" s="51">
        <f t="shared" si="23"/>
        <v>0</v>
      </c>
      <c r="BH200" s="51">
        <f t="shared" si="24"/>
        <v>0</v>
      </c>
      <c r="BI200" s="51">
        <f t="shared" si="266"/>
        <v>0</v>
      </c>
      <c r="BJ200" s="51">
        <f t="shared" si="267"/>
        <v>0</v>
      </c>
      <c r="BK200" s="51">
        <f t="shared" si="268"/>
        <v>0</v>
      </c>
      <c r="BL200" s="51">
        <f t="shared" si="269"/>
        <v>0</v>
      </c>
      <c r="BM200" s="51">
        <f t="shared" si="270"/>
        <v>0</v>
      </c>
      <c r="BN200" s="51">
        <f t="shared" si="271"/>
        <v>0</v>
      </c>
      <c r="BO200" s="51">
        <f t="shared" si="272"/>
        <v>0</v>
      </c>
      <c r="BP200" s="51">
        <f t="shared" si="273"/>
        <v>0</v>
      </c>
      <c r="BQ200" s="51">
        <f t="shared" si="274"/>
        <v>0</v>
      </c>
      <c r="BR200" s="51">
        <f t="shared" si="275"/>
        <v>0</v>
      </c>
      <c r="BS200" s="51">
        <f t="shared" si="276"/>
        <v>0</v>
      </c>
      <c r="BT200" s="51">
        <f t="shared" si="277"/>
        <v>0</v>
      </c>
      <c r="BU200" s="20">
        <f t="shared" si="278"/>
        <v>4761.4396153846146</v>
      </c>
      <c r="BV200" s="20">
        <f t="shared" si="279"/>
        <v>4761.4396153846064</v>
      </c>
      <c r="BW200" s="20">
        <f t="shared" si="280"/>
        <v>57137.275384615299</v>
      </c>
      <c r="BX200" s="20">
        <f t="shared" si="281"/>
        <v>57137.275384615379</v>
      </c>
      <c r="BY200" s="20">
        <f t="shared" si="282"/>
        <v>57137.275384615277</v>
      </c>
      <c r="BZ200" s="21">
        <f t="shared" si="283"/>
        <v>57137.275384615314</v>
      </c>
      <c r="CA200" s="19">
        <f t="shared" si="256"/>
        <v>1428431.8846153829</v>
      </c>
      <c r="CB200" s="20">
        <f t="shared" si="284"/>
        <v>1428431.8846153847</v>
      </c>
      <c r="CC200" s="20">
        <f t="shared" si="285"/>
        <v>1428431.8846153822</v>
      </c>
      <c r="CD200" s="20">
        <f t="shared" si="257"/>
        <v>0</v>
      </c>
      <c r="CE200" s="20">
        <f t="shared" si="261"/>
        <v>1400000</v>
      </c>
      <c r="CF200" s="20">
        <f t="shared" si="254"/>
        <v>1536826.1503250822</v>
      </c>
      <c r="CG200" s="20">
        <f t="shared" si="286"/>
        <v>61473.046013003288</v>
      </c>
      <c r="CH200" s="20">
        <f t="shared" si="255"/>
        <v>5122.7538344169407</v>
      </c>
      <c r="CI200" s="20">
        <f t="shared" si="287"/>
        <v>1521872.2211850276</v>
      </c>
      <c r="CJ200" s="24">
        <f t="shared" si="288"/>
        <v>1.0758833983455105</v>
      </c>
      <c r="CK200" s="24">
        <f t="shared" si="289"/>
        <v>9.8438599252885055E-3</v>
      </c>
      <c r="CL200" s="24">
        <f t="shared" si="290"/>
        <v>2.995780773725833E-2</v>
      </c>
      <c r="CM200" s="25">
        <f t="shared" si="291"/>
        <v>0.12812095875029056</v>
      </c>
      <c r="CN200" s="17"/>
      <c r="CO200" s="17"/>
      <c r="CP200" s="17"/>
      <c r="CQ200" s="17"/>
      <c r="CR200" s="17"/>
      <c r="CS200" s="17"/>
      <c r="CT200" s="17"/>
      <c r="CU200" s="17"/>
      <c r="CV200" s="17"/>
      <c r="CW200" s="30">
        <v>0</v>
      </c>
      <c r="CX200" s="17"/>
      <c r="CY200" s="17"/>
      <c r="CZ200" s="17"/>
      <c r="DA200" s="17"/>
      <c r="DB200" s="17"/>
    </row>
    <row r="201" spans="1:106" ht="15.75" thickBot="1" x14ac:dyDescent="0.3">
      <c r="A201" s="5">
        <f t="shared" si="258"/>
        <v>40</v>
      </c>
      <c r="B201" s="5">
        <f t="shared" si="258"/>
        <v>38</v>
      </c>
      <c r="C201" s="1">
        <v>48335</v>
      </c>
      <c r="D201" s="4"/>
      <c r="E201" s="30"/>
      <c r="F201" s="30"/>
      <c r="G201" s="30">
        <f t="shared" si="262"/>
        <v>0</v>
      </c>
      <c r="H201" s="30"/>
      <c r="I201" s="10">
        <v>0</v>
      </c>
      <c r="J201" s="60">
        <v>9000</v>
      </c>
      <c r="K201" s="11">
        <v>550</v>
      </c>
      <c r="L201" s="60">
        <f t="shared" si="72"/>
        <v>11074.817085586546</v>
      </c>
      <c r="M201" s="11">
        <v>305</v>
      </c>
      <c r="N201" s="60">
        <v>0</v>
      </c>
      <c r="O201" s="11">
        <v>0</v>
      </c>
      <c r="P201" s="11">
        <v>0</v>
      </c>
      <c r="Q201" s="60">
        <f>(Q200*($K$1/12))+Q200 + $Q$6</f>
        <v>219294.2746294894</v>
      </c>
      <c r="R201" s="60">
        <f>(R200*($K$1/12))+R200</f>
        <v>10985.091838222923</v>
      </c>
      <c r="S201" s="60">
        <f>(S200*($K$1/12))+S200</f>
        <v>9537.263410077283</v>
      </c>
      <c r="T201" s="60">
        <f>(T200*($K$1/12))+T200+$T$6 + ((3%/12)*T$11)</f>
        <v>840863.66279018251</v>
      </c>
      <c r="U201" s="60">
        <f>(U200*$K$1/12) + U200 + ((U$11/12*7%))</f>
        <v>109428.1800501398</v>
      </c>
      <c r="V201" s="60">
        <v>3100</v>
      </c>
      <c r="W201" s="60">
        <f>(W200*($K$1/12))+W200+$W$6</f>
        <v>75890.554754767683</v>
      </c>
      <c r="X201" s="11">
        <v>0</v>
      </c>
      <c r="Y201" s="60">
        <f>(Y200*($K$1/12))+Y200+$Y$7</f>
        <v>285889.1011664634</v>
      </c>
      <c r="Z201" s="60">
        <f>'Mortgage and Loans'!U163</f>
        <v>143320.38000000006</v>
      </c>
      <c r="AA201" s="12">
        <f t="shared" si="252"/>
        <v>1719238.3257249298</v>
      </c>
      <c r="AB201" s="56">
        <f t="shared" si="292"/>
        <v>750</v>
      </c>
      <c r="AC201" s="56">
        <f t="shared" si="292"/>
        <v>750</v>
      </c>
      <c r="AD201" s="56">
        <f t="shared" si="292"/>
        <v>750</v>
      </c>
      <c r="AE201" s="56">
        <f t="shared" si="292"/>
        <v>750</v>
      </c>
      <c r="AF201" s="56">
        <f t="shared" si="259"/>
        <v>261.43961538460644</v>
      </c>
      <c r="AG201" s="56">
        <f t="shared" si="292"/>
        <v>750</v>
      </c>
      <c r="AH201" s="56">
        <f>'Mortgage and Loans'!AF158</f>
        <v>0</v>
      </c>
      <c r="AI201" s="56">
        <f>'Mortgage and Loans'!AQ158</f>
        <v>0</v>
      </c>
      <c r="AJ201" s="56">
        <f>'Mortgage and Loans'!BB158</f>
        <v>0</v>
      </c>
      <c r="AK201" s="56">
        <f>'Mortgage and Loans'!BM158</f>
        <v>0</v>
      </c>
      <c r="AL201" s="56">
        <f>'Mortgage and Loans'!T163</f>
        <v>36679.619999999712</v>
      </c>
      <c r="AM201" s="12">
        <f t="shared" si="12"/>
        <v>-40691.059615384322</v>
      </c>
      <c r="AN201" s="75">
        <f t="shared" si="85"/>
        <v>1678547.2661095455</v>
      </c>
      <c r="AO201" s="86">
        <f>'Mortgage and Loans'!G164</f>
        <v>0</v>
      </c>
      <c r="AP201" s="79">
        <f>('Salary Tax Breakdown'!B$16/12)-Data!AO201</f>
        <v>3447.5</v>
      </c>
      <c r="AQ201" s="87"/>
      <c r="AR201" s="20">
        <f t="shared" si="263"/>
        <v>4011.4396153846064</v>
      </c>
      <c r="AS201" s="20">
        <v>750</v>
      </c>
      <c r="AT201" s="20">
        <v>0</v>
      </c>
      <c r="AU201" s="20">
        <f t="shared" si="264"/>
        <v>4761.4396153846064</v>
      </c>
      <c r="AV201" s="20">
        <f t="shared" si="265"/>
        <v>4761.4396153845828</v>
      </c>
      <c r="AW201" s="51">
        <f t="shared" si="253"/>
        <v>0</v>
      </c>
      <c r="AX201" s="51">
        <f t="shared" si="14"/>
        <v>0</v>
      </c>
      <c r="AY201" s="51">
        <f t="shared" si="15"/>
        <v>0</v>
      </c>
      <c r="AZ201" s="51">
        <f t="shared" si="16"/>
        <v>0</v>
      </c>
      <c r="BA201" s="51">
        <f t="shared" si="17"/>
        <v>0</v>
      </c>
      <c r="BB201" s="51">
        <f t="shared" si="18"/>
        <v>0</v>
      </c>
      <c r="BC201" s="51">
        <f t="shared" si="19"/>
        <v>0</v>
      </c>
      <c r="BD201" s="51">
        <f t="shared" si="20"/>
        <v>0</v>
      </c>
      <c r="BE201" s="51">
        <f t="shared" si="21"/>
        <v>0</v>
      </c>
      <c r="BF201" s="51">
        <f t="shared" si="22"/>
        <v>0</v>
      </c>
      <c r="BG201" s="51">
        <f t="shared" si="23"/>
        <v>0</v>
      </c>
      <c r="BH201" s="51">
        <f t="shared" si="24"/>
        <v>0</v>
      </c>
      <c r="BI201" s="51">
        <f t="shared" si="266"/>
        <v>0</v>
      </c>
      <c r="BJ201" s="51">
        <f t="shared" si="267"/>
        <v>0</v>
      </c>
      <c r="BK201" s="51">
        <f t="shared" si="268"/>
        <v>0</v>
      </c>
      <c r="BL201" s="51">
        <f t="shared" si="269"/>
        <v>0</v>
      </c>
      <c r="BM201" s="51">
        <f t="shared" si="270"/>
        <v>0</v>
      </c>
      <c r="BN201" s="51">
        <f t="shared" si="271"/>
        <v>0</v>
      </c>
      <c r="BO201" s="51">
        <f t="shared" si="272"/>
        <v>0</v>
      </c>
      <c r="BP201" s="51">
        <f t="shared" si="273"/>
        <v>0</v>
      </c>
      <c r="BQ201" s="51">
        <f t="shared" si="274"/>
        <v>0</v>
      </c>
      <c r="BR201" s="51">
        <f t="shared" si="275"/>
        <v>0</v>
      </c>
      <c r="BS201" s="51">
        <f t="shared" si="276"/>
        <v>0</v>
      </c>
      <c r="BT201" s="51">
        <f t="shared" si="277"/>
        <v>0</v>
      </c>
      <c r="BU201" s="20">
        <f t="shared" si="278"/>
        <v>4761.4396153846092</v>
      </c>
      <c r="BV201" s="20">
        <f t="shared" si="279"/>
        <v>4761.4396153846074</v>
      </c>
      <c r="BW201" s="20">
        <f t="shared" si="280"/>
        <v>57137.275384615277</v>
      </c>
      <c r="BX201" s="20">
        <f t="shared" si="281"/>
        <v>57137.275384615306</v>
      </c>
      <c r="BY201" s="20">
        <f t="shared" si="282"/>
        <v>57137.275384615292</v>
      </c>
      <c r="BZ201" s="21">
        <f t="shared" si="283"/>
        <v>57137.275384615292</v>
      </c>
      <c r="CA201" s="19">
        <f t="shared" si="256"/>
        <v>1428431.8846153822</v>
      </c>
      <c r="CB201" s="20">
        <f t="shared" si="284"/>
        <v>1428431.8846153831</v>
      </c>
      <c r="CC201" s="20">
        <f t="shared" si="285"/>
        <v>1428431.8846153829</v>
      </c>
      <c r="CD201" s="20">
        <f t="shared" si="257"/>
        <v>0</v>
      </c>
      <c r="CE201" s="20">
        <f t="shared" si="261"/>
        <v>1400000</v>
      </c>
      <c r="CF201" s="20">
        <f t="shared" si="254"/>
        <v>1551888.1286393432</v>
      </c>
      <c r="CG201" s="20">
        <f t="shared" si="286"/>
        <v>62075.525145573731</v>
      </c>
      <c r="CH201" s="20">
        <f t="shared" si="255"/>
        <v>5172.9604287978109</v>
      </c>
      <c r="CI201" s="20">
        <f t="shared" si="287"/>
        <v>1536853.1990497799</v>
      </c>
      <c r="CJ201" s="24">
        <f t="shared" si="288"/>
        <v>1.0864278131520437</v>
      </c>
      <c r="CK201" s="24">
        <f t="shared" si="289"/>
        <v>9.8007040751323226E-3</v>
      </c>
      <c r="CL201" s="24">
        <f t="shared" si="290"/>
        <v>2.9823867345694668E-2</v>
      </c>
      <c r="CM201" s="25">
        <f t="shared" si="291"/>
        <v>0.12749380658369167</v>
      </c>
      <c r="CN201" s="17"/>
      <c r="CO201" s="17"/>
      <c r="CP201" s="17"/>
      <c r="CQ201" s="17"/>
      <c r="CR201" s="17"/>
      <c r="CS201" s="17"/>
      <c r="CT201" s="17"/>
      <c r="CU201" s="17"/>
      <c r="CV201" s="17"/>
      <c r="CW201" s="30">
        <v>0</v>
      </c>
      <c r="CX201" s="17"/>
      <c r="CY201" s="17"/>
      <c r="CZ201" s="17"/>
      <c r="DA201" s="17"/>
      <c r="DB201" s="17"/>
    </row>
    <row r="202" spans="1:106" ht="15.75" thickBot="1" x14ac:dyDescent="0.3">
      <c r="A202" s="5">
        <f t="shared" si="258"/>
        <v>40</v>
      </c>
      <c r="B202" s="5">
        <f t="shared" si="258"/>
        <v>38</v>
      </c>
      <c r="C202" s="1">
        <v>48366</v>
      </c>
      <c r="D202" s="4"/>
      <c r="E202" s="30"/>
      <c r="F202" s="30"/>
      <c r="G202" s="30">
        <f t="shared" si="262"/>
        <v>0</v>
      </c>
      <c r="H202" s="30"/>
      <c r="I202" s="10">
        <v>0</v>
      </c>
      <c r="J202" s="60">
        <v>9000</v>
      </c>
      <c r="K202" s="11">
        <v>550</v>
      </c>
      <c r="L202" s="60">
        <f t="shared" si="72"/>
        <v>11088.199156231629</v>
      </c>
      <c r="M202" s="11">
        <v>305</v>
      </c>
      <c r="N202" s="60">
        <v>0</v>
      </c>
      <c r="O202" s="11">
        <v>0</v>
      </c>
      <c r="P202" s="11">
        <v>0</v>
      </c>
      <c r="Q202" s="60">
        <f>(Q201*($K$1/12))+Q201 + $Q$6</f>
        <v>221398.78861706582</v>
      </c>
      <c r="R202" s="60">
        <f>(R201*($K$1/12))+R201</f>
        <v>11044.594419013298</v>
      </c>
      <c r="S202" s="60">
        <f>(S201*($K$1/12))+S201</f>
        <v>9588.9235868818687</v>
      </c>
      <c r="T202" s="60">
        <f>(T201*($K$1/12))+T201+$T$6 + ((3%/12)*T$11)</f>
        <v>848593.34096362931</v>
      </c>
      <c r="U202" s="60">
        <f>(U201*$K$1/12) + U201 + ((U$11/12*7%))</f>
        <v>110429.24935874471</v>
      </c>
      <c r="V202" s="60">
        <v>3100</v>
      </c>
      <c r="W202" s="60">
        <f>(W201*($K$1/12))+W201+$W$6</f>
        <v>76589.128593022673</v>
      </c>
      <c r="X202" s="11">
        <v>0</v>
      </c>
      <c r="Y202" s="60">
        <f>(Y201*($K$1/12))+Y201+$Y$7</f>
        <v>289387.6671311151</v>
      </c>
      <c r="Z202" s="60">
        <f>'Mortgage and Loans'!U164</f>
        <v>144648.96000000005</v>
      </c>
      <c r="AA202" s="12">
        <f t="shared" si="252"/>
        <v>1735723.8518257043</v>
      </c>
      <c r="AB202" s="56">
        <f t="shared" si="292"/>
        <v>750</v>
      </c>
      <c r="AC202" s="56">
        <f t="shared" si="292"/>
        <v>750</v>
      </c>
      <c r="AD202" s="56">
        <f t="shared" si="292"/>
        <v>750</v>
      </c>
      <c r="AE202" s="56">
        <f t="shared" si="292"/>
        <v>750</v>
      </c>
      <c r="AF202" s="56">
        <f t="shared" si="259"/>
        <v>261.43961538460837</v>
      </c>
      <c r="AG202" s="56">
        <f t="shared" si="292"/>
        <v>750</v>
      </c>
      <c r="AH202" s="56">
        <f>'Mortgage and Loans'!AF159</f>
        <v>0</v>
      </c>
      <c r="AI202" s="56">
        <f>'Mortgage and Loans'!AQ159</f>
        <v>0</v>
      </c>
      <c r="AJ202" s="56">
        <f>'Mortgage and Loans'!BB159</f>
        <v>0</v>
      </c>
      <c r="AK202" s="56">
        <f>'Mortgage and Loans'!BM159</f>
        <v>0</v>
      </c>
      <c r="AL202" s="56">
        <f>'Mortgage and Loans'!T164</f>
        <v>35351.03999999971</v>
      </c>
      <c r="AM202" s="12">
        <f t="shared" si="12"/>
        <v>-39362.47961538432</v>
      </c>
      <c r="AN202" s="75">
        <f t="shared" si="85"/>
        <v>1696361.3722103201</v>
      </c>
      <c r="AO202" s="86">
        <f>'Mortgage and Loans'!G165</f>
        <v>0</v>
      </c>
      <c r="AP202" s="79">
        <f>('Salary Tax Breakdown'!B$16/12)-Data!AO202</f>
        <v>3447.5</v>
      </c>
      <c r="AQ202" s="87"/>
      <c r="AR202" s="20">
        <f t="shared" si="263"/>
        <v>4011.4396153846083</v>
      </c>
      <c r="AS202" s="20">
        <v>750</v>
      </c>
      <c r="AT202" s="20">
        <v>0</v>
      </c>
      <c r="AU202" s="20">
        <f t="shared" si="264"/>
        <v>4761.4396153846083</v>
      </c>
      <c r="AV202" s="20">
        <f t="shared" si="265"/>
        <v>4761.4396153845646</v>
      </c>
      <c r="AW202" s="51">
        <f t="shared" si="253"/>
        <v>0</v>
      </c>
      <c r="AX202" s="51">
        <f t="shared" si="14"/>
        <v>0</v>
      </c>
      <c r="AY202" s="51">
        <f t="shared" si="15"/>
        <v>0</v>
      </c>
      <c r="AZ202" s="51">
        <f t="shared" si="16"/>
        <v>0</v>
      </c>
      <c r="BA202" s="51">
        <f t="shared" si="17"/>
        <v>0</v>
      </c>
      <c r="BB202" s="51">
        <f t="shared" si="18"/>
        <v>0</v>
      </c>
      <c r="BC202" s="51">
        <f t="shared" si="19"/>
        <v>0</v>
      </c>
      <c r="BD202" s="51">
        <f t="shared" si="20"/>
        <v>0</v>
      </c>
      <c r="BE202" s="51">
        <f t="shared" si="21"/>
        <v>0</v>
      </c>
      <c r="BF202" s="51">
        <f t="shared" si="22"/>
        <v>0</v>
      </c>
      <c r="BG202" s="51">
        <f t="shared" si="23"/>
        <v>0</v>
      </c>
      <c r="BH202" s="51">
        <f t="shared" si="24"/>
        <v>0</v>
      </c>
      <c r="BI202" s="51">
        <f t="shared" si="266"/>
        <v>0</v>
      </c>
      <c r="BJ202" s="51">
        <f t="shared" si="267"/>
        <v>0</v>
      </c>
      <c r="BK202" s="51">
        <f t="shared" si="268"/>
        <v>0</v>
      </c>
      <c r="BL202" s="51">
        <f t="shared" si="269"/>
        <v>0</v>
      </c>
      <c r="BM202" s="51">
        <f t="shared" si="270"/>
        <v>0</v>
      </c>
      <c r="BN202" s="51">
        <f t="shared" si="271"/>
        <v>0</v>
      </c>
      <c r="BO202" s="51">
        <f t="shared" si="272"/>
        <v>0</v>
      </c>
      <c r="BP202" s="51">
        <f t="shared" si="273"/>
        <v>0</v>
      </c>
      <c r="BQ202" s="51">
        <f t="shared" si="274"/>
        <v>0</v>
      </c>
      <c r="BR202" s="51">
        <f t="shared" si="275"/>
        <v>0</v>
      </c>
      <c r="BS202" s="51">
        <f t="shared" si="276"/>
        <v>0</v>
      </c>
      <c r="BT202" s="51">
        <f t="shared" si="277"/>
        <v>0</v>
      </c>
      <c r="BU202" s="20">
        <f t="shared" si="278"/>
        <v>4761.4396153846074</v>
      </c>
      <c r="BV202" s="20">
        <f t="shared" si="279"/>
        <v>4761.4396153846119</v>
      </c>
      <c r="BW202" s="20">
        <f t="shared" si="280"/>
        <v>57137.275384615299</v>
      </c>
      <c r="BX202" s="20">
        <f t="shared" si="281"/>
        <v>57137.275384615292</v>
      </c>
      <c r="BY202" s="20">
        <f t="shared" si="282"/>
        <v>57137.275384615343</v>
      </c>
      <c r="BZ202" s="21">
        <f t="shared" si="283"/>
        <v>57137.275384615314</v>
      </c>
      <c r="CA202" s="19">
        <f t="shared" si="256"/>
        <v>1428431.8846153829</v>
      </c>
      <c r="CB202" s="20">
        <f t="shared" si="284"/>
        <v>1428431.8846153829</v>
      </c>
      <c r="CC202" s="20">
        <f t="shared" si="285"/>
        <v>1428431.8846153833</v>
      </c>
      <c r="CD202" s="20">
        <f t="shared" si="257"/>
        <v>0</v>
      </c>
      <c r="CE202" s="20">
        <f t="shared" si="261"/>
        <v>1400000</v>
      </c>
      <c r="CF202" s="20">
        <f t="shared" si="254"/>
        <v>1567031.6926694731</v>
      </c>
      <c r="CG202" s="20">
        <f t="shared" si="286"/>
        <v>62681.267706778926</v>
      </c>
      <c r="CH202" s="20">
        <f t="shared" si="255"/>
        <v>5223.4389755649108</v>
      </c>
      <c r="CI202" s="20">
        <f t="shared" si="287"/>
        <v>1551915.323877966</v>
      </c>
      <c r="CJ202" s="24">
        <f t="shared" si="288"/>
        <v>1.0970293435387781</v>
      </c>
      <c r="CK202" s="24">
        <f t="shared" si="289"/>
        <v>9.7581544382373923E-3</v>
      </c>
      <c r="CL202" s="24">
        <f t="shared" si="290"/>
        <v>2.9691831321236064E-2</v>
      </c>
      <c r="CM202" s="25">
        <f t="shared" si="291"/>
        <v>0.12687609397418745</v>
      </c>
      <c r="CN202" s="17"/>
      <c r="CO202" s="17"/>
      <c r="CP202" s="17"/>
      <c r="CQ202" s="17"/>
      <c r="CR202" s="17"/>
      <c r="CS202" s="17"/>
      <c r="CT202" s="17"/>
      <c r="CU202" s="17"/>
      <c r="CV202" s="17"/>
      <c r="CW202" s="30">
        <v>0</v>
      </c>
      <c r="CX202" s="17"/>
      <c r="CY202" s="17"/>
      <c r="CZ202" s="17"/>
      <c r="DA202" s="17"/>
      <c r="DB202" s="17"/>
    </row>
    <row r="203" spans="1:106" ht="15.75" thickBot="1" x14ac:dyDescent="0.3">
      <c r="A203" s="5">
        <f t="shared" si="258"/>
        <v>40</v>
      </c>
      <c r="B203" s="5">
        <f t="shared" si="258"/>
        <v>38</v>
      </c>
      <c r="C203" s="1">
        <v>48396</v>
      </c>
      <c r="D203" s="4"/>
      <c r="E203" s="30"/>
      <c r="F203" s="30"/>
      <c r="G203" s="30">
        <f t="shared" si="262"/>
        <v>0</v>
      </c>
      <c r="H203" s="30"/>
      <c r="I203" s="10">
        <v>0</v>
      </c>
      <c r="J203" s="60">
        <v>9000</v>
      </c>
      <c r="K203" s="11">
        <v>550</v>
      </c>
      <c r="L203" s="60">
        <f t="shared" si="72"/>
        <v>11101.597396878742</v>
      </c>
      <c r="M203" s="11">
        <v>305</v>
      </c>
      <c r="N203" s="60">
        <v>0</v>
      </c>
      <c r="O203" s="11">
        <v>0</v>
      </c>
      <c r="P203" s="11">
        <v>0</v>
      </c>
      <c r="Q203" s="60">
        <f>(Q202*($K$1/12))+Q202 + $Q$6</f>
        <v>223514.70205540827</v>
      </c>
      <c r="R203" s="60">
        <f>(R202*($K$1/12))+R202</f>
        <v>11104.419305449619</v>
      </c>
      <c r="S203" s="60">
        <f>(S202*($K$1/12))+S202</f>
        <v>9640.8635896441447</v>
      </c>
      <c r="T203" s="60">
        <f>(T202*($K$1/12))+T202+$T$6 + ((3%/12)*T$11)</f>
        <v>856364.88822718232</v>
      </c>
      <c r="U203" s="60">
        <f>(U202*$K$1/12) + U202 + ((U$11/12*7%))</f>
        <v>111435.74112610458</v>
      </c>
      <c r="V203" s="60">
        <v>3100</v>
      </c>
      <c r="W203" s="60">
        <f>(W202*($K$1/12))+W202+$W$6</f>
        <v>77291.486372901549</v>
      </c>
      <c r="X203" s="11">
        <v>0</v>
      </c>
      <c r="Y203" s="60">
        <f>(Y202*($K$1/12))+Y202+$Y$7</f>
        <v>292905.18366140866</v>
      </c>
      <c r="Z203" s="60">
        <f>'Mortgage and Loans'!U165</f>
        <v>145982.11000000004</v>
      </c>
      <c r="AA203" s="12">
        <f t="shared" si="252"/>
        <v>1752295.991734978</v>
      </c>
      <c r="AB203" s="56">
        <f t="shared" si="292"/>
        <v>750</v>
      </c>
      <c r="AC203" s="56">
        <f t="shared" si="292"/>
        <v>750</v>
      </c>
      <c r="AD203" s="56">
        <f t="shared" si="292"/>
        <v>750</v>
      </c>
      <c r="AE203" s="56">
        <f t="shared" si="292"/>
        <v>750</v>
      </c>
      <c r="AF203" s="56">
        <f t="shared" si="259"/>
        <v>261.43961538461195</v>
      </c>
      <c r="AG203" s="56">
        <f t="shared" si="292"/>
        <v>750</v>
      </c>
      <c r="AH203" s="56">
        <f>'Mortgage and Loans'!AF160</f>
        <v>0</v>
      </c>
      <c r="AI203" s="56">
        <f>'Mortgage and Loans'!AQ160</f>
        <v>0</v>
      </c>
      <c r="AJ203" s="56">
        <f>'Mortgage and Loans'!BB160</f>
        <v>0</v>
      </c>
      <c r="AK203" s="56">
        <f>'Mortgage and Loans'!BM160</f>
        <v>0</v>
      </c>
      <c r="AL203" s="56">
        <f>'Mortgage and Loans'!T165</f>
        <v>34017.889999999708</v>
      </c>
      <c r="AM203" s="12">
        <f t="shared" si="12"/>
        <v>-38029.329615384318</v>
      </c>
      <c r="AN203" s="75">
        <f t="shared" si="85"/>
        <v>1714266.6621195937</v>
      </c>
      <c r="AO203" s="86">
        <f>'Mortgage and Loans'!G166</f>
        <v>0</v>
      </c>
      <c r="AP203" s="79">
        <f>('Salary Tax Breakdown'!B$16/12)-Data!AO203</f>
        <v>3447.5</v>
      </c>
      <c r="AQ203" s="87"/>
      <c r="AR203" s="20">
        <f t="shared" si="263"/>
        <v>4011.4396153846119</v>
      </c>
      <c r="AS203" s="20">
        <v>750</v>
      </c>
      <c r="AT203" s="20">
        <v>0</v>
      </c>
      <c r="AU203" s="20">
        <f t="shared" si="264"/>
        <v>4761.4396153846119</v>
      </c>
      <c r="AV203" s="20">
        <f t="shared" si="265"/>
        <v>4761.4396153845682</v>
      </c>
      <c r="AW203" s="51">
        <f t="shared" si="253"/>
        <v>0</v>
      </c>
      <c r="AX203" s="51">
        <f t="shared" si="14"/>
        <v>0</v>
      </c>
      <c r="AY203" s="51">
        <f t="shared" si="15"/>
        <v>0</v>
      </c>
      <c r="AZ203" s="51">
        <f t="shared" si="16"/>
        <v>0</v>
      </c>
      <c r="BA203" s="51">
        <f t="shared" si="17"/>
        <v>0</v>
      </c>
      <c r="BB203" s="51">
        <f t="shared" si="18"/>
        <v>0</v>
      </c>
      <c r="BC203" s="51">
        <f t="shared" si="19"/>
        <v>0</v>
      </c>
      <c r="BD203" s="51">
        <f t="shared" si="20"/>
        <v>0</v>
      </c>
      <c r="BE203" s="51">
        <f t="shared" si="21"/>
        <v>0</v>
      </c>
      <c r="BF203" s="51">
        <f t="shared" si="22"/>
        <v>0</v>
      </c>
      <c r="BG203" s="51">
        <f t="shared" si="23"/>
        <v>0</v>
      </c>
      <c r="BH203" s="51">
        <f t="shared" si="24"/>
        <v>0</v>
      </c>
      <c r="BI203" s="51">
        <f t="shared" si="266"/>
        <v>0</v>
      </c>
      <c r="BJ203" s="51">
        <f t="shared" si="267"/>
        <v>0</v>
      </c>
      <c r="BK203" s="51">
        <f t="shared" si="268"/>
        <v>0</v>
      </c>
      <c r="BL203" s="51">
        <f t="shared" si="269"/>
        <v>0</v>
      </c>
      <c r="BM203" s="51">
        <f t="shared" si="270"/>
        <v>0</v>
      </c>
      <c r="BN203" s="51">
        <f t="shared" si="271"/>
        <v>0</v>
      </c>
      <c r="BO203" s="51">
        <f t="shared" si="272"/>
        <v>0</v>
      </c>
      <c r="BP203" s="51">
        <f t="shared" si="273"/>
        <v>0</v>
      </c>
      <c r="BQ203" s="51">
        <f t="shared" si="274"/>
        <v>0</v>
      </c>
      <c r="BR203" s="51">
        <f t="shared" si="275"/>
        <v>0</v>
      </c>
      <c r="BS203" s="51">
        <f t="shared" si="276"/>
        <v>0</v>
      </c>
      <c r="BT203" s="51">
        <f t="shared" si="277"/>
        <v>0</v>
      </c>
      <c r="BU203" s="20">
        <f t="shared" si="278"/>
        <v>4761.4396153846092</v>
      </c>
      <c r="BV203" s="20">
        <f t="shared" si="279"/>
        <v>4761.4396153846146</v>
      </c>
      <c r="BW203" s="20">
        <f t="shared" si="280"/>
        <v>57137.275384615343</v>
      </c>
      <c r="BX203" s="20">
        <f t="shared" si="281"/>
        <v>57137.275384615306</v>
      </c>
      <c r="BY203" s="20">
        <f t="shared" si="282"/>
        <v>57137.275384615379</v>
      </c>
      <c r="BZ203" s="21">
        <f t="shared" si="283"/>
        <v>57137.275384615343</v>
      </c>
      <c r="CA203" s="19">
        <f t="shared" si="256"/>
        <v>1428431.8846153836</v>
      </c>
      <c r="CB203" s="20">
        <f t="shared" si="284"/>
        <v>1428431.8846153829</v>
      </c>
      <c r="CC203" s="20">
        <f t="shared" si="285"/>
        <v>1428431.8846153843</v>
      </c>
      <c r="CD203" s="20">
        <f t="shared" si="257"/>
        <v>0</v>
      </c>
      <c r="CE203" s="20">
        <f t="shared" si="261"/>
        <v>1400000</v>
      </c>
      <c r="CF203" s="20">
        <f t="shared" si="254"/>
        <v>1582257.2843380992</v>
      </c>
      <c r="CG203" s="20">
        <f t="shared" si="286"/>
        <v>63290.291373523971</v>
      </c>
      <c r="CH203" s="20">
        <f t="shared" si="255"/>
        <v>5274.1909477936642</v>
      </c>
      <c r="CI203" s="20">
        <f t="shared" si="287"/>
        <v>1567059.0352156386</v>
      </c>
      <c r="CJ203" s="24">
        <f t="shared" si="288"/>
        <v>1.1076882988817736</v>
      </c>
      <c r="CK203" s="24">
        <f t="shared" si="289"/>
        <v>9.7161989383181702E-3</v>
      </c>
      <c r="CL203" s="24">
        <f t="shared" si="290"/>
        <v>2.9561661221997666E-2</v>
      </c>
      <c r="CM203" s="25">
        <f t="shared" si="291"/>
        <v>0.12626761820698351</v>
      </c>
      <c r="CN203" s="17"/>
      <c r="CO203" s="17"/>
      <c r="CP203" s="17"/>
      <c r="CQ203" s="17"/>
      <c r="CR203" s="17"/>
      <c r="CS203" s="17"/>
      <c r="CT203" s="17"/>
      <c r="CU203" s="17"/>
      <c r="CV203" s="17"/>
      <c r="CW203" s="30">
        <v>0</v>
      </c>
      <c r="CX203" s="17"/>
      <c r="CY203" s="17"/>
      <c r="CZ203" s="17"/>
      <c r="DA203" s="17"/>
      <c r="DB203" s="17"/>
    </row>
    <row r="204" spans="1:106" ht="15.75" thickBot="1" x14ac:dyDescent="0.3">
      <c r="A204" s="5">
        <f t="shared" si="258"/>
        <v>40</v>
      </c>
      <c r="B204" s="5">
        <f t="shared" si="258"/>
        <v>38</v>
      </c>
      <c r="C204" s="1">
        <v>48427</v>
      </c>
      <c r="D204" s="4"/>
      <c r="E204" s="30"/>
      <c r="F204" s="30"/>
      <c r="G204" s="30">
        <f t="shared" si="262"/>
        <v>0</v>
      </c>
      <c r="H204" s="30"/>
      <c r="I204" s="10">
        <v>0</v>
      </c>
      <c r="J204" s="60">
        <v>9000</v>
      </c>
      <c r="K204" s="11">
        <v>550</v>
      </c>
      <c r="L204" s="60">
        <f t="shared" si="72"/>
        <v>11115.011827066637</v>
      </c>
      <c r="M204" s="11">
        <v>305</v>
      </c>
      <c r="N204" s="60">
        <v>0</v>
      </c>
      <c r="O204" s="11">
        <v>0</v>
      </c>
      <c r="P204" s="11">
        <v>0</v>
      </c>
      <c r="Q204" s="60">
        <f>(Q203*($K$1/12))+Q203 + $Q$6</f>
        <v>225642.07669154173</v>
      </c>
      <c r="R204" s="60">
        <f>(R203*($K$1/12))+R203</f>
        <v>11164.568243354137</v>
      </c>
      <c r="S204" s="60">
        <f>(S203*($K$1/12))+S203</f>
        <v>9693.0849340880504</v>
      </c>
      <c r="T204" s="60">
        <f>(T203*($K$1/12))+T203+$T$6 + ((3%/12)*T$11)</f>
        <v>864178.53137174621</v>
      </c>
      <c r="U204" s="60">
        <f>(U203*$K$1/12) + U203 + ((U$11/12*7%))</f>
        <v>112447.68472387097</v>
      </c>
      <c r="V204" s="60">
        <v>3100</v>
      </c>
      <c r="W204" s="60">
        <f>(W203*($K$1/12))+W203+$W$6</f>
        <v>77997.648590754761</v>
      </c>
      <c r="X204" s="11">
        <v>0</v>
      </c>
      <c r="Y204" s="60">
        <f>(Y203*($K$1/12))+Y203+$Y$7</f>
        <v>296441.7534062413</v>
      </c>
      <c r="Z204" s="60">
        <f>'Mortgage and Loans'!U166</f>
        <v>147319.85000000003</v>
      </c>
      <c r="AA204" s="12">
        <f t="shared" si="252"/>
        <v>1768955.209788664</v>
      </c>
      <c r="AB204" s="56">
        <f t="shared" si="292"/>
        <v>750</v>
      </c>
      <c r="AC204" s="56">
        <f t="shared" si="292"/>
        <v>750</v>
      </c>
      <c r="AD204" s="56">
        <f t="shared" si="292"/>
        <v>750</v>
      </c>
      <c r="AE204" s="56">
        <f t="shared" si="292"/>
        <v>750</v>
      </c>
      <c r="AF204" s="56">
        <f t="shared" si="259"/>
        <v>261.43961538461571</v>
      </c>
      <c r="AG204" s="56">
        <f t="shared" si="292"/>
        <v>750</v>
      </c>
      <c r="AH204" s="56">
        <f>'Mortgage and Loans'!AF161</f>
        <v>0</v>
      </c>
      <c r="AI204" s="56">
        <f>'Mortgage and Loans'!AQ161</f>
        <v>0</v>
      </c>
      <c r="AJ204" s="56">
        <f>'Mortgage and Loans'!BB161</f>
        <v>0</v>
      </c>
      <c r="AK204" s="56">
        <f>'Mortgage and Loans'!BM161</f>
        <v>0</v>
      </c>
      <c r="AL204" s="56">
        <f>'Mortgage and Loans'!T166</f>
        <v>32680.149999999707</v>
      </c>
      <c r="AM204" s="12">
        <f t="shared" si="12"/>
        <v>-36691.58961538432</v>
      </c>
      <c r="AN204" s="75">
        <f t="shared" si="85"/>
        <v>1732263.6201732797</v>
      </c>
      <c r="AO204" s="86">
        <f>'Mortgage and Loans'!G167</f>
        <v>0</v>
      </c>
      <c r="AP204" s="79">
        <f>('Salary Tax Breakdown'!B$16/12)-Data!AO204</f>
        <v>3447.5</v>
      </c>
      <c r="AQ204" s="87"/>
      <c r="AR204" s="20">
        <f t="shared" si="263"/>
        <v>4011.4396153846155</v>
      </c>
      <c r="AS204" s="20">
        <v>750</v>
      </c>
      <c r="AT204" s="20">
        <v>0</v>
      </c>
      <c r="AU204" s="20">
        <f t="shared" si="264"/>
        <v>4761.4396153846155</v>
      </c>
      <c r="AV204" s="20">
        <f t="shared" si="265"/>
        <v>4761.4396153845846</v>
      </c>
      <c r="AW204" s="51">
        <f t="shared" si="253"/>
        <v>0</v>
      </c>
      <c r="AX204" s="51">
        <f t="shared" si="14"/>
        <v>0</v>
      </c>
      <c r="AY204" s="51">
        <f t="shared" si="15"/>
        <v>0</v>
      </c>
      <c r="AZ204" s="51">
        <f t="shared" si="16"/>
        <v>0</v>
      </c>
      <c r="BA204" s="51">
        <f t="shared" si="17"/>
        <v>0</v>
      </c>
      <c r="BB204" s="51">
        <f t="shared" si="18"/>
        <v>0</v>
      </c>
      <c r="BC204" s="51">
        <f t="shared" si="19"/>
        <v>0</v>
      </c>
      <c r="BD204" s="51">
        <f t="shared" si="20"/>
        <v>0</v>
      </c>
      <c r="BE204" s="51">
        <f t="shared" si="21"/>
        <v>0</v>
      </c>
      <c r="BF204" s="51">
        <f t="shared" si="22"/>
        <v>0</v>
      </c>
      <c r="BG204" s="51">
        <f t="shared" si="23"/>
        <v>0</v>
      </c>
      <c r="BH204" s="51">
        <f t="shared" si="24"/>
        <v>0</v>
      </c>
      <c r="BI204" s="51">
        <f t="shared" si="266"/>
        <v>0</v>
      </c>
      <c r="BJ204" s="51">
        <f t="shared" si="267"/>
        <v>0</v>
      </c>
      <c r="BK204" s="51">
        <f t="shared" si="268"/>
        <v>0</v>
      </c>
      <c r="BL204" s="51">
        <f t="shared" si="269"/>
        <v>0</v>
      </c>
      <c r="BM204" s="51">
        <f t="shared" si="270"/>
        <v>0</v>
      </c>
      <c r="BN204" s="51">
        <f t="shared" si="271"/>
        <v>0</v>
      </c>
      <c r="BO204" s="51">
        <f t="shared" si="272"/>
        <v>0</v>
      </c>
      <c r="BP204" s="51">
        <f t="shared" si="273"/>
        <v>0</v>
      </c>
      <c r="BQ204" s="51">
        <f t="shared" si="274"/>
        <v>0</v>
      </c>
      <c r="BR204" s="51">
        <f t="shared" si="275"/>
        <v>0</v>
      </c>
      <c r="BS204" s="51">
        <f t="shared" si="276"/>
        <v>0</v>
      </c>
      <c r="BT204" s="51">
        <f t="shared" si="277"/>
        <v>0</v>
      </c>
      <c r="BU204" s="20">
        <f t="shared" si="278"/>
        <v>4761.4396153846119</v>
      </c>
      <c r="BV204" s="20">
        <f t="shared" si="279"/>
        <v>4761.4396153846183</v>
      </c>
      <c r="BW204" s="20">
        <f t="shared" si="280"/>
        <v>57137.275384615386</v>
      </c>
      <c r="BX204" s="20">
        <f t="shared" si="281"/>
        <v>57137.275384615343</v>
      </c>
      <c r="BY204" s="20">
        <f t="shared" si="282"/>
        <v>57137.275384615423</v>
      </c>
      <c r="BZ204" s="21">
        <f t="shared" si="283"/>
        <v>57137.275384615386</v>
      </c>
      <c r="CA204" s="19">
        <f t="shared" si="256"/>
        <v>1428431.8846153847</v>
      </c>
      <c r="CB204" s="20">
        <f t="shared" si="284"/>
        <v>1428431.8846153838</v>
      </c>
      <c r="CC204" s="20">
        <f t="shared" si="285"/>
        <v>1428431.8846153852</v>
      </c>
      <c r="CD204" s="20">
        <f t="shared" si="257"/>
        <v>0</v>
      </c>
      <c r="CE204" s="20">
        <f t="shared" si="261"/>
        <v>1400000</v>
      </c>
      <c r="CF204" s="20">
        <f t="shared" si="254"/>
        <v>1597565.3479615971</v>
      </c>
      <c r="CG204" s="20">
        <f t="shared" si="286"/>
        <v>63902.613918463889</v>
      </c>
      <c r="CH204" s="20">
        <f t="shared" si="255"/>
        <v>5325.2178265386574</v>
      </c>
      <c r="CI204" s="20">
        <f t="shared" si="287"/>
        <v>1582284.7749897232</v>
      </c>
      <c r="CJ204" s="24">
        <f t="shared" si="288"/>
        <v>1.1184049902328761</v>
      </c>
      <c r="CK204" s="24">
        <f t="shared" si="289"/>
        <v>9.6748258169035619E-3</v>
      </c>
      <c r="CL204" s="24">
        <f t="shared" si="290"/>
        <v>2.9433319631294943E-2</v>
      </c>
      <c r="CM204" s="25">
        <f t="shared" si="291"/>
        <v>0.12566818231921525</v>
      </c>
      <c r="CN204" s="17"/>
      <c r="CO204" s="17"/>
      <c r="CP204" s="17"/>
      <c r="CQ204" s="17"/>
      <c r="CR204" s="17"/>
      <c r="CS204" s="17"/>
      <c r="CT204" s="17"/>
      <c r="CU204" s="17"/>
      <c r="CV204" s="17"/>
      <c r="CW204" s="30">
        <v>0</v>
      </c>
      <c r="CX204" s="17"/>
      <c r="CY204" s="17"/>
      <c r="CZ204" s="17"/>
      <c r="DA204" s="17"/>
      <c r="DB204" s="17"/>
    </row>
    <row r="205" spans="1:106" ht="15.75" thickBot="1" x14ac:dyDescent="0.3">
      <c r="A205" s="5">
        <f t="shared" si="258"/>
        <v>40</v>
      </c>
      <c r="B205" s="5">
        <f t="shared" si="258"/>
        <v>38</v>
      </c>
      <c r="C205" s="1">
        <v>48458</v>
      </c>
      <c r="D205" s="4"/>
      <c r="E205" s="30"/>
      <c r="F205" s="30"/>
      <c r="G205" s="30">
        <f t="shared" si="262"/>
        <v>0</v>
      </c>
      <c r="H205" s="30"/>
      <c r="I205" s="10">
        <v>0</v>
      </c>
      <c r="J205" s="60">
        <v>9000</v>
      </c>
      <c r="K205" s="11">
        <v>550</v>
      </c>
      <c r="L205" s="60">
        <f t="shared" si="72"/>
        <v>11128.442466357676</v>
      </c>
      <c r="M205" s="11">
        <v>305</v>
      </c>
      <c r="N205" s="60">
        <v>0</v>
      </c>
      <c r="O205" s="11">
        <v>0</v>
      </c>
      <c r="P205" s="11">
        <v>0</v>
      </c>
      <c r="Q205" s="60">
        <f>(Q204*($K$1/12))+Q204 + $Q$6</f>
        <v>227780.97460695426</v>
      </c>
      <c r="R205" s="60">
        <f>(R204*($K$1/12))+R204</f>
        <v>11225.042988005638</v>
      </c>
      <c r="S205" s="60">
        <f>(S204*($K$1/12))+S204</f>
        <v>9745.5891441476942</v>
      </c>
      <c r="T205" s="60">
        <f>(T204*($K$1/12))+T204+$T$6 + ((3%/12)*T$11)</f>
        <v>872034.49841667654</v>
      </c>
      <c r="U205" s="60">
        <f>(U204*$K$1/12) + U204 + ((U$11/12*7%))</f>
        <v>113465.10968279194</v>
      </c>
      <c r="V205" s="60">
        <v>3100</v>
      </c>
      <c r="W205" s="60">
        <f>(W204*($K$1/12))+W204+$W$6</f>
        <v>78707.635853954678</v>
      </c>
      <c r="X205" s="11">
        <v>0</v>
      </c>
      <c r="Y205" s="60">
        <f>(Y204*($K$1/12))+Y204+$Y$7</f>
        <v>299997.47957052512</v>
      </c>
      <c r="Z205" s="60">
        <f>'Mortgage and Loans'!U167</f>
        <v>148662.20000000007</v>
      </c>
      <c r="AA205" s="12">
        <f t="shared" si="252"/>
        <v>1785701.9727294138</v>
      </c>
      <c r="AB205" s="56">
        <f t="shared" si="292"/>
        <v>750</v>
      </c>
      <c r="AC205" s="56">
        <f t="shared" si="292"/>
        <v>750</v>
      </c>
      <c r="AD205" s="56">
        <f t="shared" si="292"/>
        <v>750</v>
      </c>
      <c r="AE205" s="56">
        <f t="shared" si="292"/>
        <v>750</v>
      </c>
      <c r="AF205" s="56">
        <f t="shared" si="259"/>
        <v>261.43961538461821</v>
      </c>
      <c r="AG205" s="56">
        <f t="shared" si="292"/>
        <v>750</v>
      </c>
      <c r="AH205" s="56">
        <f>'Mortgage and Loans'!AF162</f>
        <v>0</v>
      </c>
      <c r="AI205" s="56">
        <f>'Mortgage and Loans'!AQ162</f>
        <v>0</v>
      </c>
      <c r="AJ205" s="56">
        <f>'Mortgage and Loans'!BB162</f>
        <v>0</v>
      </c>
      <c r="AK205" s="56">
        <f>'Mortgage and Loans'!BM162</f>
        <v>0</v>
      </c>
      <c r="AL205" s="56">
        <f>'Mortgage and Loans'!T167</f>
        <v>31337.799999999708</v>
      </c>
      <c r="AM205" s="12">
        <f t="shared" si="12"/>
        <v>-35349.239615384329</v>
      </c>
      <c r="AN205" s="75">
        <f t="shared" si="85"/>
        <v>1750352.7331140295</v>
      </c>
      <c r="AO205" s="86">
        <f>'Mortgage and Loans'!G168</f>
        <v>0</v>
      </c>
      <c r="AP205" s="79">
        <f>('Salary Tax Breakdown'!B$16/12)-Data!AO205</f>
        <v>3447.5</v>
      </c>
      <c r="AQ205" s="87"/>
      <c r="AR205" s="20">
        <f t="shared" si="263"/>
        <v>4011.4396153846183</v>
      </c>
      <c r="AS205" s="20">
        <v>750</v>
      </c>
      <c r="AT205" s="20">
        <v>0</v>
      </c>
      <c r="AU205" s="20">
        <f t="shared" si="264"/>
        <v>4761.4396153846183</v>
      </c>
      <c r="AV205" s="20">
        <f t="shared" si="265"/>
        <v>4761.4396153846064</v>
      </c>
      <c r="AW205" s="51">
        <f t="shared" si="253"/>
        <v>0</v>
      </c>
      <c r="AX205" s="51">
        <f t="shared" si="14"/>
        <v>0</v>
      </c>
      <c r="AY205" s="51">
        <f t="shared" si="15"/>
        <v>0</v>
      </c>
      <c r="AZ205" s="51">
        <f t="shared" si="16"/>
        <v>0</v>
      </c>
      <c r="BA205" s="51">
        <f t="shared" si="17"/>
        <v>0</v>
      </c>
      <c r="BB205" s="51">
        <f t="shared" si="18"/>
        <v>0</v>
      </c>
      <c r="BC205" s="51">
        <f t="shared" si="19"/>
        <v>0</v>
      </c>
      <c r="BD205" s="51">
        <f t="shared" si="20"/>
        <v>0</v>
      </c>
      <c r="BE205" s="51">
        <f t="shared" si="21"/>
        <v>0</v>
      </c>
      <c r="BF205" s="51">
        <f t="shared" si="22"/>
        <v>0</v>
      </c>
      <c r="BG205" s="51">
        <f t="shared" si="23"/>
        <v>0</v>
      </c>
      <c r="BH205" s="51">
        <f t="shared" si="24"/>
        <v>0</v>
      </c>
      <c r="BI205" s="51">
        <f t="shared" si="266"/>
        <v>0</v>
      </c>
      <c r="BJ205" s="51">
        <f t="shared" si="267"/>
        <v>0</v>
      </c>
      <c r="BK205" s="51">
        <f t="shared" si="268"/>
        <v>0</v>
      </c>
      <c r="BL205" s="51">
        <f t="shared" si="269"/>
        <v>0</v>
      </c>
      <c r="BM205" s="51">
        <f t="shared" si="270"/>
        <v>0</v>
      </c>
      <c r="BN205" s="51">
        <f t="shared" si="271"/>
        <v>0</v>
      </c>
      <c r="BO205" s="51">
        <f t="shared" si="272"/>
        <v>0</v>
      </c>
      <c r="BP205" s="51">
        <f t="shared" si="273"/>
        <v>0</v>
      </c>
      <c r="BQ205" s="51">
        <f t="shared" si="274"/>
        <v>0</v>
      </c>
      <c r="BR205" s="51">
        <f t="shared" si="275"/>
        <v>0</v>
      </c>
      <c r="BS205" s="51">
        <f t="shared" si="276"/>
        <v>0</v>
      </c>
      <c r="BT205" s="51">
        <f t="shared" si="277"/>
        <v>0</v>
      </c>
      <c r="BU205" s="20">
        <f t="shared" si="278"/>
        <v>4761.4396153846146</v>
      </c>
      <c r="BV205" s="20">
        <f t="shared" si="279"/>
        <v>4761.4396153846201</v>
      </c>
      <c r="BW205" s="20">
        <f t="shared" si="280"/>
        <v>57137.275384615423</v>
      </c>
      <c r="BX205" s="20">
        <f t="shared" si="281"/>
        <v>57137.275384615379</v>
      </c>
      <c r="BY205" s="20">
        <f t="shared" si="282"/>
        <v>57137.275384615437</v>
      </c>
      <c r="BZ205" s="21">
        <f t="shared" si="283"/>
        <v>57137.275384615408</v>
      </c>
      <c r="CA205" s="19">
        <f t="shared" si="256"/>
        <v>1428431.8846153852</v>
      </c>
      <c r="CB205" s="20">
        <f t="shared" si="284"/>
        <v>1428431.8846153843</v>
      </c>
      <c r="CC205" s="20">
        <f t="shared" si="285"/>
        <v>1428431.8846153852</v>
      </c>
      <c r="CD205" s="20">
        <f t="shared" si="257"/>
        <v>0</v>
      </c>
      <c r="CE205" s="20">
        <f t="shared" si="261"/>
        <v>1400000</v>
      </c>
      <c r="CF205" s="20">
        <f t="shared" si="254"/>
        <v>1612956.3302630559</v>
      </c>
      <c r="CG205" s="20">
        <f t="shared" si="286"/>
        <v>64518.253210522234</v>
      </c>
      <c r="CH205" s="20">
        <f t="shared" si="255"/>
        <v>5376.5211008768529</v>
      </c>
      <c r="CI205" s="20">
        <f t="shared" si="287"/>
        <v>1597592.9875209173</v>
      </c>
      <c r="CJ205" s="24">
        <f t="shared" si="288"/>
        <v>1.1291797303287976</v>
      </c>
      <c r="CK205" s="24">
        <f t="shared" si="289"/>
        <v>9.6340236229439605E-3</v>
      </c>
      <c r="CL205" s="24">
        <f t="shared" si="290"/>
        <v>2.9306770123678293E-2</v>
      </c>
      <c r="CM205" s="25">
        <f t="shared" si="291"/>
        <v>0.1250775948973098</v>
      </c>
      <c r="CN205" s="17"/>
      <c r="CO205" s="17"/>
      <c r="CP205" s="17"/>
      <c r="CQ205" s="17"/>
      <c r="CR205" s="17"/>
      <c r="CS205" s="17"/>
      <c r="CT205" s="17"/>
      <c r="CU205" s="17"/>
      <c r="CV205" s="17"/>
      <c r="CW205" s="30">
        <v>0</v>
      </c>
      <c r="CX205" s="17"/>
      <c r="CY205" s="17"/>
      <c r="CZ205" s="17"/>
      <c r="DA205" s="17"/>
      <c r="DB205" s="17"/>
    </row>
    <row r="206" spans="1:106" ht="15.75" thickBot="1" x14ac:dyDescent="0.3">
      <c r="A206" s="5">
        <f t="shared" si="258"/>
        <v>40</v>
      </c>
      <c r="B206" s="5">
        <f t="shared" si="258"/>
        <v>39</v>
      </c>
      <c r="C206" s="1">
        <v>48488</v>
      </c>
      <c r="D206" s="4"/>
      <c r="E206" s="30"/>
      <c r="F206" s="30"/>
      <c r="G206" s="30">
        <f t="shared" si="262"/>
        <v>0</v>
      </c>
      <c r="H206" s="30"/>
      <c r="I206" s="10">
        <v>0</v>
      </c>
      <c r="J206" s="60">
        <v>9000</v>
      </c>
      <c r="K206" s="11">
        <v>550</v>
      </c>
      <c r="L206" s="60">
        <f t="shared" si="72"/>
        <v>11141.889334337857</v>
      </c>
      <c r="M206" s="11">
        <v>305</v>
      </c>
      <c r="N206" s="60">
        <v>0</v>
      </c>
      <c r="O206" s="11">
        <v>0</v>
      </c>
      <c r="P206" s="11">
        <v>0</v>
      </c>
      <c r="Q206" s="60">
        <f>(Q205*($K$1/12))+Q205 + $Q$6</f>
        <v>229931.45821940861</v>
      </c>
      <c r="R206" s="60">
        <f>(R205*($K$1/12))+R205</f>
        <v>11285.845304190669</v>
      </c>
      <c r="S206" s="60">
        <f>(S205*($K$1/12))+S205</f>
        <v>9798.3777520118274</v>
      </c>
      <c r="T206" s="60">
        <f>(T205*($K$1/12))+T205+$T$6 + ((3%/12)*T$11)</f>
        <v>879933.01861643349</v>
      </c>
      <c r="U206" s="60">
        <f>(U205*$K$1/12) + U205 + ((U$11/12*7%))</f>
        <v>114488.04569357373</v>
      </c>
      <c r="V206" s="60">
        <v>3100</v>
      </c>
      <c r="W206" s="60">
        <f>(W205*($K$1/12))+W205+$W$6</f>
        <v>79421.468881496927</v>
      </c>
      <c r="X206" s="11">
        <v>0</v>
      </c>
      <c r="Y206" s="60">
        <f>(Y205*($K$1/12))+Y205+$Y$7</f>
        <v>303572.46591819881</v>
      </c>
      <c r="Z206" s="60">
        <f>'Mortgage and Loans'!U168</f>
        <v>150009.17000000004</v>
      </c>
      <c r="AA206" s="12">
        <f t="shared" ref="AA206:AA269" si="293">SUM(I206:Z206)</f>
        <v>1802536.7397196516</v>
      </c>
      <c r="AB206" s="56">
        <f t="shared" si="292"/>
        <v>750</v>
      </c>
      <c r="AC206" s="56">
        <f t="shared" si="292"/>
        <v>750</v>
      </c>
      <c r="AD206" s="56">
        <f t="shared" si="292"/>
        <v>750</v>
      </c>
      <c r="AE206" s="56">
        <f t="shared" si="292"/>
        <v>750</v>
      </c>
      <c r="AF206" s="56">
        <f t="shared" si="259"/>
        <v>261.43961538461917</v>
      </c>
      <c r="AG206" s="56">
        <f t="shared" si="292"/>
        <v>750</v>
      </c>
      <c r="AH206" s="56">
        <f>'Mortgage and Loans'!AF163</f>
        <v>0</v>
      </c>
      <c r="AI206" s="56">
        <f>'Mortgage and Loans'!AQ163</f>
        <v>0</v>
      </c>
      <c r="AJ206" s="56">
        <f>'Mortgage and Loans'!BB163</f>
        <v>0</v>
      </c>
      <c r="AK206" s="56">
        <f>'Mortgage and Loans'!BM163</f>
        <v>0</v>
      </c>
      <c r="AL206" s="56">
        <f>'Mortgage and Loans'!T168</f>
        <v>29990.829999999707</v>
      </c>
      <c r="AM206" s="12">
        <f t="shared" si="12"/>
        <v>-34002.269615384328</v>
      </c>
      <c r="AN206" s="75">
        <f t="shared" si="85"/>
        <v>1768534.4701042674</v>
      </c>
      <c r="AO206" s="86">
        <f>'Mortgage and Loans'!G169</f>
        <v>0</v>
      </c>
      <c r="AP206" s="79">
        <f>('Salary Tax Breakdown'!B$16/12)-Data!AO206</f>
        <v>3447.5</v>
      </c>
      <c r="AQ206" s="87"/>
      <c r="AR206" s="20">
        <f t="shared" si="263"/>
        <v>4011.4396153846192</v>
      </c>
      <c r="AS206" s="20">
        <v>750</v>
      </c>
      <c r="AT206" s="20">
        <v>0</v>
      </c>
      <c r="AU206" s="20">
        <f t="shared" si="264"/>
        <v>4761.4396153846192</v>
      </c>
      <c r="AV206" s="20">
        <f t="shared" si="265"/>
        <v>4761.4396153846255</v>
      </c>
      <c r="AW206" s="51">
        <f t="shared" ref="AW206:AW269" si="294">IF(D206=0,0,IF(MONTH($D206)=1,1,0))</f>
        <v>0</v>
      </c>
      <c r="AX206" s="51">
        <f t="shared" si="14"/>
        <v>0</v>
      </c>
      <c r="AY206" s="51">
        <f t="shared" si="15"/>
        <v>0</v>
      </c>
      <c r="AZ206" s="51">
        <f t="shared" si="16"/>
        <v>0</v>
      </c>
      <c r="BA206" s="51">
        <f t="shared" si="17"/>
        <v>0</v>
      </c>
      <c r="BB206" s="51">
        <f t="shared" si="18"/>
        <v>0</v>
      </c>
      <c r="BC206" s="51">
        <f t="shared" si="19"/>
        <v>0</v>
      </c>
      <c r="BD206" s="51">
        <f t="shared" si="20"/>
        <v>0</v>
      </c>
      <c r="BE206" s="51">
        <f t="shared" si="21"/>
        <v>0</v>
      </c>
      <c r="BF206" s="51">
        <f t="shared" si="22"/>
        <v>0</v>
      </c>
      <c r="BG206" s="51">
        <f t="shared" si="23"/>
        <v>0</v>
      </c>
      <c r="BH206" s="51">
        <f t="shared" si="24"/>
        <v>0</v>
      </c>
      <c r="BI206" s="51">
        <f t="shared" si="266"/>
        <v>0</v>
      </c>
      <c r="BJ206" s="51">
        <f t="shared" si="267"/>
        <v>0</v>
      </c>
      <c r="BK206" s="51">
        <f t="shared" si="268"/>
        <v>0</v>
      </c>
      <c r="BL206" s="51">
        <f t="shared" si="269"/>
        <v>0</v>
      </c>
      <c r="BM206" s="51">
        <f t="shared" si="270"/>
        <v>0</v>
      </c>
      <c r="BN206" s="51">
        <f t="shared" si="271"/>
        <v>0</v>
      </c>
      <c r="BO206" s="51">
        <f t="shared" si="272"/>
        <v>0</v>
      </c>
      <c r="BP206" s="51">
        <f t="shared" si="273"/>
        <v>0</v>
      </c>
      <c r="BQ206" s="51">
        <f t="shared" si="274"/>
        <v>0</v>
      </c>
      <c r="BR206" s="51">
        <f t="shared" si="275"/>
        <v>0</v>
      </c>
      <c r="BS206" s="51">
        <f t="shared" si="276"/>
        <v>0</v>
      </c>
      <c r="BT206" s="51">
        <f t="shared" si="277"/>
        <v>0</v>
      </c>
      <c r="BU206" s="20">
        <f t="shared" si="278"/>
        <v>4761.4396153846183</v>
      </c>
      <c r="BV206" s="20">
        <f t="shared" si="279"/>
        <v>4761.4396153846183</v>
      </c>
      <c r="BW206" s="20">
        <f t="shared" si="280"/>
        <v>57137.27538461543</v>
      </c>
      <c r="BX206" s="20">
        <f t="shared" si="281"/>
        <v>57137.275384615423</v>
      </c>
      <c r="BY206" s="20">
        <f t="shared" si="282"/>
        <v>57137.275384615423</v>
      </c>
      <c r="BZ206" s="21">
        <f t="shared" si="283"/>
        <v>57137.27538461543</v>
      </c>
      <c r="CA206" s="19">
        <f t="shared" si="256"/>
        <v>1428431.8846153857</v>
      </c>
      <c r="CB206" s="20">
        <f t="shared" si="284"/>
        <v>1428431.8846153852</v>
      </c>
      <c r="CC206" s="20">
        <f t="shared" si="285"/>
        <v>1428431.8846153852</v>
      </c>
      <c r="CD206" s="20">
        <f t="shared" si="257"/>
        <v>0</v>
      </c>
      <c r="CE206" s="20">
        <f t="shared" si="261"/>
        <v>1400000</v>
      </c>
      <c r="CF206" s="20">
        <f t="shared" si="254"/>
        <v>1628430.6803853142</v>
      </c>
      <c r="CG206" s="20">
        <f t="shared" si="286"/>
        <v>65137.227215412568</v>
      </c>
      <c r="CH206" s="20">
        <f t="shared" si="255"/>
        <v>5428.102267951047</v>
      </c>
      <c r="CI206" s="20">
        <f t="shared" si="287"/>
        <v>1612984.1195366557</v>
      </c>
      <c r="CJ206" s="24">
        <f t="shared" si="288"/>
        <v>1.1400128336002384</v>
      </c>
      <c r="CK206" s="24">
        <f t="shared" si="289"/>
        <v>9.5937812028268604E-3</v>
      </c>
      <c r="CL206" s="24">
        <f t="shared" si="290"/>
        <v>2.9181977232312476E-2</v>
      </c>
      <c r="CM206" s="25">
        <f t="shared" si="291"/>
        <v>0.12449566988285501</v>
      </c>
      <c r="CN206" s="17"/>
      <c r="CO206" s="17"/>
      <c r="CP206" s="17"/>
      <c r="CQ206" s="17"/>
      <c r="CR206" s="17"/>
      <c r="CS206" s="17"/>
      <c r="CT206" s="17"/>
      <c r="CU206" s="17"/>
      <c r="CV206" s="17"/>
      <c r="CW206" s="30">
        <v>0</v>
      </c>
      <c r="CX206" s="17"/>
      <c r="CY206" s="17"/>
      <c r="CZ206" s="17"/>
      <c r="DA206" s="17"/>
      <c r="DB206" s="17"/>
    </row>
    <row r="207" spans="1:106" ht="15.75" thickBot="1" x14ac:dyDescent="0.3">
      <c r="A207" s="5">
        <f t="shared" si="258"/>
        <v>40</v>
      </c>
      <c r="B207" s="5">
        <f t="shared" si="258"/>
        <v>39</v>
      </c>
      <c r="C207" s="1">
        <v>48519</v>
      </c>
      <c r="D207" s="4"/>
      <c r="E207" s="30"/>
      <c r="F207" s="30"/>
      <c r="G207" s="30">
        <f t="shared" si="262"/>
        <v>0</v>
      </c>
      <c r="H207" s="30"/>
      <c r="I207" s="10">
        <v>0</v>
      </c>
      <c r="J207" s="60">
        <v>9000</v>
      </c>
      <c r="K207" s="11">
        <v>550</v>
      </c>
      <c r="L207" s="60">
        <f t="shared" si="72"/>
        <v>11155.352450616847</v>
      </c>
      <c r="M207" s="11">
        <v>305</v>
      </c>
      <c r="N207" s="60">
        <v>0</v>
      </c>
      <c r="O207" s="11">
        <v>0</v>
      </c>
      <c r="P207" s="11">
        <v>0</v>
      </c>
      <c r="Q207" s="60">
        <f>(Q206*($K$1/12))+Q206 + $Q$6</f>
        <v>232093.59028476375</v>
      </c>
      <c r="R207" s="60">
        <f>(R206*($K$1/12))+R206</f>
        <v>11346.976966255035</v>
      </c>
      <c r="S207" s="60">
        <f>(S206*($K$1/12))+S206</f>
        <v>9851.4522981685586</v>
      </c>
      <c r="T207" s="60">
        <f>(T206*($K$1/12))+T206+$T$6 + ((3%/12)*T$11)</f>
        <v>887874.32246727252</v>
      </c>
      <c r="U207" s="60">
        <f>(U206*$K$1/12) + U206 + ((U$11/12*7%))</f>
        <v>115516.52260774725</v>
      </c>
      <c r="V207" s="60">
        <v>3100</v>
      </c>
      <c r="W207" s="60">
        <f>(W206*($K$1/12))+W206+$W$6</f>
        <v>80139.168504605041</v>
      </c>
      <c r="X207" s="11">
        <v>0</v>
      </c>
      <c r="Y207" s="60">
        <f>(Y206*($K$1/12))+Y206+$Y$7</f>
        <v>307166.81677525572</v>
      </c>
      <c r="Z207" s="60">
        <f>'Mortgage and Loans'!U169</f>
        <v>151360.77000000008</v>
      </c>
      <c r="AA207" s="12">
        <f t="shared" si="293"/>
        <v>1819459.972354685</v>
      </c>
      <c r="AB207" s="56">
        <f t="shared" si="292"/>
        <v>750</v>
      </c>
      <c r="AC207" s="56">
        <f t="shared" si="292"/>
        <v>750</v>
      </c>
      <c r="AD207" s="56">
        <f t="shared" si="292"/>
        <v>750</v>
      </c>
      <c r="AE207" s="56">
        <f t="shared" si="292"/>
        <v>750</v>
      </c>
      <c r="AF207" s="56">
        <f t="shared" si="259"/>
        <v>261.43961538461866</v>
      </c>
      <c r="AG207" s="56">
        <f t="shared" si="292"/>
        <v>750</v>
      </c>
      <c r="AH207" s="56">
        <f>'Mortgage and Loans'!AF164</f>
        <v>0</v>
      </c>
      <c r="AI207" s="56">
        <f>'Mortgage and Loans'!AQ164</f>
        <v>0</v>
      </c>
      <c r="AJ207" s="56">
        <f>'Mortgage and Loans'!BB164</f>
        <v>0</v>
      </c>
      <c r="AK207" s="56">
        <f>'Mortgage and Loans'!BM164</f>
        <v>0</v>
      </c>
      <c r="AL207" s="56">
        <f>'Mortgage and Loans'!T169</f>
        <v>28639.229999999709</v>
      </c>
      <c r="AM207" s="12">
        <f t="shared" si="12"/>
        <v>-32650.669615384326</v>
      </c>
      <c r="AN207" s="75">
        <f t="shared" si="85"/>
        <v>1786809.3027393005</v>
      </c>
      <c r="AO207" s="86">
        <f>'Mortgage and Loans'!G170</f>
        <v>0</v>
      </c>
      <c r="AP207" s="79">
        <f>('Salary Tax Breakdown'!B$16/12)-Data!AO207</f>
        <v>3447.5</v>
      </c>
      <c r="AQ207" s="87"/>
      <c r="AR207" s="20">
        <f t="shared" si="263"/>
        <v>4011.4396153846187</v>
      </c>
      <c r="AS207" s="20">
        <v>750</v>
      </c>
      <c r="AT207" s="20">
        <v>0</v>
      </c>
      <c r="AU207" s="20">
        <f t="shared" si="264"/>
        <v>4761.4396153846192</v>
      </c>
      <c r="AV207" s="20">
        <f t="shared" si="265"/>
        <v>4761.4396153846355</v>
      </c>
      <c r="AW207" s="51">
        <f t="shared" si="294"/>
        <v>0</v>
      </c>
      <c r="AX207" s="51">
        <f t="shared" si="14"/>
        <v>0</v>
      </c>
      <c r="AY207" s="51">
        <f t="shared" si="15"/>
        <v>0</v>
      </c>
      <c r="AZ207" s="51">
        <f t="shared" si="16"/>
        <v>0</v>
      </c>
      <c r="BA207" s="51">
        <f t="shared" si="17"/>
        <v>0</v>
      </c>
      <c r="BB207" s="51">
        <f t="shared" si="18"/>
        <v>0</v>
      </c>
      <c r="BC207" s="51">
        <f t="shared" si="19"/>
        <v>0</v>
      </c>
      <c r="BD207" s="51">
        <f t="shared" si="20"/>
        <v>0</v>
      </c>
      <c r="BE207" s="51">
        <f t="shared" si="21"/>
        <v>0</v>
      </c>
      <c r="BF207" s="51">
        <f t="shared" si="22"/>
        <v>0</v>
      </c>
      <c r="BG207" s="51">
        <f t="shared" si="23"/>
        <v>0</v>
      </c>
      <c r="BH207" s="51">
        <f t="shared" si="24"/>
        <v>0</v>
      </c>
      <c r="BI207" s="51">
        <f t="shared" si="266"/>
        <v>0</v>
      </c>
      <c r="BJ207" s="51">
        <f t="shared" si="267"/>
        <v>0</v>
      </c>
      <c r="BK207" s="51">
        <f t="shared" si="268"/>
        <v>0</v>
      </c>
      <c r="BL207" s="51">
        <f t="shared" si="269"/>
        <v>0</v>
      </c>
      <c r="BM207" s="51">
        <f t="shared" si="270"/>
        <v>0</v>
      </c>
      <c r="BN207" s="51">
        <f t="shared" si="271"/>
        <v>0</v>
      </c>
      <c r="BO207" s="51">
        <f t="shared" si="272"/>
        <v>0</v>
      </c>
      <c r="BP207" s="51">
        <f t="shared" si="273"/>
        <v>0</v>
      </c>
      <c r="BQ207" s="51">
        <f t="shared" si="274"/>
        <v>0</v>
      </c>
      <c r="BR207" s="51">
        <f t="shared" si="275"/>
        <v>0</v>
      </c>
      <c r="BS207" s="51">
        <f t="shared" si="276"/>
        <v>0</v>
      </c>
      <c r="BT207" s="51">
        <f t="shared" si="277"/>
        <v>0</v>
      </c>
      <c r="BU207" s="20">
        <f t="shared" si="278"/>
        <v>4761.4396153846192</v>
      </c>
      <c r="BV207" s="20">
        <f t="shared" si="279"/>
        <v>4761.4396153846164</v>
      </c>
      <c r="BW207" s="20">
        <f t="shared" si="280"/>
        <v>57137.27538461543</v>
      </c>
      <c r="BX207" s="20">
        <f t="shared" si="281"/>
        <v>57137.27538461543</v>
      </c>
      <c r="BY207" s="20">
        <f t="shared" si="282"/>
        <v>57137.275384615394</v>
      </c>
      <c r="BZ207" s="21">
        <f t="shared" si="283"/>
        <v>57137.275384615416</v>
      </c>
      <c r="CA207" s="19">
        <f t="shared" si="256"/>
        <v>1428431.8846153854</v>
      </c>
      <c r="CB207" s="20">
        <f t="shared" si="284"/>
        <v>1428431.8846153852</v>
      </c>
      <c r="CC207" s="20">
        <f t="shared" si="285"/>
        <v>1428431.8846153852</v>
      </c>
      <c r="CD207" s="20">
        <f t="shared" si="257"/>
        <v>0</v>
      </c>
      <c r="CE207" s="20">
        <f t="shared" si="261"/>
        <v>1400000</v>
      </c>
      <c r="CF207" s="20">
        <f t="shared" ref="CF207:CF270" si="295">SUM(O207, P207, Q207, R207, S207, T207, W207, X207, Y207,U207)</f>
        <v>1643988.849904068</v>
      </c>
      <c r="CG207" s="20">
        <f t="shared" si="286"/>
        <v>65759.553996162722</v>
      </c>
      <c r="CH207" s="20">
        <f t="shared" ref="CH207:CH270" si="296">CG207/12</f>
        <v>5479.9628330135602</v>
      </c>
      <c r="CI207" s="20">
        <f t="shared" si="287"/>
        <v>1628458.6201841459</v>
      </c>
      <c r="CJ207" s="24">
        <f t="shared" si="288"/>
        <v>1.150904616181067</v>
      </c>
      <c r="CK207" s="24">
        <f t="shared" si="289"/>
        <v>9.5540876907775785E-3</v>
      </c>
      <c r="CL207" s="24">
        <f t="shared" si="290"/>
        <v>2.9058906417633971E-2</v>
      </c>
      <c r="CM207" s="25">
        <f t="shared" si="291"/>
        <v>0.12392222638656264</v>
      </c>
      <c r="CN207" s="17"/>
      <c r="CO207" s="17"/>
      <c r="CP207" s="17"/>
      <c r="CQ207" s="17"/>
      <c r="CR207" s="17"/>
      <c r="CS207" s="17"/>
      <c r="CT207" s="17"/>
      <c r="CU207" s="17"/>
      <c r="CV207" s="17"/>
      <c r="CW207" s="30">
        <v>0</v>
      </c>
      <c r="CX207" s="17"/>
      <c r="CY207" s="17"/>
      <c r="CZ207" s="17"/>
      <c r="DA207" s="17"/>
      <c r="DB207" s="17"/>
    </row>
    <row r="208" spans="1:106" ht="15.75" thickBot="1" x14ac:dyDescent="0.3">
      <c r="A208" s="5">
        <f t="shared" si="258"/>
        <v>41</v>
      </c>
      <c r="B208" s="5">
        <f t="shared" si="258"/>
        <v>39</v>
      </c>
      <c r="C208" s="1">
        <v>48549</v>
      </c>
      <c r="D208" s="4"/>
      <c r="E208" s="30"/>
      <c r="F208" s="30"/>
      <c r="G208" s="30">
        <f t="shared" si="262"/>
        <v>0</v>
      </c>
      <c r="H208" s="30"/>
      <c r="I208" s="10">
        <v>0</v>
      </c>
      <c r="J208" s="60">
        <v>9000</v>
      </c>
      <c r="K208" s="11">
        <v>550</v>
      </c>
      <c r="L208" s="60">
        <f t="shared" si="72"/>
        <v>11168.831834828008</v>
      </c>
      <c r="M208" s="11">
        <v>305</v>
      </c>
      <c r="N208" s="60">
        <v>0</v>
      </c>
      <c r="O208" s="11">
        <v>0</v>
      </c>
      <c r="P208" s="11">
        <v>0</v>
      </c>
      <c r="Q208" s="60">
        <f>(Q207*($K$1/12))+Q207 + $Q$6</f>
        <v>234267.43389880622</v>
      </c>
      <c r="R208" s="60">
        <f>(R207*($K$1/12))+R207</f>
        <v>11408.439758155584</v>
      </c>
      <c r="S208" s="60">
        <f>(S207*($K$1/12))+S207</f>
        <v>9904.814331450305</v>
      </c>
      <c r="T208" s="60">
        <f>(T207*($K$1/12))+T207+$T$6 + ((3%/12)*T$11)</f>
        <v>895858.64171397022</v>
      </c>
      <c r="U208" s="60">
        <f>(U207*$K$1/12) + U207 + ((U$11/12*7%))</f>
        <v>116550.5704385392</v>
      </c>
      <c r="V208" s="60">
        <v>3100</v>
      </c>
      <c r="W208" s="60">
        <f>(W207*($K$1/12))+W207+$W$6</f>
        <v>80860.755667338322</v>
      </c>
      <c r="X208" s="11">
        <v>0</v>
      </c>
      <c r="Y208" s="60">
        <f>(Y207*($K$1/12))+Y207+$Y$7</f>
        <v>310780.63703278836</v>
      </c>
      <c r="Z208" s="60">
        <f>'Mortgage and Loans'!U170</f>
        <v>152717.02000000008</v>
      </c>
      <c r="AA208" s="12">
        <f t="shared" si="293"/>
        <v>1836472.1446758765</v>
      </c>
      <c r="AB208" s="56">
        <f t="shared" si="292"/>
        <v>750</v>
      </c>
      <c r="AC208" s="56">
        <f t="shared" si="292"/>
        <v>750</v>
      </c>
      <c r="AD208" s="56">
        <f t="shared" si="292"/>
        <v>750</v>
      </c>
      <c r="AE208" s="56">
        <f t="shared" si="292"/>
        <v>750</v>
      </c>
      <c r="AF208" s="56">
        <f t="shared" si="259"/>
        <v>261.4396153846173</v>
      </c>
      <c r="AG208" s="56">
        <f t="shared" si="292"/>
        <v>750</v>
      </c>
      <c r="AH208" s="56">
        <f>'Mortgage and Loans'!AF165</f>
        <v>0</v>
      </c>
      <c r="AI208" s="56">
        <f>'Mortgage and Loans'!AQ165</f>
        <v>0</v>
      </c>
      <c r="AJ208" s="56">
        <f>'Mortgage and Loans'!BB165</f>
        <v>0</v>
      </c>
      <c r="AK208" s="56">
        <f>'Mortgage and Loans'!BM165</f>
        <v>0</v>
      </c>
      <c r="AL208" s="56">
        <f>'Mortgage and Loans'!T170</f>
        <v>27282.979999999709</v>
      </c>
      <c r="AM208" s="12">
        <f t="shared" si="12"/>
        <v>-31294.419615384326</v>
      </c>
      <c r="AN208" s="75">
        <f t="shared" si="85"/>
        <v>1805177.7250604921</v>
      </c>
      <c r="AO208" s="86">
        <f>'Mortgage and Loans'!G171</f>
        <v>0</v>
      </c>
      <c r="AP208" s="79">
        <f>('Salary Tax Breakdown'!B$16/12)-Data!AO208</f>
        <v>3447.5</v>
      </c>
      <c r="AQ208" s="87"/>
      <c r="AR208" s="20">
        <f t="shared" si="263"/>
        <v>4011.4396153846174</v>
      </c>
      <c r="AS208" s="20">
        <v>750</v>
      </c>
      <c r="AT208" s="20">
        <v>0</v>
      </c>
      <c r="AU208" s="20">
        <f t="shared" si="264"/>
        <v>4761.4396153846174</v>
      </c>
      <c r="AV208" s="20">
        <f t="shared" si="265"/>
        <v>4761.4396153846365</v>
      </c>
      <c r="AW208" s="51">
        <f t="shared" si="294"/>
        <v>0</v>
      </c>
      <c r="AX208" s="51">
        <f t="shared" si="14"/>
        <v>0</v>
      </c>
      <c r="AY208" s="51">
        <f t="shared" si="15"/>
        <v>0</v>
      </c>
      <c r="AZ208" s="51">
        <f t="shared" si="16"/>
        <v>0</v>
      </c>
      <c r="BA208" s="51">
        <f t="shared" si="17"/>
        <v>0</v>
      </c>
      <c r="BB208" s="51">
        <f t="shared" si="18"/>
        <v>0</v>
      </c>
      <c r="BC208" s="51">
        <f t="shared" si="19"/>
        <v>0</v>
      </c>
      <c r="BD208" s="51">
        <f t="shared" si="20"/>
        <v>0</v>
      </c>
      <c r="BE208" s="51">
        <f t="shared" si="21"/>
        <v>0</v>
      </c>
      <c r="BF208" s="51">
        <f t="shared" si="22"/>
        <v>0</v>
      </c>
      <c r="BG208" s="51">
        <f t="shared" si="23"/>
        <v>0</v>
      </c>
      <c r="BH208" s="51">
        <f t="shared" si="24"/>
        <v>0</v>
      </c>
      <c r="BI208" s="51">
        <f t="shared" si="266"/>
        <v>0</v>
      </c>
      <c r="BJ208" s="51">
        <f t="shared" si="267"/>
        <v>0</v>
      </c>
      <c r="BK208" s="51">
        <f t="shared" si="268"/>
        <v>0</v>
      </c>
      <c r="BL208" s="51">
        <f t="shared" si="269"/>
        <v>0</v>
      </c>
      <c r="BM208" s="51">
        <f t="shared" si="270"/>
        <v>0</v>
      </c>
      <c r="BN208" s="51">
        <f t="shared" si="271"/>
        <v>0</v>
      </c>
      <c r="BO208" s="51">
        <f t="shared" si="272"/>
        <v>0</v>
      </c>
      <c r="BP208" s="51">
        <f t="shared" si="273"/>
        <v>0</v>
      </c>
      <c r="BQ208" s="51">
        <f t="shared" si="274"/>
        <v>0</v>
      </c>
      <c r="BR208" s="51">
        <f t="shared" si="275"/>
        <v>0</v>
      </c>
      <c r="BS208" s="51">
        <f t="shared" si="276"/>
        <v>0</v>
      </c>
      <c r="BT208" s="51">
        <f t="shared" si="277"/>
        <v>0</v>
      </c>
      <c r="BU208" s="20">
        <f t="shared" si="278"/>
        <v>4761.4396153846183</v>
      </c>
      <c r="BV208" s="20">
        <f t="shared" si="279"/>
        <v>4761.4396153846146</v>
      </c>
      <c r="BW208" s="20">
        <f t="shared" si="280"/>
        <v>57137.275384615408</v>
      </c>
      <c r="BX208" s="20">
        <f t="shared" si="281"/>
        <v>57137.275384615423</v>
      </c>
      <c r="BY208" s="20">
        <f t="shared" si="282"/>
        <v>57137.275384615379</v>
      </c>
      <c r="BZ208" s="21">
        <f t="shared" si="283"/>
        <v>57137.275384615408</v>
      </c>
      <c r="CA208" s="19">
        <f t="shared" si="256"/>
        <v>1428431.8846153852</v>
      </c>
      <c r="CB208" s="20">
        <f t="shared" si="284"/>
        <v>1428431.8846153852</v>
      </c>
      <c r="CC208" s="20">
        <f t="shared" si="285"/>
        <v>1428431.884615385</v>
      </c>
      <c r="CD208" s="20">
        <f t="shared" si="257"/>
        <v>0</v>
      </c>
      <c r="CE208" s="20">
        <f t="shared" si="261"/>
        <v>1400000</v>
      </c>
      <c r="CF208" s="20">
        <f t="shared" si="295"/>
        <v>1659631.2928410484</v>
      </c>
      <c r="CG208" s="20">
        <f t="shared" si="286"/>
        <v>66385.251713641934</v>
      </c>
      <c r="CH208" s="20">
        <f t="shared" si="296"/>
        <v>5532.1043094701608</v>
      </c>
      <c r="CI208" s="20">
        <f t="shared" si="287"/>
        <v>1644016.9410434768</v>
      </c>
      <c r="CJ208" s="24">
        <f t="shared" si="288"/>
        <v>1.1618553959175415</v>
      </c>
      <c r="CK208" s="24">
        <f t="shared" si="289"/>
        <v>9.5149324996292913E-3</v>
      </c>
      <c r="CL208" s="24">
        <f t="shared" si="290"/>
        <v>2.8937524037231932E-2</v>
      </c>
      <c r="CM208" s="25">
        <f t="shared" si="291"/>
        <v>0.12335708850993277</v>
      </c>
      <c r="CN208" s="17"/>
      <c r="CO208" s="17"/>
      <c r="CP208" s="17"/>
      <c r="CQ208" s="17"/>
      <c r="CR208" s="17"/>
      <c r="CS208" s="17"/>
      <c r="CT208" s="17"/>
      <c r="CU208" s="17"/>
      <c r="CV208" s="17"/>
      <c r="CW208" s="30">
        <v>0</v>
      </c>
      <c r="CX208" s="17"/>
      <c r="CY208" s="17"/>
      <c r="CZ208" s="17"/>
      <c r="DA208" s="17"/>
      <c r="DB208" s="17"/>
    </row>
    <row r="209" spans="1:106" ht="15.75" thickBot="1" x14ac:dyDescent="0.3">
      <c r="A209" s="5">
        <f t="shared" si="258"/>
        <v>41</v>
      </c>
      <c r="B209" s="5">
        <f t="shared" si="258"/>
        <v>39</v>
      </c>
      <c r="C209" s="1">
        <v>48580</v>
      </c>
      <c r="D209" s="4"/>
      <c r="E209" s="30"/>
      <c r="F209" s="30"/>
      <c r="G209" s="30">
        <f t="shared" si="262"/>
        <v>0</v>
      </c>
      <c r="H209" s="30"/>
      <c r="I209" s="10">
        <v>0</v>
      </c>
      <c r="J209" s="60">
        <v>9000</v>
      </c>
      <c r="K209" s="11">
        <v>550</v>
      </c>
      <c r="L209" s="60">
        <f t="shared" si="72"/>
        <v>11182.327506628424</v>
      </c>
      <c r="M209" s="11">
        <v>305</v>
      </c>
      <c r="N209" s="60">
        <v>0</v>
      </c>
      <c r="O209" s="11">
        <v>0</v>
      </c>
      <c r="P209" s="11">
        <v>0</v>
      </c>
      <c r="Q209" s="60">
        <f>(Q208*($K$1/12))+Q208 + $Q$6</f>
        <v>236453.05249909143</v>
      </c>
      <c r="R209" s="60">
        <f>(R208*($K$1/12))+R208</f>
        <v>11470.235473512261</v>
      </c>
      <c r="S209" s="60">
        <f>(S208*($K$1/12))+S208</f>
        <v>9958.4654090789936</v>
      </c>
      <c r="T209" s="60">
        <f>(T208*($K$1/12))+T208+$T$6 + ((3%/12)*T$11)</f>
        <v>903886.20935658761</v>
      </c>
      <c r="U209" s="60">
        <f>(U208*$K$1/12) + U208 + ((U$11/12*7%))</f>
        <v>117590.21936174795</v>
      </c>
      <c r="V209" s="60">
        <v>3100</v>
      </c>
      <c r="W209" s="60">
        <f>(W208*($K$1/12))+W208+$W$6</f>
        <v>81586.251427203068</v>
      </c>
      <c r="X209" s="11">
        <v>0</v>
      </c>
      <c r="Y209" s="60">
        <f>(Y208*($K$1/12))+Y208+$Y$7</f>
        <v>314414.03215004929</v>
      </c>
      <c r="Z209" s="60">
        <f>'Mortgage and Loans'!U171</f>
        <v>154077.94000000006</v>
      </c>
      <c r="AA209" s="12">
        <f t="shared" si="293"/>
        <v>1853573.733183899</v>
      </c>
      <c r="AB209" s="56">
        <f t="shared" si="292"/>
        <v>750</v>
      </c>
      <c r="AC209" s="56">
        <f t="shared" si="292"/>
        <v>750</v>
      </c>
      <c r="AD209" s="56">
        <f t="shared" si="292"/>
        <v>750</v>
      </c>
      <c r="AE209" s="56">
        <f t="shared" si="292"/>
        <v>750</v>
      </c>
      <c r="AF209" s="56">
        <f t="shared" si="259"/>
        <v>261.43961538461571</v>
      </c>
      <c r="AG209" s="56">
        <f t="shared" si="292"/>
        <v>750</v>
      </c>
      <c r="AH209" s="56">
        <f>'Mortgage and Loans'!AF166</f>
        <v>0</v>
      </c>
      <c r="AI209" s="56">
        <f>'Mortgage and Loans'!AQ166</f>
        <v>0</v>
      </c>
      <c r="AJ209" s="56">
        <f>'Mortgage and Loans'!BB166</f>
        <v>0</v>
      </c>
      <c r="AK209" s="56">
        <f>'Mortgage and Loans'!BM166</f>
        <v>0</v>
      </c>
      <c r="AL209" s="56">
        <f>'Mortgage and Loans'!T171</f>
        <v>25922.05999999971</v>
      </c>
      <c r="AM209" s="12">
        <f t="shared" si="12"/>
        <v>-29933.499615384324</v>
      </c>
      <c r="AN209" s="75">
        <f t="shared" si="85"/>
        <v>1823640.2335685147</v>
      </c>
      <c r="AO209" s="86">
        <f>'Mortgage and Loans'!G172</f>
        <v>0</v>
      </c>
      <c r="AP209" s="79">
        <f>('Salary Tax Breakdown'!B$16/12)-Data!AO209</f>
        <v>3447.5</v>
      </c>
      <c r="AQ209" s="87"/>
      <c r="AR209" s="20">
        <f t="shared" si="263"/>
        <v>4011.4396153846155</v>
      </c>
      <c r="AS209" s="20">
        <v>750</v>
      </c>
      <c r="AT209" s="20">
        <v>0</v>
      </c>
      <c r="AU209" s="20">
        <f t="shared" si="264"/>
        <v>4761.4396153846155</v>
      </c>
      <c r="AV209" s="20">
        <f t="shared" si="265"/>
        <v>4761.4396153846301</v>
      </c>
      <c r="AW209" s="51">
        <f t="shared" si="294"/>
        <v>0</v>
      </c>
      <c r="AX209" s="51">
        <f t="shared" si="14"/>
        <v>0</v>
      </c>
      <c r="AY209" s="51">
        <f t="shared" si="15"/>
        <v>0</v>
      </c>
      <c r="AZ209" s="51">
        <f t="shared" si="16"/>
        <v>0</v>
      </c>
      <c r="BA209" s="51">
        <f t="shared" si="17"/>
        <v>0</v>
      </c>
      <c r="BB209" s="51">
        <f t="shared" si="18"/>
        <v>0</v>
      </c>
      <c r="BC209" s="51">
        <f t="shared" si="19"/>
        <v>0</v>
      </c>
      <c r="BD209" s="51">
        <f t="shared" si="20"/>
        <v>0</v>
      </c>
      <c r="BE209" s="51">
        <f t="shared" si="21"/>
        <v>0</v>
      </c>
      <c r="BF209" s="51">
        <f t="shared" si="22"/>
        <v>0</v>
      </c>
      <c r="BG209" s="51">
        <f t="shared" si="23"/>
        <v>0</v>
      </c>
      <c r="BH209" s="51">
        <f t="shared" si="24"/>
        <v>0</v>
      </c>
      <c r="BI209" s="51">
        <f t="shared" si="266"/>
        <v>0</v>
      </c>
      <c r="BJ209" s="51">
        <f t="shared" si="267"/>
        <v>0</v>
      </c>
      <c r="BK209" s="51">
        <f t="shared" si="268"/>
        <v>0</v>
      </c>
      <c r="BL209" s="51">
        <f t="shared" si="269"/>
        <v>0</v>
      </c>
      <c r="BM209" s="51">
        <f t="shared" si="270"/>
        <v>0</v>
      </c>
      <c r="BN209" s="51">
        <f t="shared" si="271"/>
        <v>0</v>
      </c>
      <c r="BO209" s="51">
        <f t="shared" si="272"/>
        <v>0</v>
      </c>
      <c r="BP209" s="51">
        <f t="shared" si="273"/>
        <v>0</v>
      </c>
      <c r="BQ209" s="51">
        <f t="shared" si="274"/>
        <v>0</v>
      </c>
      <c r="BR209" s="51">
        <f t="shared" si="275"/>
        <v>0</v>
      </c>
      <c r="BS209" s="51">
        <f t="shared" si="276"/>
        <v>0</v>
      </c>
      <c r="BT209" s="51">
        <f t="shared" si="277"/>
        <v>0</v>
      </c>
      <c r="BU209" s="20">
        <f t="shared" si="278"/>
        <v>4761.4396153846174</v>
      </c>
      <c r="BV209" s="20">
        <f t="shared" si="279"/>
        <v>4761.4396153846146</v>
      </c>
      <c r="BW209" s="20">
        <f t="shared" si="280"/>
        <v>57137.275384615386</v>
      </c>
      <c r="BX209" s="20">
        <f t="shared" si="281"/>
        <v>57137.275384615408</v>
      </c>
      <c r="BY209" s="20">
        <f t="shared" si="282"/>
        <v>57137.275384615379</v>
      </c>
      <c r="BZ209" s="21">
        <f t="shared" si="283"/>
        <v>57137.275384615386</v>
      </c>
      <c r="CA209" s="19">
        <f t="shared" si="256"/>
        <v>1428431.8846153847</v>
      </c>
      <c r="CB209" s="20">
        <f t="shared" si="284"/>
        <v>1428431.8846153852</v>
      </c>
      <c r="CC209" s="20">
        <f t="shared" si="285"/>
        <v>1428431.8846153847</v>
      </c>
      <c r="CD209" s="20">
        <f t="shared" si="257"/>
        <v>0</v>
      </c>
      <c r="CE209" s="20">
        <f t="shared" si="261"/>
        <v>1400000</v>
      </c>
      <c r="CF209" s="20">
        <f t="shared" si="295"/>
        <v>1675358.4656772704</v>
      </c>
      <c r="CG209" s="20">
        <f t="shared" si="286"/>
        <v>67014.338627090823</v>
      </c>
      <c r="CH209" s="20">
        <f t="shared" si="296"/>
        <v>5584.5282189242353</v>
      </c>
      <c r="CI209" s="20">
        <f t="shared" si="287"/>
        <v>1659659.5361407958</v>
      </c>
      <c r="CJ209" s="24">
        <f t="shared" si="288"/>
        <v>1.1728654923775885</v>
      </c>
      <c r="CK209" s="24">
        <f t="shared" si="289"/>
        <v>9.4763053119463325E-3</v>
      </c>
      <c r="CL209" s="24">
        <f t="shared" si="290"/>
        <v>2.8817797316894305E-2</v>
      </c>
      <c r="CM209" s="25">
        <f t="shared" si="291"/>
        <v>0.12280008517425074</v>
      </c>
      <c r="CN209" s="17"/>
      <c r="CO209" s="17"/>
      <c r="CP209" s="17"/>
      <c r="CQ209" s="17"/>
      <c r="CR209" s="17"/>
      <c r="CS209" s="17"/>
      <c r="CT209" s="17"/>
      <c r="CU209" s="17"/>
      <c r="CV209" s="17"/>
      <c r="CW209" s="30">
        <v>0</v>
      </c>
      <c r="CX209" s="17"/>
      <c r="CY209" s="17"/>
      <c r="CZ209" s="17"/>
      <c r="DA209" s="17"/>
      <c r="DB209" s="17"/>
    </row>
    <row r="210" spans="1:106" ht="15.75" thickBot="1" x14ac:dyDescent="0.3">
      <c r="A210" s="5">
        <f t="shared" si="258"/>
        <v>41</v>
      </c>
      <c r="B210" s="5">
        <f t="shared" si="258"/>
        <v>39</v>
      </c>
      <c r="C210" s="1">
        <v>48611</v>
      </c>
      <c r="D210" s="4"/>
      <c r="E210" s="30"/>
      <c r="F210" s="30"/>
      <c r="G210" s="30">
        <f t="shared" si="262"/>
        <v>0</v>
      </c>
      <c r="H210" s="30"/>
      <c r="I210" s="10">
        <v>0</v>
      </c>
      <c r="J210" s="60">
        <v>9000</v>
      </c>
      <c r="K210" s="11">
        <v>550</v>
      </c>
      <c r="L210" s="60">
        <f t="shared" si="72"/>
        <v>11195.839485698933</v>
      </c>
      <c r="M210" s="11">
        <v>305</v>
      </c>
      <c r="N210" s="60">
        <v>0</v>
      </c>
      <c r="O210" s="11">
        <v>0</v>
      </c>
      <c r="P210" s="11">
        <v>0</v>
      </c>
      <c r="Q210" s="60">
        <f>(Q209*($K$1/12))+Q209 + $Q$6</f>
        <v>238650.50986679486</v>
      </c>
      <c r="R210" s="60">
        <f>(R209*($K$1/12))+R209</f>
        <v>11532.365915660452</v>
      </c>
      <c r="S210" s="60">
        <f>(S209*($K$1/12))+S209</f>
        <v>10012.407096711504</v>
      </c>
      <c r="T210" s="60">
        <f>(T209*($K$1/12))+T209+$T$6 + ((3%/12)*T$11)</f>
        <v>911957.25965726911</v>
      </c>
      <c r="U210" s="60">
        <f>(U209*$K$1/12) + U209 + ((U$11/12*7%))</f>
        <v>118635.49971662408</v>
      </c>
      <c r="V210" s="60">
        <v>3100</v>
      </c>
      <c r="W210" s="60">
        <f>(W209*($K$1/12))+W209+$W$6</f>
        <v>82315.676955767078</v>
      </c>
      <c r="X210" s="11">
        <v>0</v>
      </c>
      <c r="Y210" s="60">
        <f>(Y209*($K$1/12))+Y209+$Y$7</f>
        <v>318067.10815752874</v>
      </c>
      <c r="Z210" s="60">
        <f>'Mortgage and Loans'!U172</f>
        <v>155443.54000000007</v>
      </c>
      <c r="AA210" s="12">
        <f t="shared" si="293"/>
        <v>1870765.2068520549</v>
      </c>
      <c r="AB210" s="56">
        <f t="shared" si="292"/>
        <v>750</v>
      </c>
      <c r="AC210" s="56">
        <f t="shared" si="292"/>
        <v>750</v>
      </c>
      <c r="AD210" s="56">
        <f t="shared" si="292"/>
        <v>750</v>
      </c>
      <c r="AE210" s="56">
        <f t="shared" si="292"/>
        <v>750</v>
      </c>
      <c r="AF210" s="56">
        <f t="shared" si="259"/>
        <v>261.43961538461446</v>
      </c>
      <c r="AG210" s="56">
        <f t="shared" si="292"/>
        <v>750</v>
      </c>
      <c r="AH210" s="56">
        <f>'Mortgage and Loans'!AF167</f>
        <v>0</v>
      </c>
      <c r="AI210" s="56">
        <f>'Mortgage and Loans'!AQ167</f>
        <v>0</v>
      </c>
      <c r="AJ210" s="56">
        <f>'Mortgage and Loans'!BB167</f>
        <v>0</v>
      </c>
      <c r="AK210" s="56">
        <f>'Mortgage and Loans'!BM167</f>
        <v>0</v>
      </c>
      <c r="AL210" s="56">
        <f>'Mortgage and Loans'!T172</f>
        <v>24556.459999999712</v>
      </c>
      <c r="AM210" s="12">
        <f t="shared" si="12"/>
        <v>-28567.899615384325</v>
      </c>
      <c r="AN210" s="75">
        <f t="shared" si="85"/>
        <v>1842197.3072366705</v>
      </c>
      <c r="AO210" s="86">
        <f>'Mortgage and Loans'!G173</f>
        <v>0</v>
      </c>
      <c r="AP210" s="79">
        <f>('Salary Tax Breakdown'!B$16/12)-Data!AO210</f>
        <v>3447.5</v>
      </c>
      <c r="AQ210" s="87"/>
      <c r="AR210" s="20">
        <f t="shared" si="263"/>
        <v>4011.4396153846146</v>
      </c>
      <c r="AS210" s="20">
        <v>750</v>
      </c>
      <c r="AT210" s="20">
        <v>0</v>
      </c>
      <c r="AU210" s="20">
        <f t="shared" si="264"/>
        <v>4761.4396153846146</v>
      </c>
      <c r="AV210" s="20">
        <f t="shared" si="265"/>
        <v>4761.439615384621</v>
      </c>
      <c r="AW210" s="51">
        <f t="shared" si="294"/>
        <v>0</v>
      </c>
      <c r="AX210" s="51">
        <f t="shared" si="14"/>
        <v>0</v>
      </c>
      <c r="AY210" s="51">
        <f t="shared" si="15"/>
        <v>0</v>
      </c>
      <c r="AZ210" s="51">
        <f t="shared" si="16"/>
        <v>0</v>
      </c>
      <c r="BA210" s="51">
        <f t="shared" si="17"/>
        <v>0</v>
      </c>
      <c r="BB210" s="51">
        <f t="shared" si="18"/>
        <v>0</v>
      </c>
      <c r="BC210" s="51">
        <f t="shared" si="19"/>
        <v>0</v>
      </c>
      <c r="BD210" s="51">
        <f t="shared" si="20"/>
        <v>0</v>
      </c>
      <c r="BE210" s="51">
        <f t="shared" si="21"/>
        <v>0</v>
      </c>
      <c r="BF210" s="51">
        <f t="shared" si="22"/>
        <v>0</v>
      </c>
      <c r="BG210" s="51">
        <f t="shared" si="23"/>
        <v>0</v>
      </c>
      <c r="BH210" s="51">
        <f t="shared" si="24"/>
        <v>0</v>
      </c>
      <c r="BI210" s="51">
        <f t="shared" si="266"/>
        <v>0</v>
      </c>
      <c r="BJ210" s="51">
        <f t="shared" si="267"/>
        <v>0</v>
      </c>
      <c r="BK210" s="51">
        <f t="shared" si="268"/>
        <v>0</v>
      </c>
      <c r="BL210" s="51">
        <f t="shared" si="269"/>
        <v>0</v>
      </c>
      <c r="BM210" s="51">
        <f t="shared" si="270"/>
        <v>0</v>
      </c>
      <c r="BN210" s="51">
        <f t="shared" si="271"/>
        <v>0</v>
      </c>
      <c r="BO210" s="51">
        <f t="shared" si="272"/>
        <v>0</v>
      </c>
      <c r="BP210" s="51">
        <f t="shared" si="273"/>
        <v>0</v>
      </c>
      <c r="BQ210" s="51">
        <f t="shared" si="274"/>
        <v>0</v>
      </c>
      <c r="BR210" s="51">
        <f t="shared" si="275"/>
        <v>0</v>
      </c>
      <c r="BS210" s="51">
        <f t="shared" si="276"/>
        <v>0</v>
      </c>
      <c r="BT210" s="51">
        <f t="shared" si="277"/>
        <v>0</v>
      </c>
      <c r="BU210" s="20">
        <f t="shared" si="278"/>
        <v>4761.4396153846164</v>
      </c>
      <c r="BV210" s="20">
        <f t="shared" si="279"/>
        <v>4761.4396153846137</v>
      </c>
      <c r="BW210" s="20">
        <f t="shared" si="280"/>
        <v>57137.275384615379</v>
      </c>
      <c r="BX210" s="20">
        <f t="shared" si="281"/>
        <v>57137.275384615394</v>
      </c>
      <c r="BY210" s="20">
        <f t="shared" si="282"/>
        <v>57137.275384615365</v>
      </c>
      <c r="BZ210" s="21">
        <f t="shared" si="283"/>
        <v>57137.275384615379</v>
      </c>
      <c r="CA210" s="19">
        <f t="shared" si="256"/>
        <v>1428431.8846153845</v>
      </c>
      <c r="CB210" s="20">
        <f t="shared" si="284"/>
        <v>1428431.8846153847</v>
      </c>
      <c r="CC210" s="20">
        <f t="shared" si="285"/>
        <v>1428431.8846153843</v>
      </c>
      <c r="CD210" s="20">
        <f t="shared" si="257"/>
        <v>0</v>
      </c>
      <c r="CE210" s="20">
        <f t="shared" si="261"/>
        <v>1400000</v>
      </c>
      <c r="CF210" s="20">
        <f t="shared" si="295"/>
        <v>1691170.8273663558</v>
      </c>
      <c r="CG210" s="20">
        <f t="shared" si="286"/>
        <v>67646.833094654226</v>
      </c>
      <c r="CH210" s="20">
        <f t="shared" si="296"/>
        <v>5637.2360912211852</v>
      </c>
      <c r="CI210" s="20">
        <f t="shared" si="287"/>
        <v>1675386.8619615582</v>
      </c>
      <c r="CJ210" s="24">
        <f t="shared" si="288"/>
        <v>1.183935226860128</v>
      </c>
      <c r="CK210" s="24">
        <f t="shared" si="289"/>
        <v>9.4381960714856102E-3</v>
      </c>
      <c r="CL210" s="24">
        <f t="shared" si="290"/>
        <v>2.8699694322769267E-2</v>
      </c>
      <c r="CM210" s="25">
        <f t="shared" si="291"/>
        <v>0.1222510499565695</v>
      </c>
      <c r="CN210" s="17"/>
      <c r="CO210" s="17"/>
      <c r="CP210" s="17"/>
      <c r="CQ210" s="17"/>
      <c r="CR210" s="17"/>
      <c r="CS210" s="17"/>
      <c r="CT210" s="17"/>
      <c r="CU210" s="17"/>
      <c r="CV210" s="17"/>
      <c r="CW210" s="30">
        <v>0</v>
      </c>
      <c r="CX210" s="17"/>
      <c r="CY210" s="17"/>
      <c r="CZ210" s="17"/>
      <c r="DA210" s="17"/>
      <c r="DB210" s="17"/>
    </row>
    <row r="211" spans="1:106" ht="15.75" thickBot="1" x14ac:dyDescent="0.3">
      <c r="A211" s="5">
        <f t="shared" si="258"/>
        <v>41</v>
      </c>
      <c r="B211" s="5">
        <f t="shared" si="258"/>
        <v>39</v>
      </c>
      <c r="C211" s="1">
        <v>48639</v>
      </c>
      <c r="D211" s="4"/>
      <c r="E211" s="30"/>
      <c r="F211" s="30"/>
      <c r="G211" s="30">
        <f t="shared" si="262"/>
        <v>0</v>
      </c>
      <c r="H211" s="30"/>
      <c r="I211" s="10">
        <v>0</v>
      </c>
      <c r="J211" s="60">
        <v>9000</v>
      </c>
      <c r="K211" s="11">
        <v>550</v>
      </c>
      <c r="L211" s="60">
        <f t="shared" si="72"/>
        <v>11209.367791744151</v>
      </c>
      <c r="M211" s="11">
        <v>305</v>
      </c>
      <c r="N211" s="60">
        <v>0</v>
      </c>
      <c r="O211" s="11">
        <v>0</v>
      </c>
      <c r="P211" s="11">
        <v>0</v>
      </c>
      <c r="Q211" s="60">
        <f>(Q210*($K$1/12))+Q210 + $Q$6</f>
        <v>240859.87012857336</v>
      </c>
      <c r="R211" s="60">
        <f>(R210*($K$1/12))+R210</f>
        <v>11594.832897703613</v>
      </c>
      <c r="S211" s="60">
        <f>(S210*($K$1/12))+S210</f>
        <v>10066.640968485359</v>
      </c>
      <c r="T211" s="60">
        <f>(T210*($K$1/12))+T210+$T$6 + ((3%/12)*T$11)</f>
        <v>920072.02814707928</v>
      </c>
      <c r="U211" s="60">
        <f>(U210*$K$1/12) + U210 + ((U$11/12*7%))</f>
        <v>119686.44200675579</v>
      </c>
      <c r="V211" s="60">
        <v>3100</v>
      </c>
      <c r="W211" s="60">
        <f>(W210*($K$1/12))+W210+$W$6</f>
        <v>83049.053539277476</v>
      </c>
      <c r="X211" s="11">
        <v>0</v>
      </c>
      <c r="Y211" s="60">
        <f>(Y210*($K$1/12))+Y210+$Y$7</f>
        <v>321739.9716600487</v>
      </c>
      <c r="Z211" s="60">
        <f>'Mortgage and Loans'!U173</f>
        <v>156813.84000000008</v>
      </c>
      <c r="AA211" s="12">
        <f t="shared" si="293"/>
        <v>1888047.0471396679</v>
      </c>
      <c r="AB211" s="56">
        <f t="shared" si="292"/>
        <v>750</v>
      </c>
      <c r="AC211" s="56">
        <f t="shared" si="292"/>
        <v>750</v>
      </c>
      <c r="AD211" s="56">
        <f t="shared" si="292"/>
        <v>750</v>
      </c>
      <c r="AE211" s="56">
        <f t="shared" si="292"/>
        <v>750</v>
      </c>
      <c r="AF211" s="56">
        <f t="shared" si="259"/>
        <v>261.43961538461389</v>
      </c>
      <c r="AG211" s="56">
        <f t="shared" si="292"/>
        <v>750</v>
      </c>
      <c r="AH211" s="56">
        <f>'Mortgage and Loans'!AF168</f>
        <v>0</v>
      </c>
      <c r="AI211" s="56">
        <f>'Mortgage and Loans'!AQ168</f>
        <v>0</v>
      </c>
      <c r="AJ211" s="56">
        <f>'Mortgage and Loans'!BB168</f>
        <v>0</v>
      </c>
      <c r="AK211" s="56">
        <f>'Mortgage and Loans'!BM168</f>
        <v>0</v>
      </c>
      <c r="AL211" s="56">
        <f>'Mortgage and Loans'!T173</f>
        <v>23186.159999999712</v>
      </c>
      <c r="AM211" s="12">
        <f t="shared" si="12"/>
        <v>-27197.599615384326</v>
      </c>
      <c r="AN211" s="75">
        <f t="shared" si="85"/>
        <v>1860849.4475242835</v>
      </c>
      <c r="AO211" s="86">
        <f>'Mortgage and Loans'!G174</f>
        <v>0</v>
      </c>
      <c r="AP211" s="79">
        <f>('Salary Tax Breakdown'!B$16/12)-Data!AO211</f>
        <v>3447.5</v>
      </c>
      <c r="AQ211" s="87"/>
      <c r="AR211" s="20">
        <f t="shared" si="263"/>
        <v>4011.4396153846137</v>
      </c>
      <c r="AS211" s="20">
        <v>750</v>
      </c>
      <c r="AT211" s="20">
        <v>0</v>
      </c>
      <c r="AU211" s="20">
        <f t="shared" si="264"/>
        <v>4761.4396153846137</v>
      </c>
      <c r="AV211" s="20">
        <f t="shared" si="265"/>
        <v>4761.4396153846128</v>
      </c>
      <c r="AW211" s="51">
        <f t="shared" si="294"/>
        <v>0</v>
      </c>
      <c r="AX211" s="51">
        <f t="shared" si="14"/>
        <v>0</v>
      </c>
      <c r="AY211" s="51">
        <f t="shared" si="15"/>
        <v>0</v>
      </c>
      <c r="AZ211" s="51">
        <f t="shared" si="16"/>
        <v>0</v>
      </c>
      <c r="BA211" s="51">
        <f t="shared" si="17"/>
        <v>0</v>
      </c>
      <c r="BB211" s="51">
        <f t="shared" si="18"/>
        <v>0</v>
      </c>
      <c r="BC211" s="51">
        <f t="shared" si="19"/>
        <v>0</v>
      </c>
      <c r="BD211" s="51">
        <f t="shared" si="20"/>
        <v>0</v>
      </c>
      <c r="BE211" s="51">
        <f t="shared" si="21"/>
        <v>0</v>
      </c>
      <c r="BF211" s="51">
        <f t="shared" si="22"/>
        <v>0</v>
      </c>
      <c r="BG211" s="51">
        <f t="shared" si="23"/>
        <v>0</v>
      </c>
      <c r="BH211" s="51">
        <f t="shared" si="24"/>
        <v>0</v>
      </c>
      <c r="BI211" s="51">
        <f t="shared" si="266"/>
        <v>0</v>
      </c>
      <c r="BJ211" s="51">
        <f t="shared" si="267"/>
        <v>0</v>
      </c>
      <c r="BK211" s="51">
        <f t="shared" si="268"/>
        <v>0</v>
      </c>
      <c r="BL211" s="51">
        <f t="shared" si="269"/>
        <v>0</v>
      </c>
      <c r="BM211" s="51">
        <f t="shared" si="270"/>
        <v>0</v>
      </c>
      <c r="BN211" s="51">
        <f t="shared" si="271"/>
        <v>0</v>
      </c>
      <c r="BO211" s="51">
        <f t="shared" si="272"/>
        <v>0</v>
      </c>
      <c r="BP211" s="51">
        <f t="shared" si="273"/>
        <v>0</v>
      </c>
      <c r="BQ211" s="51">
        <f t="shared" si="274"/>
        <v>0</v>
      </c>
      <c r="BR211" s="51">
        <f t="shared" si="275"/>
        <v>0</v>
      </c>
      <c r="BS211" s="51">
        <f t="shared" si="276"/>
        <v>0</v>
      </c>
      <c r="BT211" s="51">
        <f t="shared" si="277"/>
        <v>0</v>
      </c>
      <c r="BU211" s="20">
        <f t="shared" si="278"/>
        <v>4761.4396153846146</v>
      </c>
      <c r="BV211" s="20">
        <f t="shared" si="279"/>
        <v>4761.4396153846137</v>
      </c>
      <c r="BW211" s="20">
        <f t="shared" si="280"/>
        <v>57137.275384615365</v>
      </c>
      <c r="BX211" s="20">
        <f t="shared" si="281"/>
        <v>57137.275384615379</v>
      </c>
      <c r="BY211" s="20">
        <f t="shared" si="282"/>
        <v>57137.275384615365</v>
      </c>
      <c r="BZ211" s="21">
        <f t="shared" si="283"/>
        <v>57137.275384615372</v>
      </c>
      <c r="CA211" s="19">
        <f t="shared" si="256"/>
        <v>1428431.8846153843</v>
      </c>
      <c r="CB211" s="20">
        <f t="shared" si="284"/>
        <v>1428431.8846153843</v>
      </c>
      <c r="CC211" s="20">
        <f t="shared" si="285"/>
        <v>1428431.8846153843</v>
      </c>
      <c r="CD211" s="20">
        <f t="shared" si="257"/>
        <v>0</v>
      </c>
      <c r="CE211" s="20">
        <f t="shared" si="261"/>
        <v>1400000</v>
      </c>
      <c r="CF211" s="20">
        <f t="shared" si="295"/>
        <v>1707068.8393479236</v>
      </c>
      <c r="CG211" s="20">
        <f t="shared" si="286"/>
        <v>68282.75357391694</v>
      </c>
      <c r="CH211" s="20">
        <f t="shared" si="296"/>
        <v>5690.229464493078</v>
      </c>
      <c r="CI211" s="20">
        <f t="shared" si="287"/>
        <v>1691199.37746385</v>
      </c>
      <c r="CJ211" s="24">
        <f t="shared" si="288"/>
        <v>1.1950649224044481</v>
      </c>
      <c r="CK211" s="24">
        <f t="shared" si="289"/>
        <v>9.4005949749769845E-3</v>
      </c>
      <c r="CL211" s="24">
        <f t="shared" si="290"/>
        <v>2.8583183934588859E-2</v>
      </c>
      <c r="CM211" s="25">
        <f t="shared" si="291"/>
        <v>0.1217098209323426</v>
      </c>
      <c r="CN211" s="17"/>
      <c r="CO211" s="17"/>
      <c r="CP211" s="17"/>
      <c r="CQ211" s="17"/>
      <c r="CR211" s="17"/>
      <c r="CS211" s="17"/>
      <c r="CT211" s="17"/>
      <c r="CU211" s="17"/>
      <c r="CV211" s="17"/>
      <c r="CW211" s="30">
        <v>0</v>
      </c>
      <c r="CX211" s="17"/>
      <c r="CY211" s="17"/>
      <c r="CZ211" s="17"/>
      <c r="DA211" s="17"/>
      <c r="DB211" s="17"/>
    </row>
    <row r="212" spans="1:106" ht="15.75" thickBot="1" x14ac:dyDescent="0.3">
      <c r="A212" s="5">
        <f t="shared" si="258"/>
        <v>41</v>
      </c>
      <c r="B212" s="5">
        <f t="shared" si="258"/>
        <v>39</v>
      </c>
      <c r="C212" s="1">
        <v>48670</v>
      </c>
      <c r="D212" s="4"/>
      <c r="E212" s="30"/>
      <c r="F212" s="30"/>
      <c r="G212" s="30">
        <f t="shared" si="262"/>
        <v>0</v>
      </c>
      <c r="H212" s="30"/>
      <c r="I212" s="10">
        <v>0</v>
      </c>
      <c r="J212" s="60">
        <v>9000</v>
      </c>
      <c r="K212" s="11">
        <v>550</v>
      </c>
      <c r="L212" s="60">
        <f t="shared" si="72"/>
        <v>11222.912444492507</v>
      </c>
      <c r="M212" s="11">
        <v>305</v>
      </c>
      <c r="N212" s="60">
        <v>0</v>
      </c>
      <c r="O212" s="11">
        <v>0</v>
      </c>
      <c r="P212" s="11">
        <v>0</v>
      </c>
      <c r="Q212" s="60">
        <f>(Q211*($K$1/12))+Q211 + $Q$6</f>
        <v>243081.19775843646</v>
      </c>
      <c r="R212" s="60">
        <f>(R211*($K$1/12))+R211</f>
        <v>11657.638242566174</v>
      </c>
      <c r="S212" s="60">
        <f>(S211*($K$1/12))+S211</f>
        <v>10121.168607064654</v>
      </c>
      <c r="T212" s="60">
        <f>(T211*($K$1/12))+T211+$T$6 + ((3%/12)*T$11)</f>
        <v>928230.751632876</v>
      </c>
      <c r="U212" s="60">
        <f>(U211*$K$1/12) + U211 + ((U$11/12*7%))</f>
        <v>120743.07690095904</v>
      </c>
      <c r="V212" s="60">
        <v>3100</v>
      </c>
      <c r="W212" s="60">
        <f>(W211*($K$1/12))+W211+$W$6</f>
        <v>83786.402579281901</v>
      </c>
      <c r="X212" s="11">
        <v>0</v>
      </c>
      <c r="Y212" s="60">
        <f>(Y211*($K$1/12))+Y211+$Y$7</f>
        <v>325432.72983987397</v>
      </c>
      <c r="Z212" s="60">
        <f>'Mortgage and Loans'!U174</f>
        <v>158188.86000000007</v>
      </c>
      <c r="AA212" s="12">
        <f t="shared" si="293"/>
        <v>1905419.7380055508</v>
      </c>
      <c r="AB212" s="56">
        <f t="shared" si="292"/>
        <v>750</v>
      </c>
      <c r="AC212" s="56">
        <f t="shared" si="292"/>
        <v>750</v>
      </c>
      <c r="AD212" s="56">
        <f t="shared" si="292"/>
        <v>750</v>
      </c>
      <c r="AE212" s="56">
        <f t="shared" si="292"/>
        <v>750</v>
      </c>
      <c r="AF212" s="56">
        <f t="shared" si="259"/>
        <v>261.439615384614</v>
      </c>
      <c r="AG212" s="56">
        <f t="shared" si="292"/>
        <v>750</v>
      </c>
      <c r="AH212" s="56">
        <f>'Mortgage and Loans'!AF169</f>
        <v>0</v>
      </c>
      <c r="AI212" s="56">
        <f>'Mortgage and Loans'!AQ169</f>
        <v>0</v>
      </c>
      <c r="AJ212" s="56">
        <f>'Mortgage and Loans'!BB169</f>
        <v>0</v>
      </c>
      <c r="AK212" s="56">
        <f>'Mortgage and Loans'!BM169</f>
        <v>0</v>
      </c>
      <c r="AL212" s="56">
        <f>'Mortgage and Loans'!T174</f>
        <v>21811.139999999712</v>
      </c>
      <c r="AM212" s="12">
        <f t="shared" si="12"/>
        <v>-25822.579615384326</v>
      </c>
      <c r="AN212" s="75">
        <f t="shared" si="85"/>
        <v>1879597.1583901665</v>
      </c>
      <c r="AO212" s="86">
        <f>'Mortgage and Loans'!G175</f>
        <v>0</v>
      </c>
      <c r="AP212" s="79">
        <f>('Salary Tax Breakdown'!B$16/12)-Data!AO212</f>
        <v>3447.5</v>
      </c>
      <c r="AQ212" s="87"/>
      <c r="AR212" s="20">
        <f t="shared" si="263"/>
        <v>4011.4396153846142</v>
      </c>
      <c r="AS212" s="20">
        <v>750</v>
      </c>
      <c r="AT212" s="20">
        <v>0</v>
      </c>
      <c r="AU212" s="20">
        <f t="shared" si="264"/>
        <v>4761.4396153846137</v>
      </c>
      <c r="AV212" s="20">
        <f t="shared" si="265"/>
        <v>4761.4396153846083</v>
      </c>
      <c r="AW212" s="51">
        <f t="shared" si="294"/>
        <v>0</v>
      </c>
      <c r="AX212" s="51">
        <f t="shared" si="14"/>
        <v>0</v>
      </c>
      <c r="AY212" s="51">
        <f t="shared" si="15"/>
        <v>0</v>
      </c>
      <c r="AZ212" s="51">
        <f t="shared" si="16"/>
        <v>0</v>
      </c>
      <c r="BA212" s="51">
        <f t="shared" si="17"/>
        <v>0</v>
      </c>
      <c r="BB212" s="51">
        <f t="shared" si="18"/>
        <v>0</v>
      </c>
      <c r="BC212" s="51">
        <f t="shared" si="19"/>
        <v>0</v>
      </c>
      <c r="BD212" s="51">
        <f t="shared" si="20"/>
        <v>0</v>
      </c>
      <c r="BE212" s="51">
        <f t="shared" si="21"/>
        <v>0</v>
      </c>
      <c r="BF212" s="51">
        <f t="shared" si="22"/>
        <v>0</v>
      </c>
      <c r="BG212" s="51">
        <f t="shared" si="23"/>
        <v>0</v>
      </c>
      <c r="BH212" s="51">
        <f t="shared" si="24"/>
        <v>0</v>
      </c>
      <c r="BI212" s="51">
        <f t="shared" si="266"/>
        <v>0</v>
      </c>
      <c r="BJ212" s="51">
        <f t="shared" si="267"/>
        <v>0</v>
      </c>
      <c r="BK212" s="51">
        <f t="shared" si="268"/>
        <v>0</v>
      </c>
      <c r="BL212" s="51">
        <f t="shared" si="269"/>
        <v>0</v>
      </c>
      <c r="BM212" s="51">
        <f t="shared" si="270"/>
        <v>0</v>
      </c>
      <c r="BN212" s="51">
        <f t="shared" si="271"/>
        <v>0</v>
      </c>
      <c r="BO212" s="51">
        <f t="shared" si="272"/>
        <v>0</v>
      </c>
      <c r="BP212" s="51">
        <f t="shared" si="273"/>
        <v>0</v>
      </c>
      <c r="BQ212" s="51">
        <f t="shared" si="274"/>
        <v>0</v>
      </c>
      <c r="BR212" s="51">
        <f t="shared" si="275"/>
        <v>0</v>
      </c>
      <c r="BS212" s="51">
        <f t="shared" si="276"/>
        <v>0</v>
      </c>
      <c r="BT212" s="51">
        <f t="shared" si="277"/>
        <v>0</v>
      </c>
      <c r="BU212" s="20">
        <f t="shared" si="278"/>
        <v>4761.4396153846137</v>
      </c>
      <c r="BV212" s="20">
        <f t="shared" si="279"/>
        <v>4761.4396153846146</v>
      </c>
      <c r="BW212" s="20">
        <f t="shared" si="280"/>
        <v>57137.275384615365</v>
      </c>
      <c r="BX212" s="20">
        <f t="shared" si="281"/>
        <v>57137.275384615365</v>
      </c>
      <c r="BY212" s="20">
        <f t="shared" si="282"/>
        <v>57137.275384615379</v>
      </c>
      <c r="BZ212" s="21">
        <f t="shared" si="283"/>
        <v>57137.275384615372</v>
      </c>
      <c r="CA212" s="19">
        <f t="shared" ref="CA212:CA267" si="297">$BZ212/CA$11</f>
        <v>1428431.8846153843</v>
      </c>
      <c r="CB212" s="20">
        <f t="shared" si="284"/>
        <v>1428431.8846153843</v>
      </c>
      <c r="CC212" s="20">
        <f t="shared" si="285"/>
        <v>1428431.8846153843</v>
      </c>
      <c r="CD212" s="20">
        <f t="shared" ref="CD212:CD275" si="298">CB212*G212</f>
        <v>0</v>
      </c>
      <c r="CE212" s="20">
        <f t="shared" si="261"/>
        <v>1400000</v>
      </c>
      <c r="CF212" s="20">
        <f t="shared" si="295"/>
        <v>1723052.9655610581</v>
      </c>
      <c r="CG212" s="20">
        <f t="shared" si="286"/>
        <v>68922.118622442329</v>
      </c>
      <c r="CH212" s="20">
        <f t="shared" si="296"/>
        <v>5743.5098852035271</v>
      </c>
      <c r="CI212" s="20">
        <f t="shared" si="287"/>
        <v>1707097.544091779</v>
      </c>
      <c r="CJ212" s="24">
        <f t="shared" si="288"/>
        <v>1.2062549037996326</v>
      </c>
      <c r="CK212" s="24">
        <f t="shared" si="289"/>
        <v>9.3634924642173253E-3</v>
      </c>
      <c r="CL212" s="24">
        <f t="shared" si="290"/>
        <v>2.8468235819912733E-2</v>
      </c>
      <c r="CM212" s="25">
        <f t="shared" si="291"/>
        <v>0.12117624052439741</v>
      </c>
      <c r="CN212" s="17"/>
      <c r="CO212" s="17"/>
      <c r="CP212" s="17"/>
      <c r="CQ212" s="17"/>
      <c r="CR212" s="17"/>
      <c r="CS212" s="17"/>
      <c r="CT212" s="17"/>
      <c r="CU212" s="17"/>
      <c r="CV212" s="17"/>
      <c r="CW212" s="30">
        <v>0</v>
      </c>
      <c r="CX212" s="17"/>
      <c r="CY212" s="17"/>
      <c r="CZ212" s="17"/>
      <c r="DA212" s="17"/>
      <c r="DB212" s="17"/>
    </row>
    <row r="213" spans="1:106" ht="15.75" thickBot="1" x14ac:dyDescent="0.3">
      <c r="A213" s="5">
        <f t="shared" si="258"/>
        <v>41</v>
      </c>
      <c r="B213" s="5">
        <f t="shared" si="258"/>
        <v>39</v>
      </c>
      <c r="C213" s="1">
        <v>48700</v>
      </c>
      <c r="D213" s="4"/>
      <c r="E213" s="30"/>
      <c r="F213" s="30"/>
      <c r="G213" s="30">
        <f t="shared" si="262"/>
        <v>0</v>
      </c>
      <c r="H213" s="30"/>
      <c r="I213" s="10">
        <v>0</v>
      </c>
      <c r="J213" s="60">
        <v>9000</v>
      </c>
      <c r="K213" s="11">
        <v>550</v>
      </c>
      <c r="L213" s="60">
        <f t="shared" si="72"/>
        <v>11236.473463696268</v>
      </c>
      <c r="M213" s="11">
        <v>305</v>
      </c>
      <c r="N213" s="60">
        <v>0</v>
      </c>
      <c r="O213" s="11">
        <v>0</v>
      </c>
      <c r="P213" s="11">
        <v>0</v>
      </c>
      <c r="Q213" s="60">
        <f>(Q212*($K$1/12))+Q212 + $Q$6</f>
        <v>245314.55757962802</v>
      </c>
      <c r="R213" s="60">
        <f>(R212*($K$1/12))+R212</f>
        <v>11720.783783046742</v>
      </c>
      <c r="S213" s="60">
        <f>(S212*($K$1/12))+S212</f>
        <v>10175.991603686254</v>
      </c>
      <c r="T213" s="60">
        <f>(T212*($K$1/12))+T212+$T$6 + ((3%/12)*T$11)</f>
        <v>936433.66820422071</v>
      </c>
      <c r="U213" s="60">
        <f>(U212*$K$1/12) + U212 + ((U$11/12*7%))</f>
        <v>121805.43523417256</v>
      </c>
      <c r="V213" s="60">
        <v>3100</v>
      </c>
      <c r="W213" s="60">
        <f>(W212*($K$1/12))+W212+$W$6</f>
        <v>84527.745593253014</v>
      </c>
      <c r="X213" s="11">
        <v>0</v>
      </c>
      <c r="Y213" s="60">
        <f>(Y212*($K$1/12))+Y212+$Y$7</f>
        <v>329145.49045983993</v>
      </c>
      <c r="Z213" s="60">
        <f>'Mortgage and Loans'!U175</f>
        <v>159568.61000000007</v>
      </c>
      <c r="AA213" s="12">
        <f t="shared" si="293"/>
        <v>1922883.7559215438</v>
      </c>
      <c r="AB213" s="56">
        <f t="shared" si="292"/>
        <v>750</v>
      </c>
      <c r="AC213" s="56">
        <f t="shared" si="292"/>
        <v>750</v>
      </c>
      <c r="AD213" s="56">
        <f t="shared" si="292"/>
        <v>750</v>
      </c>
      <c r="AE213" s="56">
        <f t="shared" si="292"/>
        <v>750</v>
      </c>
      <c r="AF213" s="56">
        <f t="shared" si="259"/>
        <v>261.43961538461451</v>
      </c>
      <c r="AG213" s="56">
        <f t="shared" si="292"/>
        <v>750</v>
      </c>
      <c r="AH213" s="56">
        <f>'Mortgage and Loans'!AF170</f>
        <v>0</v>
      </c>
      <c r="AI213" s="56">
        <f>'Mortgage and Loans'!AQ170</f>
        <v>0</v>
      </c>
      <c r="AJ213" s="56">
        <f>'Mortgage and Loans'!BB170</f>
        <v>0</v>
      </c>
      <c r="AK213" s="56">
        <f>'Mortgage and Loans'!BM170</f>
        <v>0</v>
      </c>
      <c r="AL213" s="56">
        <f>'Mortgage and Loans'!T175</f>
        <v>20431.389999999712</v>
      </c>
      <c r="AM213" s="12">
        <f t="shared" si="12"/>
        <v>-24442.829615384326</v>
      </c>
      <c r="AN213" s="75">
        <f t="shared" si="85"/>
        <v>1898440.9263061595</v>
      </c>
      <c r="AO213" s="86">
        <f>'Mortgage and Loans'!G176</f>
        <v>0</v>
      </c>
      <c r="AP213" s="79">
        <f>('Salary Tax Breakdown'!B$16/12)-Data!AO213</f>
        <v>3447.5</v>
      </c>
      <c r="AQ213" s="87"/>
      <c r="AR213" s="20">
        <f t="shared" si="263"/>
        <v>4011.4396153846146</v>
      </c>
      <c r="AS213" s="20">
        <v>750</v>
      </c>
      <c r="AT213" s="20">
        <v>0</v>
      </c>
      <c r="AU213" s="20">
        <f t="shared" si="264"/>
        <v>4761.4396153846146</v>
      </c>
      <c r="AV213" s="20">
        <f t="shared" si="265"/>
        <v>4761.4396153846064</v>
      </c>
      <c r="AW213" s="51">
        <f t="shared" si="294"/>
        <v>0</v>
      </c>
      <c r="AX213" s="51">
        <f t="shared" si="14"/>
        <v>0</v>
      </c>
      <c r="AY213" s="51">
        <f t="shared" si="15"/>
        <v>0</v>
      </c>
      <c r="AZ213" s="51">
        <f t="shared" si="16"/>
        <v>0</v>
      </c>
      <c r="BA213" s="51">
        <f t="shared" si="17"/>
        <v>0</v>
      </c>
      <c r="BB213" s="51">
        <f t="shared" si="18"/>
        <v>0</v>
      </c>
      <c r="BC213" s="51">
        <f t="shared" si="19"/>
        <v>0</v>
      </c>
      <c r="BD213" s="51">
        <f t="shared" si="20"/>
        <v>0</v>
      </c>
      <c r="BE213" s="51">
        <f t="shared" si="21"/>
        <v>0</v>
      </c>
      <c r="BF213" s="51">
        <f t="shared" si="22"/>
        <v>0</v>
      </c>
      <c r="BG213" s="51">
        <f t="shared" si="23"/>
        <v>0</v>
      </c>
      <c r="BH213" s="51">
        <f t="shared" si="24"/>
        <v>0</v>
      </c>
      <c r="BI213" s="51">
        <f t="shared" si="266"/>
        <v>0</v>
      </c>
      <c r="BJ213" s="51">
        <f t="shared" si="267"/>
        <v>0</v>
      </c>
      <c r="BK213" s="51">
        <f t="shared" si="268"/>
        <v>0</v>
      </c>
      <c r="BL213" s="51">
        <f t="shared" si="269"/>
        <v>0</v>
      </c>
      <c r="BM213" s="51">
        <f t="shared" si="270"/>
        <v>0</v>
      </c>
      <c r="BN213" s="51">
        <f t="shared" si="271"/>
        <v>0</v>
      </c>
      <c r="BO213" s="51">
        <f t="shared" si="272"/>
        <v>0</v>
      </c>
      <c r="BP213" s="51">
        <f t="shared" si="273"/>
        <v>0</v>
      </c>
      <c r="BQ213" s="51">
        <f t="shared" si="274"/>
        <v>0</v>
      </c>
      <c r="BR213" s="51">
        <f t="shared" si="275"/>
        <v>0</v>
      </c>
      <c r="BS213" s="51">
        <f t="shared" si="276"/>
        <v>0</v>
      </c>
      <c r="BT213" s="51">
        <f t="shared" si="277"/>
        <v>0</v>
      </c>
      <c r="BU213" s="20">
        <f t="shared" si="278"/>
        <v>4761.4396153846137</v>
      </c>
      <c r="BV213" s="20">
        <f t="shared" si="279"/>
        <v>4761.4396153846164</v>
      </c>
      <c r="BW213" s="20">
        <f t="shared" si="280"/>
        <v>57137.275384615379</v>
      </c>
      <c r="BX213" s="20">
        <f t="shared" si="281"/>
        <v>57137.275384615365</v>
      </c>
      <c r="BY213" s="20">
        <f t="shared" si="282"/>
        <v>57137.275384615394</v>
      </c>
      <c r="BZ213" s="21">
        <f t="shared" si="283"/>
        <v>57137.275384615379</v>
      </c>
      <c r="CA213" s="19">
        <f t="shared" si="297"/>
        <v>1428431.8846153845</v>
      </c>
      <c r="CB213" s="20">
        <f t="shared" si="284"/>
        <v>1428431.8846153843</v>
      </c>
      <c r="CC213" s="20">
        <f t="shared" si="285"/>
        <v>1428431.8846153847</v>
      </c>
      <c r="CD213" s="20">
        <f t="shared" si="298"/>
        <v>0</v>
      </c>
      <c r="CE213" s="20">
        <f t="shared" si="261"/>
        <v>1400000</v>
      </c>
      <c r="CF213" s="20">
        <f t="shared" si="295"/>
        <v>1739123.672457847</v>
      </c>
      <c r="CG213" s="20">
        <f t="shared" si="286"/>
        <v>69564.94689831388</v>
      </c>
      <c r="CH213" s="20">
        <f t="shared" si="296"/>
        <v>5797.0789081928233</v>
      </c>
      <c r="CI213" s="20">
        <f t="shared" si="287"/>
        <v>1723081.8257889429</v>
      </c>
      <c r="CJ213" s="24">
        <f t="shared" si="288"/>
        <v>1.2175054975940409</v>
      </c>
      <c r="CK213" s="24">
        <f t="shared" si="289"/>
        <v>9.3268792184551252E-3</v>
      </c>
      <c r="CL213" s="24">
        <f t="shared" si="290"/>
        <v>2.8354820409341938E-2</v>
      </c>
      <c r="CM213" s="25">
        <f t="shared" si="291"/>
        <v>0.12065015535795567</v>
      </c>
      <c r="CN213" s="17"/>
      <c r="CO213" s="17"/>
      <c r="CP213" s="17"/>
      <c r="CQ213" s="17"/>
      <c r="CR213" s="17"/>
      <c r="CS213" s="17"/>
      <c r="CT213" s="17"/>
      <c r="CU213" s="17"/>
      <c r="CV213" s="17"/>
      <c r="CW213" s="30">
        <v>0</v>
      </c>
      <c r="CX213" s="17"/>
      <c r="CY213" s="17"/>
      <c r="CZ213" s="17"/>
      <c r="DA213" s="17"/>
      <c r="DB213" s="17"/>
    </row>
    <row r="214" spans="1:106" ht="15.75" thickBot="1" x14ac:dyDescent="0.3">
      <c r="A214" s="5">
        <f t="shared" si="258"/>
        <v>41</v>
      </c>
      <c r="B214" s="5">
        <f t="shared" si="258"/>
        <v>39</v>
      </c>
      <c r="C214" s="1">
        <v>48731</v>
      </c>
      <c r="D214" s="4"/>
      <c r="E214" s="30"/>
      <c r="F214" s="30"/>
      <c r="G214" s="30">
        <f t="shared" si="262"/>
        <v>0</v>
      </c>
      <c r="H214" s="30"/>
      <c r="I214" s="10">
        <v>0</v>
      </c>
      <c r="J214" s="60">
        <v>9000</v>
      </c>
      <c r="K214" s="11">
        <v>550</v>
      </c>
      <c r="L214" s="60">
        <f t="shared" si="72"/>
        <v>11250.050869131566</v>
      </c>
      <c r="M214" s="11">
        <v>305</v>
      </c>
      <c r="N214" s="60">
        <v>0</v>
      </c>
      <c r="O214" s="11">
        <v>0</v>
      </c>
      <c r="P214" s="11">
        <v>0</v>
      </c>
      <c r="Q214" s="60">
        <f>(Q213*($K$1/12))+Q213 + $Q$6</f>
        <v>247560.01476651768</v>
      </c>
      <c r="R214" s="60">
        <f>(R213*($K$1/12))+R213</f>
        <v>11784.271361871579</v>
      </c>
      <c r="S214" s="60">
        <f>(S213*($K$1/12))+S213</f>
        <v>10231.111558206221</v>
      </c>
      <c r="T214" s="60">
        <f>(T213*($K$1/12))+T213+$T$6 + ((3%/12)*T$11)</f>
        <v>944681.01724032685</v>
      </c>
      <c r="U214" s="60">
        <f>(U213*$K$1/12) + U213 + ((U$11/12*7%))</f>
        <v>122873.54800835765</v>
      </c>
      <c r="V214" s="60">
        <v>3100</v>
      </c>
      <c r="W214" s="60">
        <f>(W213*($K$1/12))+W213+$W$6</f>
        <v>85273.104215216474</v>
      </c>
      <c r="X214" s="11">
        <v>0</v>
      </c>
      <c r="Y214" s="60">
        <f>(Y213*($K$1/12))+Y213+$Y$7</f>
        <v>332878.36186649738</v>
      </c>
      <c r="Z214" s="60">
        <f>'Mortgage and Loans'!U176</f>
        <v>160953.11000000007</v>
      </c>
      <c r="AA214" s="12">
        <f t="shared" si="293"/>
        <v>1940439.5898861254</v>
      </c>
      <c r="AB214" s="56">
        <f t="shared" si="292"/>
        <v>750</v>
      </c>
      <c r="AC214" s="56">
        <f t="shared" si="292"/>
        <v>750</v>
      </c>
      <c r="AD214" s="56">
        <f t="shared" si="292"/>
        <v>750</v>
      </c>
      <c r="AE214" s="56">
        <f t="shared" si="292"/>
        <v>750</v>
      </c>
      <c r="AF214" s="56">
        <f t="shared" si="259"/>
        <v>261.43961538461519</v>
      </c>
      <c r="AG214" s="56">
        <f t="shared" si="292"/>
        <v>750</v>
      </c>
      <c r="AH214" s="56">
        <f>'Mortgage and Loans'!AF171</f>
        <v>0</v>
      </c>
      <c r="AI214" s="56">
        <f>'Mortgage and Loans'!AQ171</f>
        <v>0</v>
      </c>
      <c r="AJ214" s="56">
        <f>'Mortgage and Loans'!BB171</f>
        <v>0</v>
      </c>
      <c r="AK214" s="56">
        <f>'Mortgage and Loans'!BM171</f>
        <v>0</v>
      </c>
      <c r="AL214" s="56">
        <f>'Mortgage and Loans'!T176</f>
        <v>19046.889999999712</v>
      </c>
      <c r="AM214" s="12">
        <f t="shared" si="12"/>
        <v>-23058.329615384326</v>
      </c>
      <c r="AN214" s="75">
        <f t="shared" si="85"/>
        <v>1917381.2602707411</v>
      </c>
      <c r="AO214" s="86">
        <f>'Mortgage and Loans'!G177</f>
        <v>0</v>
      </c>
      <c r="AP214" s="79">
        <f>('Salary Tax Breakdown'!B$16/12)-Data!AO214</f>
        <v>3447.5</v>
      </c>
      <c r="AQ214" s="87"/>
      <c r="AR214" s="20">
        <f t="shared" si="263"/>
        <v>4011.4396153846151</v>
      </c>
      <c r="AS214" s="20">
        <v>750</v>
      </c>
      <c r="AT214" s="20">
        <v>0</v>
      </c>
      <c r="AU214" s="20">
        <f t="shared" si="264"/>
        <v>4761.4396153846155</v>
      </c>
      <c r="AV214" s="20">
        <f t="shared" si="265"/>
        <v>4761.4396153846083</v>
      </c>
      <c r="AW214" s="51">
        <f t="shared" si="294"/>
        <v>0</v>
      </c>
      <c r="AX214" s="51">
        <f t="shared" si="14"/>
        <v>0</v>
      </c>
      <c r="AY214" s="51">
        <f t="shared" si="15"/>
        <v>0</v>
      </c>
      <c r="AZ214" s="51">
        <f t="shared" si="16"/>
        <v>0</v>
      </c>
      <c r="BA214" s="51">
        <f t="shared" si="17"/>
        <v>0</v>
      </c>
      <c r="BB214" s="51">
        <f t="shared" si="18"/>
        <v>0</v>
      </c>
      <c r="BC214" s="51">
        <f t="shared" si="19"/>
        <v>0</v>
      </c>
      <c r="BD214" s="51">
        <f t="shared" si="20"/>
        <v>0</v>
      </c>
      <c r="BE214" s="51">
        <f t="shared" si="21"/>
        <v>0</v>
      </c>
      <c r="BF214" s="51">
        <f t="shared" si="22"/>
        <v>0</v>
      </c>
      <c r="BG214" s="51">
        <f t="shared" si="23"/>
        <v>0</v>
      </c>
      <c r="BH214" s="51">
        <f t="shared" si="24"/>
        <v>0</v>
      </c>
      <c r="BI214" s="51">
        <f t="shared" si="266"/>
        <v>0</v>
      </c>
      <c r="BJ214" s="51">
        <f t="shared" si="267"/>
        <v>0</v>
      </c>
      <c r="BK214" s="51">
        <f t="shared" si="268"/>
        <v>0</v>
      </c>
      <c r="BL214" s="51">
        <f t="shared" si="269"/>
        <v>0</v>
      </c>
      <c r="BM214" s="51">
        <f t="shared" si="270"/>
        <v>0</v>
      </c>
      <c r="BN214" s="51">
        <f t="shared" si="271"/>
        <v>0</v>
      </c>
      <c r="BO214" s="51">
        <f t="shared" si="272"/>
        <v>0</v>
      </c>
      <c r="BP214" s="51">
        <f t="shared" si="273"/>
        <v>0</v>
      </c>
      <c r="BQ214" s="51">
        <f t="shared" si="274"/>
        <v>0</v>
      </c>
      <c r="BR214" s="51">
        <f t="shared" si="275"/>
        <v>0</v>
      </c>
      <c r="BS214" s="51">
        <f t="shared" si="276"/>
        <v>0</v>
      </c>
      <c r="BT214" s="51">
        <f t="shared" si="277"/>
        <v>0</v>
      </c>
      <c r="BU214" s="20">
        <f t="shared" si="278"/>
        <v>4761.4396153846146</v>
      </c>
      <c r="BV214" s="20">
        <f t="shared" si="279"/>
        <v>4761.4396153846164</v>
      </c>
      <c r="BW214" s="20">
        <f t="shared" si="280"/>
        <v>57137.275384615386</v>
      </c>
      <c r="BX214" s="20">
        <f t="shared" si="281"/>
        <v>57137.275384615379</v>
      </c>
      <c r="BY214" s="20">
        <f t="shared" si="282"/>
        <v>57137.275384615394</v>
      </c>
      <c r="BZ214" s="21">
        <f t="shared" si="283"/>
        <v>57137.275384615386</v>
      </c>
      <c r="CA214" s="19">
        <f t="shared" si="297"/>
        <v>1428431.8846153847</v>
      </c>
      <c r="CB214" s="20">
        <f t="shared" si="284"/>
        <v>1428431.8846153847</v>
      </c>
      <c r="CC214" s="20">
        <f t="shared" si="285"/>
        <v>1428431.8846153847</v>
      </c>
      <c r="CD214" s="20">
        <f t="shared" si="298"/>
        <v>0</v>
      </c>
      <c r="CE214" s="20">
        <f t="shared" si="261"/>
        <v>1400000</v>
      </c>
      <c r="CF214" s="20">
        <f t="shared" si="295"/>
        <v>1755281.4290169938</v>
      </c>
      <c r="CG214" s="20">
        <f t="shared" si="286"/>
        <v>70211.257160679757</v>
      </c>
      <c r="CH214" s="20">
        <f t="shared" si="296"/>
        <v>5850.9380967233128</v>
      </c>
      <c r="CI214" s="20">
        <f t="shared" si="287"/>
        <v>1739152.6890119661</v>
      </c>
      <c r="CJ214" s="24">
        <f t="shared" si="288"/>
        <v>1.2288170321048355</v>
      </c>
      <c r="CK214" s="24">
        <f t="shared" si="289"/>
        <v>9.2907461470589769E-3</v>
      </c>
      <c r="CL214" s="24">
        <f t="shared" si="290"/>
        <v>2.8242908872665465E-2</v>
      </c>
      <c r="CM214" s="25">
        <f t="shared" si="291"/>
        <v>0.12013141612141433</v>
      </c>
      <c r="CN214" s="17"/>
      <c r="CO214" s="17"/>
      <c r="CP214" s="17"/>
      <c r="CQ214" s="17"/>
      <c r="CR214" s="17"/>
      <c r="CS214" s="17"/>
      <c r="CT214" s="17"/>
      <c r="CU214" s="17"/>
      <c r="CV214" s="17"/>
      <c r="CW214" s="30">
        <v>0</v>
      </c>
      <c r="CX214" s="17"/>
      <c r="CY214" s="17"/>
      <c r="CZ214" s="17"/>
      <c r="DA214" s="17"/>
      <c r="DB214" s="17"/>
    </row>
    <row r="215" spans="1:106" ht="15.75" thickBot="1" x14ac:dyDescent="0.3">
      <c r="A215" s="5">
        <f t="shared" si="258"/>
        <v>41</v>
      </c>
      <c r="B215" s="5">
        <f t="shared" si="258"/>
        <v>39</v>
      </c>
      <c r="C215" s="1">
        <v>48761</v>
      </c>
      <c r="D215" s="4"/>
      <c r="E215" s="30"/>
      <c r="F215" s="30"/>
      <c r="G215" s="30">
        <f t="shared" si="262"/>
        <v>0</v>
      </c>
      <c r="H215" s="30"/>
      <c r="I215" s="10">
        <v>0</v>
      </c>
      <c r="J215" s="60">
        <v>9000</v>
      </c>
      <c r="K215" s="11">
        <v>550</v>
      </c>
      <c r="L215" s="60">
        <f t="shared" si="72"/>
        <v>11263.644680598432</v>
      </c>
      <c r="M215" s="11">
        <v>305</v>
      </c>
      <c r="N215" s="60">
        <v>0</v>
      </c>
      <c r="O215" s="11">
        <v>0</v>
      </c>
      <c r="P215" s="11">
        <v>0</v>
      </c>
      <c r="Q215" s="60">
        <f>(Q214*($K$1/12))+Q214 + $Q$6</f>
        <v>249817.634846503</v>
      </c>
      <c r="R215" s="60">
        <f>(R214*($K$1/12))+R214</f>
        <v>11848.102831748383</v>
      </c>
      <c r="S215" s="60">
        <f>(S214*($K$1/12))+S214</f>
        <v>10286.530079146505</v>
      </c>
      <c r="T215" s="60">
        <f>(T214*($K$1/12))+T214+$T$6 + ((3%/12)*T$11)</f>
        <v>952973.03941704531</v>
      </c>
      <c r="U215" s="60">
        <f>(U214*$K$1/12) + U214 + ((U$11/12*7%))</f>
        <v>123947.44639340292</v>
      </c>
      <c r="V215" s="60">
        <v>3100</v>
      </c>
      <c r="W215" s="60">
        <f>(W214*($K$1/12))+W214+$W$6</f>
        <v>86022.500196382229</v>
      </c>
      <c r="X215" s="11">
        <v>0</v>
      </c>
      <c r="Y215" s="60">
        <f>(Y214*($K$1/12))+Y214+$Y$7</f>
        <v>336631.45299327426</v>
      </c>
      <c r="Z215" s="60">
        <f>'Mortgage and Loans'!U177</f>
        <v>162342.38000000006</v>
      </c>
      <c r="AA215" s="12">
        <f t="shared" si="293"/>
        <v>1958087.731438101</v>
      </c>
      <c r="AB215" s="56">
        <f t="shared" si="292"/>
        <v>750</v>
      </c>
      <c r="AC215" s="56">
        <f t="shared" si="292"/>
        <v>750</v>
      </c>
      <c r="AD215" s="56">
        <f t="shared" si="292"/>
        <v>750</v>
      </c>
      <c r="AE215" s="56">
        <f t="shared" si="292"/>
        <v>750</v>
      </c>
      <c r="AF215" s="56">
        <f t="shared" si="259"/>
        <v>261.43961538461576</v>
      </c>
      <c r="AG215" s="56">
        <f t="shared" si="292"/>
        <v>750</v>
      </c>
      <c r="AH215" s="56">
        <f>'Mortgage and Loans'!AF172</f>
        <v>0</v>
      </c>
      <c r="AI215" s="56">
        <f>'Mortgage and Loans'!AQ172</f>
        <v>0</v>
      </c>
      <c r="AJ215" s="56">
        <f>'Mortgage and Loans'!BB172</f>
        <v>0</v>
      </c>
      <c r="AK215" s="56">
        <f>'Mortgage and Loans'!BM172</f>
        <v>0</v>
      </c>
      <c r="AL215" s="56">
        <f>'Mortgage and Loans'!T177</f>
        <v>17657.619999999712</v>
      </c>
      <c r="AM215" s="12">
        <f t="shared" si="12"/>
        <v>-21669.059615384329</v>
      </c>
      <c r="AN215" s="75">
        <f t="shared" si="85"/>
        <v>1936418.6718227167</v>
      </c>
      <c r="AO215" s="86">
        <f>'Mortgage and Loans'!G178</f>
        <v>0</v>
      </c>
      <c r="AP215" s="79">
        <f>('Salary Tax Breakdown'!B$16/12)-Data!AO215</f>
        <v>3447.5</v>
      </c>
      <c r="AQ215" s="87"/>
      <c r="AR215" s="20">
        <f t="shared" si="263"/>
        <v>4011.4396153846155</v>
      </c>
      <c r="AS215" s="20">
        <v>750</v>
      </c>
      <c r="AT215" s="20">
        <v>0</v>
      </c>
      <c r="AU215" s="20">
        <f t="shared" si="264"/>
        <v>4761.4396153846155</v>
      </c>
      <c r="AV215" s="20">
        <f t="shared" si="265"/>
        <v>4761.4396153846119</v>
      </c>
      <c r="AW215" s="51">
        <f t="shared" si="294"/>
        <v>0</v>
      </c>
      <c r="AX215" s="51">
        <f t="shared" si="14"/>
        <v>0</v>
      </c>
      <c r="AY215" s="51">
        <f t="shared" si="15"/>
        <v>0</v>
      </c>
      <c r="AZ215" s="51">
        <f t="shared" si="16"/>
        <v>0</v>
      </c>
      <c r="BA215" s="51">
        <f t="shared" si="17"/>
        <v>0</v>
      </c>
      <c r="BB215" s="51">
        <f t="shared" si="18"/>
        <v>0</v>
      </c>
      <c r="BC215" s="51">
        <f t="shared" si="19"/>
        <v>0</v>
      </c>
      <c r="BD215" s="51">
        <f t="shared" si="20"/>
        <v>0</v>
      </c>
      <c r="BE215" s="51">
        <f t="shared" si="21"/>
        <v>0</v>
      </c>
      <c r="BF215" s="51">
        <f t="shared" si="22"/>
        <v>0</v>
      </c>
      <c r="BG215" s="51">
        <f t="shared" si="23"/>
        <v>0</v>
      </c>
      <c r="BH215" s="51">
        <f t="shared" si="24"/>
        <v>0</v>
      </c>
      <c r="BI215" s="51">
        <f t="shared" si="266"/>
        <v>0</v>
      </c>
      <c r="BJ215" s="51">
        <f t="shared" si="267"/>
        <v>0</v>
      </c>
      <c r="BK215" s="51">
        <f t="shared" si="268"/>
        <v>0</v>
      </c>
      <c r="BL215" s="51">
        <f t="shared" si="269"/>
        <v>0</v>
      </c>
      <c r="BM215" s="51">
        <f t="shared" si="270"/>
        <v>0</v>
      </c>
      <c r="BN215" s="51">
        <f t="shared" si="271"/>
        <v>0</v>
      </c>
      <c r="BO215" s="51">
        <f t="shared" si="272"/>
        <v>0</v>
      </c>
      <c r="BP215" s="51">
        <f t="shared" si="273"/>
        <v>0</v>
      </c>
      <c r="BQ215" s="51">
        <f t="shared" si="274"/>
        <v>0</v>
      </c>
      <c r="BR215" s="51">
        <f t="shared" si="275"/>
        <v>0</v>
      </c>
      <c r="BS215" s="51">
        <f t="shared" si="276"/>
        <v>0</v>
      </c>
      <c r="BT215" s="51">
        <f t="shared" si="277"/>
        <v>0</v>
      </c>
      <c r="BU215" s="20">
        <f t="shared" si="278"/>
        <v>4761.4396153846155</v>
      </c>
      <c r="BV215" s="20">
        <f t="shared" si="279"/>
        <v>4761.4396153846174</v>
      </c>
      <c r="BW215" s="20">
        <f t="shared" si="280"/>
        <v>57137.275384615386</v>
      </c>
      <c r="BX215" s="20">
        <f t="shared" si="281"/>
        <v>57137.275384615386</v>
      </c>
      <c r="BY215" s="20">
        <f t="shared" si="282"/>
        <v>57137.275384615408</v>
      </c>
      <c r="BZ215" s="21">
        <f t="shared" si="283"/>
        <v>57137.275384615386</v>
      </c>
      <c r="CA215" s="19">
        <f t="shared" si="297"/>
        <v>1428431.8846153847</v>
      </c>
      <c r="CB215" s="20">
        <f t="shared" si="284"/>
        <v>1428431.8846153847</v>
      </c>
      <c r="CC215" s="20">
        <f t="shared" si="285"/>
        <v>1428431.8846153847</v>
      </c>
      <c r="CD215" s="20">
        <f t="shared" si="298"/>
        <v>0</v>
      </c>
      <c r="CE215" s="20">
        <f t="shared" si="261"/>
        <v>1400000</v>
      </c>
      <c r="CF215" s="20">
        <f t="shared" si="295"/>
        <v>1771526.7067575026</v>
      </c>
      <c r="CG215" s="20">
        <f t="shared" si="286"/>
        <v>70861.068270300108</v>
      </c>
      <c r="CH215" s="20">
        <f t="shared" si="296"/>
        <v>5905.0890225250087</v>
      </c>
      <c r="CI215" s="20">
        <f t="shared" si="287"/>
        <v>1755310.6027441146</v>
      </c>
      <c r="CJ215" s="24">
        <f t="shared" si="288"/>
        <v>1.2401898374275639</v>
      </c>
      <c r="CK215" s="24">
        <f t="shared" si="289"/>
        <v>9.2550843824551754E-3</v>
      </c>
      <c r="CL215" s="24">
        <f t="shared" si="290"/>
        <v>2.8132473095892636E-2</v>
      </c>
      <c r="CM215" s="25">
        <f t="shared" si="291"/>
        <v>0.11961987743262623</v>
      </c>
      <c r="CN215" s="17"/>
      <c r="CO215" s="17"/>
      <c r="CP215" s="17"/>
      <c r="CQ215" s="17"/>
      <c r="CR215" s="17"/>
      <c r="CS215" s="17"/>
      <c r="CT215" s="17"/>
      <c r="CU215" s="17"/>
      <c r="CV215" s="17"/>
      <c r="CW215" s="30">
        <v>0</v>
      </c>
      <c r="CX215" s="17"/>
      <c r="CY215" s="17"/>
      <c r="CZ215" s="17"/>
      <c r="DA215" s="17"/>
      <c r="DB215" s="17"/>
    </row>
    <row r="216" spans="1:106" ht="15.75" thickBot="1" x14ac:dyDescent="0.3">
      <c r="A216" s="5">
        <f t="shared" si="258"/>
        <v>41</v>
      </c>
      <c r="B216" s="5">
        <f t="shared" si="258"/>
        <v>39</v>
      </c>
      <c r="C216" s="1">
        <v>48792</v>
      </c>
      <c r="D216" s="4"/>
      <c r="E216" s="30"/>
      <c r="F216" s="30"/>
      <c r="G216" s="30">
        <f t="shared" si="262"/>
        <v>0</v>
      </c>
      <c r="H216" s="30"/>
      <c r="I216" s="10">
        <v>0</v>
      </c>
      <c r="J216" s="60">
        <v>9000</v>
      </c>
      <c r="K216" s="11">
        <v>550</v>
      </c>
      <c r="L216" s="60">
        <f t="shared" si="72"/>
        <v>11277.254917920822</v>
      </c>
      <c r="M216" s="11">
        <v>305</v>
      </c>
      <c r="N216" s="60">
        <v>0</v>
      </c>
      <c r="O216" s="11">
        <v>0</v>
      </c>
      <c r="P216" s="11">
        <v>0</v>
      </c>
      <c r="Q216" s="60">
        <f>(Q215*($K$1/12))+Q215 + $Q$6</f>
        <v>252087.48370192156</v>
      </c>
      <c r="R216" s="60">
        <f>(R215*($K$1/12))+R215</f>
        <v>11912.280055420353</v>
      </c>
      <c r="S216" s="60">
        <f>(S215*($K$1/12))+S215</f>
        <v>10342.248783741881</v>
      </c>
      <c r="T216" s="60">
        <f>(T215*($K$1/12))+T215+$T$6 + ((3%/12)*T$11)</f>
        <v>961309.97671388765</v>
      </c>
      <c r="U216" s="60">
        <f>(U215*$K$1/12) + U215 + ((U$11/12*7%))</f>
        <v>125027.16172803384</v>
      </c>
      <c r="V216" s="60">
        <v>3100</v>
      </c>
      <c r="W216" s="60">
        <f>(W215*($K$1/12))+W215+$W$6</f>
        <v>86775.955405779299</v>
      </c>
      <c r="X216" s="11">
        <v>0</v>
      </c>
      <c r="Y216" s="60">
        <f>(Y215*($K$1/12))+Y215+$Y$7</f>
        <v>340404.87336365448</v>
      </c>
      <c r="Z216" s="60">
        <f>'Mortgage and Loans'!U178</f>
        <v>163736.43000000005</v>
      </c>
      <c r="AA216" s="12">
        <f t="shared" si="293"/>
        <v>1975828.6646703603</v>
      </c>
      <c r="AB216" s="56">
        <f t="shared" si="292"/>
        <v>750</v>
      </c>
      <c r="AC216" s="56">
        <f t="shared" si="292"/>
        <v>750</v>
      </c>
      <c r="AD216" s="56">
        <f t="shared" si="292"/>
        <v>750</v>
      </c>
      <c r="AE216" s="56">
        <f t="shared" si="292"/>
        <v>750</v>
      </c>
      <c r="AF216" s="56">
        <f t="shared" si="259"/>
        <v>261.43961538461605</v>
      </c>
      <c r="AG216" s="56">
        <f t="shared" si="292"/>
        <v>750</v>
      </c>
      <c r="AH216" s="56">
        <f>'Mortgage and Loans'!AF173</f>
        <v>0</v>
      </c>
      <c r="AI216" s="56">
        <f>'Mortgage and Loans'!AQ173</f>
        <v>0</v>
      </c>
      <c r="AJ216" s="56">
        <f>'Mortgage and Loans'!BB173</f>
        <v>0</v>
      </c>
      <c r="AK216" s="56">
        <f>'Mortgage and Loans'!BM173</f>
        <v>0</v>
      </c>
      <c r="AL216" s="56">
        <f>'Mortgage and Loans'!T178</f>
        <v>16263.569999999712</v>
      </c>
      <c r="AM216" s="12">
        <f t="shared" si="12"/>
        <v>-20275.00961538433</v>
      </c>
      <c r="AN216" s="75">
        <f t="shared" si="85"/>
        <v>1955553.655054976</v>
      </c>
      <c r="AO216" s="86">
        <f>'Mortgage and Loans'!G179</f>
        <v>0</v>
      </c>
      <c r="AP216" s="79">
        <f>('Salary Tax Breakdown'!B$16/12)-Data!AO216</f>
        <v>3447.5</v>
      </c>
      <c r="AQ216" s="87"/>
      <c r="AR216" s="20">
        <f t="shared" si="263"/>
        <v>4011.439615384616</v>
      </c>
      <c r="AS216" s="20">
        <v>750</v>
      </c>
      <c r="AT216" s="20">
        <v>0</v>
      </c>
      <c r="AU216" s="20">
        <f t="shared" si="264"/>
        <v>4761.4396153846155</v>
      </c>
      <c r="AV216" s="20">
        <f t="shared" si="265"/>
        <v>4761.4396153846155</v>
      </c>
      <c r="AW216" s="51">
        <f t="shared" si="294"/>
        <v>0</v>
      </c>
      <c r="AX216" s="51">
        <f t="shared" si="14"/>
        <v>0</v>
      </c>
      <c r="AY216" s="51">
        <f t="shared" si="15"/>
        <v>0</v>
      </c>
      <c r="AZ216" s="51">
        <f t="shared" si="16"/>
        <v>0</v>
      </c>
      <c r="BA216" s="51">
        <f t="shared" si="17"/>
        <v>0</v>
      </c>
      <c r="BB216" s="51">
        <f t="shared" si="18"/>
        <v>0</v>
      </c>
      <c r="BC216" s="51">
        <f t="shared" si="19"/>
        <v>0</v>
      </c>
      <c r="BD216" s="51">
        <f t="shared" si="20"/>
        <v>0</v>
      </c>
      <c r="BE216" s="51">
        <f t="shared" si="21"/>
        <v>0</v>
      </c>
      <c r="BF216" s="51">
        <f t="shared" si="22"/>
        <v>0</v>
      </c>
      <c r="BG216" s="51">
        <f t="shared" si="23"/>
        <v>0</v>
      </c>
      <c r="BH216" s="51">
        <f t="shared" si="24"/>
        <v>0</v>
      </c>
      <c r="BI216" s="51">
        <f t="shared" si="266"/>
        <v>0</v>
      </c>
      <c r="BJ216" s="51">
        <f t="shared" si="267"/>
        <v>0</v>
      </c>
      <c r="BK216" s="51">
        <f t="shared" si="268"/>
        <v>0</v>
      </c>
      <c r="BL216" s="51">
        <f t="shared" si="269"/>
        <v>0</v>
      </c>
      <c r="BM216" s="51">
        <f t="shared" si="270"/>
        <v>0</v>
      </c>
      <c r="BN216" s="51">
        <f t="shared" si="271"/>
        <v>0</v>
      </c>
      <c r="BO216" s="51">
        <f t="shared" si="272"/>
        <v>0</v>
      </c>
      <c r="BP216" s="51">
        <f t="shared" si="273"/>
        <v>0</v>
      </c>
      <c r="BQ216" s="51">
        <f t="shared" si="274"/>
        <v>0</v>
      </c>
      <c r="BR216" s="51">
        <f t="shared" si="275"/>
        <v>0</v>
      </c>
      <c r="BS216" s="51">
        <f t="shared" si="276"/>
        <v>0</v>
      </c>
      <c r="BT216" s="51">
        <f t="shared" si="277"/>
        <v>0</v>
      </c>
      <c r="BU216" s="20">
        <f t="shared" si="278"/>
        <v>4761.4396153846155</v>
      </c>
      <c r="BV216" s="20">
        <f t="shared" si="279"/>
        <v>4761.4396153846174</v>
      </c>
      <c r="BW216" s="20">
        <f t="shared" si="280"/>
        <v>57137.275384615386</v>
      </c>
      <c r="BX216" s="20">
        <f t="shared" si="281"/>
        <v>57137.275384615386</v>
      </c>
      <c r="BY216" s="20">
        <f t="shared" si="282"/>
        <v>57137.275384615408</v>
      </c>
      <c r="BZ216" s="21">
        <f t="shared" si="283"/>
        <v>57137.275384615386</v>
      </c>
      <c r="CA216" s="19">
        <f t="shared" si="297"/>
        <v>1428431.8846153847</v>
      </c>
      <c r="CB216" s="20">
        <f t="shared" si="284"/>
        <v>1428431.8846153847</v>
      </c>
      <c r="CC216" s="20">
        <f t="shared" si="285"/>
        <v>1428431.8846153847</v>
      </c>
      <c r="CD216" s="20">
        <f t="shared" si="298"/>
        <v>0</v>
      </c>
      <c r="CE216" s="20">
        <f t="shared" si="261"/>
        <v>1400000</v>
      </c>
      <c r="CF216" s="20">
        <f t="shared" si="295"/>
        <v>1787859.9797524391</v>
      </c>
      <c r="CG216" s="20">
        <f t="shared" si="286"/>
        <v>71514.399190097567</v>
      </c>
      <c r="CH216" s="20">
        <f t="shared" si="296"/>
        <v>5959.5332658414636</v>
      </c>
      <c r="CI216" s="20">
        <f t="shared" si="287"/>
        <v>1771556.0385089784</v>
      </c>
      <c r="CJ216" s="24">
        <f t="shared" si="288"/>
        <v>1.2516242454457902</v>
      </c>
      <c r="CK216" s="24">
        <f t="shared" si="289"/>
        <v>9.2198852733255694E-3</v>
      </c>
      <c r="CL216" s="24">
        <f t="shared" si="290"/>
        <v>2.802348565913923E-2</v>
      </c>
      <c r="CM216" s="25">
        <f t="shared" si="291"/>
        <v>0.11911539771042674</v>
      </c>
      <c r="CN216" s="17"/>
      <c r="CO216" s="17"/>
      <c r="CP216" s="17"/>
      <c r="CQ216" s="17"/>
      <c r="CR216" s="17"/>
      <c r="CS216" s="17"/>
      <c r="CT216" s="17"/>
      <c r="CU216" s="17"/>
      <c r="CV216" s="17"/>
      <c r="CW216" s="30">
        <v>0</v>
      </c>
      <c r="CX216" s="17"/>
      <c r="CY216" s="17"/>
      <c r="CZ216" s="17"/>
      <c r="DA216" s="17"/>
      <c r="DB216" s="17"/>
    </row>
    <row r="217" spans="1:106" ht="15.75" thickBot="1" x14ac:dyDescent="0.3">
      <c r="A217" s="5">
        <f t="shared" si="258"/>
        <v>41</v>
      </c>
      <c r="B217" s="5">
        <f t="shared" si="258"/>
        <v>39</v>
      </c>
      <c r="C217" s="1">
        <v>48823</v>
      </c>
      <c r="D217" s="4"/>
      <c r="E217" s="30"/>
      <c r="F217" s="30"/>
      <c r="G217" s="30">
        <f t="shared" si="262"/>
        <v>0</v>
      </c>
      <c r="H217" s="30"/>
      <c r="I217" s="10">
        <v>0</v>
      </c>
      <c r="J217" s="60">
        <v>9000</v>
      </c>
      <c r="K217" s="11">
        <v>550</v>
      </c>
      <c r="L217" s="60">
        <f t="shared" si="72"/>
        <v>11290.881600946643</v>
      </c>
      <c r="M217" s="11">
        <v>305</v>
      </c>
      <c r="N217" s="60">
        <v>0</v>
      </c>
      <c r="O217" s="11">
        <v>0</v>
      </c>
      <c r="P217" s="11">
        <v>0</v>
      </c>
      <c r="Q217" s="60">
        <f>(Q216*($K$1/12))+Q216 + $Q$6</f>
        <v>254369.62757197366</v>
      </c>
      <c r="R217" s="60">
        <f>(R216*($K$1/12))+R216</f>
        <v>11976.804905720546</v>
      </c>
      <c r="S217" s="60">
        <f>(S216*($K$1/12))+S216</f>
        <v>10398.26929798715</v>
      </c>
      <c r="T217" s="60">
        <f>(T216*($K$1/12))+T216+$T$6 + ((3%/12)*T$11)</f>
        <v>969692.07242108788</v>
      </c>
      <c r="U217" s="60">
        <f>(U216*$K$1/12) + U216 + ((U$11/12*7%))</f>
        <v>126112.72552072736</v>
      </c>
      <c r="V217" s="60">
        <v>3100</v>
      </c>
      <c r="W217" s="60">
        <f>(W216*($K$1/12))+W216+$W$6</f>
        <v>87533.491830893938</v>
      </c>
      <c r="X217" s="11">
        <v>0</v>
      </c>
      <c r="Y217" s="60">
        <f>(Y216*($K$1/12))+Y216+$Y$7</f>
        <v>344198.7330943743</v>
      </c>
      <c r="Z217" s="60">
        <f>'Mortgage and Loans'!U179</f>
        <v>165135.28000000006</v>
      </c>
      <c r="AA217" s="12">
        <f t="shared" si="293"/>
        <v>1993662.8862437115</v>
      </c>
      <c r="AB217" s="56">
        <f t="shared" si="292"/>
        <v>750</v>
      </c>
      <c r="AC217" s="56">
        <f t="shared" si="292"/>
        <v>750</v>
      </c>
      <c r="AD217" s="56">
        <f t="shared" si="292"/>
        <v>750</v>
      </c>
      <c r="AE217" s="56">
        <f t="shared" si="292"/>
        <v>750</v>
      </c>
      <c r="AF217" s="56">
        <f t="shared" si="259"/>
        <v>261.4396153846161</v>
      </c>
      <c r="AG217" s="56">
        <f t="shared" si="292"/>
        <v>750</v>
      </c>
      <c r="AH217" s="56">
        <f>'Mortgage and Loans'!AF174</f>
        <v>0</v>
      </c>
      <c r="AI217" s="56">
        <f>'Mortgage and Loans'!AQ174</f>
        <v>0</v>
      </c>
      <c r="AJ217" s="56">
        <f>'Mortgage and Loans'!BB174</f>
        <v>0</v>
      </c>
      <c r="AK217" s="56">
        <f>'Mortgage and Loans'!BM174</f>
        <v>0</v>
      </c>
      <c r="AL217" s="56">
        <f>'Mortgage and Loans'!T179</f>
        <v>14864.719999999712</v>
      </c>
      <c r="AM217" s="12">
        <f t="shared" si="12"/>
        <v>-18876.159615384327</v>
      </c>
      <c r="AN217" s="75">
        <f t="shared" si="85"/>
        <v>1974786.726628327</v>
      </c>
      <c r="AO217" s="86">
        <f>'Mortgage and Loans'!G180</f>
        <v>0</v>
      </c>
      <c r="AP217" s="79">
        <f>('Salary Tax Breakdown'!B$16/12)-Data!AO217</f>
        <v>3447.5</v>
      </c>
      <c r="AQ217" s="87"/>
      <c r="AR217" s="20">
        <f t="shared" si="263"/>
        <v>4011.439615384616</v>
      </c>
      <c r="AS217" s="20">
        <v>750</v>
      </c>
      <c r="AT217" s="20">
        <v>0</v>
      </c>
      <c r="AU217" s="20">
        <f t="shared" si="264"/>
        <v>4761.4396153846155</v>
      </c>
      <c r="AV217" s="20">
        <f t="shared" si="265"/>
        <v>4761.4396153846183</v>
      </c>
      <c r="AW217" s="51">
        <f t="shared" si="294"/>
        <v>0</v>
      </c>
      <c r="AX217" s="51">
        <f t="shared" si="14"/>
        <v>0</v>
      </c>
      <c r="AY217" s="51">
        <f t="shared" si="15"/>
        <v>0</v>
      </c>
      <c r="AZ217" s="51">
        <f t="shared" si="16"/>
        <v>0</v>
      </c>
      <c r="BA217" s="51">
        <f t="shared" si="17"/>
        <v>0</v>
      </c>
      <c r="BB217" s="51">
        <f t="shared" si="18"/>
        <v>0</v>
      </c>
      <c r="BC217" s="51">
        <f t="shared" si="19"/>
        <v>0</v>
      </c>
      <c r="BD217" s="51">
        <f t="shared" si="20"/>
        <v>0</v>
      </c>
      <c r="BE217" s="51">
        <f t="shared" si="21"/>
        <v>0</v>
      </c>
      <c r="BF217" s="51">
        <f t="shared" si="22"/>
        <v>0</v>
      </c>
      <c r="BG217" s="51">
        <f t="shared" si="23"/>
        <v>0</v>
      </c>
      <c r="BH217" s="51">
        <f t="shared" si="24"/>
        <v>0</v>
      </c>
      <c r="BI217" s="51">
        <f t="shared" si="266"/>
        <v>0</v>
      </c>
      <c r="BJ217" s="51">
        <f t="shared" si="267"/>
        <v>0</v>
      </c>
      <c r="BK217" s="51">
        <f t="shared" si="268"/>
        <v>0</v>
      </c>
      <c r="BL217" s="51">
        <f t="shared" si="269"/>
        <v>0</v>
      </c>
      <c r="BM217" s="51">
        <f t="shared" si="270"/>
        <v>0</v>
      </c>
      <c r="BN217" s="51">
        <f t="shared" si="271"/>
        <v>0</v>
      </c>
      <c r="BO217" s="51">
        <f t="shared" si="272"/>
        <v>0</v>
      </c>
      <c r="BP217" s="51">
        <f t="shared" si="273"/>
        <v>0</v>
      </c>
      <c r="BQ217" s="51">
        <f t="shared" si="274"/>
        <v>0</v>
      </c>
      <c r="BR217" s="51">
        <f t="shared" si="275"/>
        <v>0</v>
      </c>
      <c r="BS217" s="51">
        <f t="shared" si="276"/>
        <v>0</v>
      </c>
      <c r="BT217" s="51">
        <f t="shared" si="277"/>
        <v>0</v>
      </c>
      <c r="BU217" s="20">
        <f t="shared" si="278"/>
        <v>4761.4396153846155</v>
      </c>
      <c r="BV217" s="20">
        <f t="shared" si="279"/>
        <v>4761.4396153846164</v>
      </c>
      <c r="BW217" s="20">
        <f t="shared" si="280"/>
        <v>57137.275384615386</v>
      </c>
      <c r="BX217" s="20">
        <f t="shared" si="281"/>
        <v>57137.275384615386</v>
      </c>
      <c r="BY217" s="20">
        <f t="shared" si="282"/>
        <v>57137.275384615394</v>
      </c>
      <c r="BZ217" s="21">
        <f t="shared" si="283"/>
        <v>57137.275384615386</v>
      </c>
      <c r="CA217" s="19">
        <f t="shared" si="297"/>
        <v>1428431.8846153847</v>
      </c>
      <c r="CB217" s="20">
        <f t="shared" si="284"/>
        <v>1428431.8846153847</v>
      </c>
      <c r="CC217" s="20">
        <f t="shared" si="285"/>
        <v>1428431.8846153847</v>
      </c>
      <c r="CD217" s="20">
        <f t="shared" si="298"/>
        <v>0</v>
      </c>
      <c r="CE217" s="20">
        <f t="shared" si="261"/>
        <v>1400000</v>
      </c>
      <c r="CF217" s="20">
        <f t="shared" si="295"/>
        <v>1804281.724642765</v>
      </c>
      <c r="CG217" s="20">
        <f t="shared" si="286"/>
        <v>72171.268985710602</v>
      </c>
      <c r="CH217" s="20">
        <f t="shared" si="296"/>
        <v>6014.2724154758835</v>
      </c>
      <c r="CI217" s="20">
        <f t="shared" si="287"/>
        <v>1787889.4703842355</v>
      </c>
      <c r="CJ217" s="24">
        <f t="shared" si="288"/>
        <v>1.2631205898407822</v>
      </c>
      <c r="CK217" s="24">
        <f t="shared" si="289"/>
        <v>9.1851403780512028E-3</v>
      </c>
      <c r="CL217" s="24">
        <f t="shared" si="290"/>
        <v>2.7915919815327098E-2</v>
      </c>
      <c r="CM217" s="25">
        <f t="shared" si="291"/>
        <v>0.11861783905117011</v>
      </c>
      <c r="CN217" s="17"/>
      <c r="CO217" s="17"/>
      <c r="CP217" s="17"/>
      <c r="CQ217" s="17"/>
      <c r="CR217" s="17"/>
      <c r="CS217" s="17"/>
      <c r="CT217" s="17"/>
      <c r="CU217" s="17"/>
      <c r="CV217" s="17"/>
      <c r="CW217" s="30">
        <v>0</v>
      </c>
      <c r="CX217" s="17"/>
      <c r="CY217" s="17"/>
      <c r="CZ217" s="17"/>
      <c r="DA217" s="17"/>
      <c r="DB217" s="17"/>
    </row>
    <row r="218" spans="1:106" ht="15.75" thickBot="1" x14ac:dyDescent="0.3">
      <c r="A218" s="5">
        <f t="shared" si="258"/>
        <v>41</v>
      </c>
      <c r="B218" s="5">
        <f t="shared" si="258"/>
        <v>40</v>
      </c>
      <c r="C218" s="1">
        <v>48853</v>
      </c>
      <c r="D218" s="4"/>
      <c r="E218" s="30"/>
      <c r="F218" s="30"/>
      <c r="G218" s="30">
        <f t="shared" si="262"/>
        <v>0</v>
      </c>
      <c r="H218" s="30"/>
      <c r="I218" s="10">
        <v>0</v>
      </c>
      <c r="J218" s="60">
        <v>9000</v>
      </c>
      <c r="K218" s="11">
        <v>550</v>
      </c>
      <c r="L218" s="60">
        <f t="shared" si="72"/>
        <v>11304.524749547785</v>
      </c>
      <c r="M218" s="11">
        <v>305</v>
      </c>
      <c r="N218" s="60">
        <v>0</v>
      </c>
      <c r="O218" s="11">
        <v>0</v>
      </c>
      <c r="P218" s="11">
        <v>0</v>
      </c>
      <c r="Q218" s="60">
        <f>(Q217*($K$1/12))+Q217 + $Q$6</f>
        <v>256664.13305465519</v>
      </c>
      <c r="R218" s="60">
        <f>(R217*($K$1/12))+R217</f>
        <v>12041.679265626533</v>
      </c>
      <c r="S218" s="60">
        <f>(S217*($K$1/12))+S217</f>
        <v>10454.59325668458</v>
      </c>
      <c r="T218" s="60">
        <f>(T217*($K$1/12))+T217+$T$6 + ((3%/12)*T$11)</f>
        <v>978119.57114670216</v>
      </c>
      <c r="U218" s="60">
        <f>(U217*$K$1/12) + U217 + ((U$11/12*7%))</f>
        <v>127204.16945063129</v>
      </c>
      <c r="V218" s="60">
        <v>3100</v>
      </c>
      <c r="W218" s="60">
        <f>(W217*($K$1/12))+W217+$W$6</f>
        <v>88295.13157831128</v>
      </c>
      <c r="X218" s="11">
        <v>0</v>
      </c>
      <c r="Y218" s="60">
        <f>(Y217*($K$1/12))+Y217+$Y$7</f>
        <v>348013.14289863547</v>
      </c>
      <c r="Z218" s="60">
        <f>'Mortgage and Loans'!U180</f>
        <v>166538.94000000006</v>
      </c>
      <c r="AA218" s="12">
        <f t="shared" si="293"/>
        <v>2011590.8854007944</v>
      </c>
      <c r="AB218" s="56">
        <f t="shared" si="292"/>
        <v>750</v>
      </c>
      <c r="AC218" s="56">
        <f t="shared" si="292"/>
        <v>750</v>
      </c>
      <c r="AD218" s="56">
        <f t="shared" si="292"/>
        <v>750</v>
      </c>
      <c r="AE218" s="56">
        <f t="shared" si="292"/>
        <v>750</v>
      </c>
      <c r="AF218" s="56">
        <f t="shared" si="259"/>
        <v>261.43961538461593</v>
      </c>
      <c r="AG218" s="56">
        <f t="shared" si="292"/>
        <v>750</v>
      </c>
      <c r="AH218" s="56">
        <f>'Mortgage and Loans'!AF175</f>
        <v>0</v>
      </c>
      <c r="AI218" s="56">
        <f>'Mortgage and Loans'!AQ175</f>
        <v>0</v>
      </c>
      <c r="AJ218" s="56">
        <f>'Mortgage and Loans'!BB175</f>
        <v>0</v>
      </c>
      <c r="AK218" s="56">
        <f>'Mortgage and Loans'!BM175</f>
        <v>0</v>
      </c>
      <c r="AL218" s="56">
        <f>'Mortgage and Loans'!T180</f>
        <v>13461.059999999712</v>
      </c>
      <c r="AM218" s="12">
        <f t="shared" si="12"/>
        <v>-17472.499615384328</v>
      </c>
      <c r="AN218" s="75">
        <f t="shared" si="85"/>
        <v>1994118.3857854102</v>
      </c>
      <c r="AO218" s="86">
        <f>'Mortgage and Loans'!G181</f>
        <v>0</v>
      </c>
      <c r="AP218" s="79">
        <f>('Salary Tax Breakdown'!B$16/12)-Data!AO218</f>
        <v>3447.5</v>
      </c>
      <c r="AQ218" s="87"/>
      <c r="AR218" s="20">
        <f t="shared" si="263"/>
        <v>4011.439615384616</v>
      </c>
      <c r="AS218" s="20">
        <v>750</v>
      </c>
      <c r="AT218" s="20">
        <v>0</v>
      </c>
      <c r="AU218" s="20">
        <f t="shared" si="264"/>
        <v>4761.4396153846155</v>
      </c>
      <c r="AV218" s="20">
        <f t="shared" si="265"/>
        <v>4761.4396153846192</v>
      </c>
      <c r="AW218" s="51">
        <f t="shared" si="294"/>
        <v>0</v>
      </c>
      <c r="AX218" s="51">
        <f t="shared" si="14"/>
        <v>0</v>
      </c>
      <c r="AY218" s="51">
        <f t="shared" si="15"/>
        <v>0</v>
      </c>
      <c r="AZ218" s="51">
        <f t="shared" si="16"/>
        <v>0</v>
      </c>
      <c r="BA218" s="51">
        <f t="shared" si="17"/>
        <v>0</v>
      </c>
      <c r="BB218" s="51">
        <f t="shared" si="18"/>
        <v>0</v>
      </c>
      <c r="BC218" s="51">
        <f t="shared" si="19"/>
        <v>0</v>
      </c>
      <c r="BD218" s="51">
        <f t="shared" si="20"/>
        <v>0</v>
      </c>
      <c r="BE218" s="51">
        <f t="shared" si="21"/>
        <v>0</v>
      </c>
      <c r="BF218" s="51">
        <f t="shared" si="22"/>
        <v>0</v>
      </c>
      <c r="BG218" s="51">
        <f t="shared" si="23"/>
        <v>0</v>
      </c>
      <c r="BH218" s="51">
        <f t="shared" si="24"/>
        <v>0</v>
      </c>
      <c r="BI218" s="51">
        <f t="shared" si="266"/>
        <v>0</v>
      </c>
      <c r="BJ218" s="51">
        <f t="shared" si="267"/>
        <v>0</v>
      </c>
      <c r="BK218" s="51">
        <f t="shared" si="268"/>
        <v>0</v>
      </c>
      <c r="BL218" s="51">
        <f t="shared" si="269"/>
        <v>0</v>
      </c>
      <c r="BM218" s="51">
        <f t="shared" si="270"/>
        <v>0</v>
      </c>
      <c r="BN218" s="51">
        <f t="shared" si="271"/>
        <v>0</v>
      </c>
      <c r="BO218" s="51">
        <f t="shared" si="272"/>
        <v>0</v>
      </c>
      <c r="BP218" s="51">
        <f t="shared" si="273"/>
        <v>0</v>
      </c>
      <c r="BQ218" s="51">
        <f t="shared" si="274"/>
        <v>0</v>
      </c>
      <c r="BR218" s="51">
        <f t="shared" si="275"/>
        <v>0</v>
      </c>
      <c r="BS218" s="51">
        <f t="shared" si="276"/>
        <v>0</v>
      </c>
      <c r="BT218" s="51">
        <f t="shared" si="277"/>
        <v>0</v>
      </c>
      <c r="BU218" s="20">
        <f t="shared" si="278"/>
        <v>4761.4396153846155</v>
      </c>
      <c r="BV218" s="20">
        <f t="shared" si="279"/>
        <v>4761.4396153846164</v>
      </c>
      <c r="BW218" s="20">
        <f t="shared" si="280"/>
        <v>57137.275384615386</v>
      </c>
      <c r="BX218" s="20">
        <f t="shared" si="281"/>
        <v>57137.275384615386</v>
      </c>
      <c r="BY218" s="20">
        <f t="shared" si="282"/>
        <v>57137.275384615394</v>
      </c>
      <c r="BZ218" s="21">
        <f t="shared" si="283"/>
        <v>57137.275384615386</v>
      </c>
      <c r="CA218" s="19">
        <f t="shared" si="297"/>
        <v>1428431.8846153847</v>
      </c>
      <c r="CB218" s="20">
        <f t="shared" si="284"/>
        <v>1428431.8846153847</v>
      </c>
      <c r="CC218" s="20">
        <f t="shared" si="285"/>
        <v>1428431.8846153843</v>
      </c>
      <c r="CD218" s="20">
        <f t="shared" si="298"/>
        <v>0</v>
      </c>
      <c r="CE218" s="20">
        <f t="shared" si="261"/>
        <v>1400000</v>
      </c>
      <c r="CF218" s="20">
        <f t="shared" si="295"/>
        <v>1820792.4206512468</v>
      </c>
      <c r="CG218" s="20">
        <f t="shared" si="286"/>
        <v>72831.696826049869</v>
      </c>
      <c r="CH218" s="20">
        <f t="shared" si="296"/>
        <v>6069.3080688374894</v>
      </c>
      <c r="CI218" s="20">
        <f t="shared" si="287"/>
        <v>1804311.3750154835</v>
      </c>
      <c r="CJ218" s="24">
        <f t="shared" si="288"/>
        <v>1.2746792061012471</v>
      </c>
      <c r="CK218" s="24">
        <f t="shared" si="289"/>
        <v>9.150841458392971E-3</v>
      </c>
      <c r="CL218" s="24">
        <f t="shared" si="290"/>
        <v>2.7809749469663487E-2</v>
      </c>
      <c r="CM218" s="25">
        <f t="shared" si="291"/>
        <v>0.11812706711004524</v>
      </c>
      <c r="CN218" s="17"/>
      <c r="CO218" s="17"/>
      <c r="CP218" s="17"/>
      <c r="CQ218" s="17"/>
      <c r="CR218" s="17"/>
      <c r="CS218" s="17"/>
      <c r="CT218" s="17"/>
      <c r="CU218" s="17"/>
      <c r="CV218" s="17"/>
      <c r="CW218" s="30">
        <v>0</v>
      </c>
      <c r="CX218" s="17"/>
      <c r="CY218" s="17"/>
      <c r="CZ218" s="17"/>
      <c r="DA218" s="17"/>
      <c r="DB218" s="17"/>
    </row>
    <row r="219" spans="1:106" ht="16.5" thickTop="1" thickBot="1" x14ac:dyDescent="0.3">
      <c r="A219" s="5">
        <f t="shared" si="258"/>
        <v>41</v>
      </c>
      <c r="B219" s="5">
        <f t="shared" si="258"/>
        <v>40</v>
      </c>
      <c r="C219" s="1">
        <v>48884</v>
      </c>
      <c r="D219" s="4"/>
      <c r="E219" s="30"/>
      <c r="F219" s="30"/>
      <c r="G219" s="30">
        <f t="shared" si="262"/>
        <v>0</v>
      </c>
      <c r="H219" s="30"/>
      <c r="I219" s="10">
        <v>0</v>
      </c>
      <c r="J219" s="60">
        <v>9000</v>
      </c>
      <c r="K219" s="11">
        <v>550</v>
      </c>
      <c r="L219" s="60">
        <f t="shared" si="72"/>
        <v>11318.184383620155</v>
      </c>
      <c r="M219" s="11">
        <v>305</v>
      </c>
      <c r="N219" s="60">
        <v>0</v>
      </c>
      <c r="O219" s="11">
        <v>0</v>
      </c>
      <c r="P219" s="11">
        <v>0</v>
      </c>
      <c r="Q219" s="102">
        <f>(Q218*($K$1/12))+Q218 + $Q$8</f>
        <v>258512.39710870123</v>
      </c>
      <c r="R219" s="60">
        <f>(R218*($K$1/12))+R218</f>
        <v>12106.905028315345</v>
      </c>
      <c r="S219" s="60">
        <f>(S218*($K$1/12))+S218</f>
        <v>10511.222303491622</v>
      </c>
      <c r="T219" s="102">
        <f>(T218*($K$1/12))+T218+$T$8</f>
        <v>984917.71882374678</v>
      </c>
      <c r="U219" s="102">
        <f>(U218*$K$1/12) + U218</f>
        <v>127893.19203515555</v>
      </c>
      <c r="V219" s="60">
        <v>3100</v>
      </c>
      <c r="W219" s="102">
        <f>(W218*($K$1/12))+W218+$W$8</f>
        <v>88773.396874360464</v>
      </c>
      <c r="X219" s="11">
        <v>0</v>
      </c>
      <c r="Y219" s="102">
        <f>(Y218*($K$1/12))+Y218+$Y$8</f>
        <v>347598.2140893364</v>
      </c>
      <c r="Z219" s="60">
        <f>'Mortgage and Loans'!U181</f>
        <v>167947.43000000005</v>
      </c>
      <c r="AA219" s="12">
        <f t="shared" si="293"/>
        <v>2022533.6606467278</v>
      </c>
      <c r="AB219" s="56">
        <f t="shared" si="292"/>
        <v>750</v>
      </c>
      <c r="AC219" s="56">
        <f t="shared" si="292"/>
        <v>750</v>
      </c>
      <c r="AD219" s="56">
        <f t="shared" si="292"/>
        <v>750</v>
      </c>
      <c r="AE219" s="56">
        <f t="shared" si="292"/>
        <v>750</v>
      </c>
      <c r="AF219" s="56">
        <f t="shared" si="259"/>
        <v>261.43961538461559</v>
      </c>
      <c r="AG219" s="56">
        <f t="shared" si="292"/>
        <v>750</v>
      </c>
      <c r="AH219" s="56">
        <f>'Mortgage and Loans'!AF176</f>
        <v>0</v>
      </c>
      <c r="AI219" s="56">
        <f>'Mortgage and Loans'!AQ176</f>
        <v>0</v>
      </c>
      <c r="AJ219" s="56">
        <f>'Mortgage and Loans'!BB176</f>
        <v>0</v>
      </c>
      <c r="AK219" s="56">
        <f>'Mortgage and Loans'!BM176</f>
        <v>0</v>
      </c>
      <c r="AL219" s="56">
        <f>'Mortgage and Loans'!T181</f>
        <v>12052.569999999712</v>
      </c>
      <c r="AM219" s="12">
        <f t="shared" si="12"/>
        <v>-16064.009615384328</v>
      </c>
      <c r="AN219" s="75">
        <f t="shared" si="85"/>
        <v>2006469.6510313435</v>
      </c>
      <c r="AO219" s="86">
        <f>'Mortgage and Loans'!G182</f>
        <v>0</v>
      </c>
      <c r="AP219" s="79">
        <f>('Salary Tax Breakdown'!B$16/12)-Data!AO219</f>
        <v>3447.5</v>
      </c>
      <c r="AQ219" s="87"/>
      <c r="AR219" s="20">
        <f t="shared" si="263"/>
        <v>4011.4396153846155</v>
      </c>
      <c r="AS219" s="20">
        <v>750</v>
      </c>
      <c r="AT219" s="20">
        <v>0</v>
      </c>
      <c r="AU219" s="20">
        <f t="shared" si="264"/>
        <v>4761.4396153846155</v>
      </c>
      <c r="AV219" s="20">
        <f t="shared" si="265"/>
        <v>4761.4396153846192</v>
      </c>
      <c r="AW219" s="51">
        <f t="shared" si="294"/>
        <v>0</v>
      </c>
      <c r="AX219" s="51">
        <f t="shared" si="14"/>
        <v>0</v>
      </c>
      <c r="AY219" s="51">
        <f t="shared" si="15"/>
        <v>0</v>
      </c>
      <c r="AZ219" s="51">
        <f t="shared" si="16"/>
        <v>0</v>
      </c>
      <c r="BA219" s="51">
        <f t="shared" si="17"/>
        <v>0</v>
      </c>
      <c r="BB219" s="51">
        <f t="shared" si="18"/>
        <v>0</v>
      </c>
      <c r="BC219" s="51">
        <f t="shared" si="19"/>
        <v>0</v>
      </c>
      <c r="BD219" s="51">
        <f t="shared" si="20"/>
        <v>0</v>
      </c>
      <c r="BE219" s="51">
        <f t="shared" si="21"/>
        <v>0</v>
      </c>
      <c r="BF219" s="51">
        <f t="shared" si="22"/>
        <v>0</v>
      </c>
      <c r="BG219" s="51">
        <f t="shared" si="23"/>
        <v>0</v>
      </c>
      <c r="BH219" s="51">
        <f t="shared" si="24"/>
        <v>0</v>
      </c>
      <c r="BI219" s="51">
        <f t="shared" si="266"/>
        <v>0</v>
      </c>
      <c r="BJ219" s="51">
        <f t="shared" si="267"/>
        <v>0</v>
      </c>
      <c r="BK219" s="51">
        <f t="shared" si="268"/>
        <v>0</v>
      </c>
      <c r="BL219" s="51">
        <f t="shared" si="269"/>
        <v>0</v>
      </c>
      <c r="BM219" s="51">
        <f t="shared" si="270"/>
        <v>0</v>
      </c>
      <c r="BN219" s="51">
        <f t="shared" si="271"/>
        <v>0</v>
      </c>
      <c r="BO219" s="51">
        <f t="shared" si="272"/>
        <v>0</v>
      </c>
      <c r="BP219" s="51">
        <f t="shared" si="273"/>
        <v>0</v>
      </c>
      <c r="BQ219" s="51">
        <f t="shared" si="274"/>
        <v>0</v>
      </c>
      <c r="BR219" s="51">
        <f t="shared" si="275"/>
        <v>0</v>
      </c>
      <c r="BS219" s="51">
        <f t="shared" si="276"/>
        <v>0</v>
      </c>
      <c r="BT219" s="51">
        <f t="shared" si="277"/>
        <v>0</v>
      </c>
      <c r="BU219" s="20">
        <f t="shared" si="278"/>
        <v>4761.4396153846155</v>
      </c>
      <c r="BV219" s="20">
        <f t="shared" si="279"/>
        <v>4761.4396153846164</v>
      </c>
      <c r="BW219" s="20">
        <f t="shared" si="280"/>
        <v>57137.275384615386</v>
      </c>
      <c r="BX219" s="20">
        <f t="shared" si="281"/>
        <v>57137.275384615386</v>
      </c>
      <c r="BY219" s="20">
        <f t="shared" si="282"/>
        <v>57137.275384615394</v>
      </c>
      <c r="BZ219" s="21">
        <f t="shared" si="283"/>
        <v>57137.275384615386</v>
      </c>
      <c r="CA219" s="19">
        <f t="shared" si="297"/>
        <v>1428431.8846153847</v>
      </c>
      <c r="CB219" s="20">
        <f t="shared" si="284"/>
        <v>1428431.8846153847</v>
      </c>
      <c r="CC219" s="20">
        <f t="shared" si="285"/>
        <v>1428431.8846153843</v>
      </c>
      <c r="CD219" s="20">
        <f t="shared" si="298"/>
        <v>0</v>
      </c>
      <c r="CE219" s="20">
        <f t="shared" si="261"/>
        <v>1400000</v>
      </c>
      <c r="CF219" s="20">
        <f t="shared" si="295"/>
        <v>1830313.0462631073</v>
      </c>
      <c r="CG219" s="20">
        <f t="shared" si="286"/>
        <v>73212.521850524296</v>
      </c>
      <c r="CH219" s="20">
        <f t="shared" si="296"/>
        <v>6101.0434875436913</v>
      </c>
      <c r="CI219" s="20">
        <f t="shared" si="287"/>
        <v>1818462.3971857063</v>
      </c>
      <c r="CJ219" s="24">
        <f t="shared" si="288"/>
        <v>1.281344295080568</v>
      </c>
      <c r="CK219" s="24">
        <f t="shared" si="289"/>
        <v>5.2288363593117745E-3</v>
      </c>
      <c r="CL219" s="24">
        <f t="shared" si="290"/>
        <v>2.3745185300555045E-2</v>
      </c>
      <c r="CM219" s="25">
        <f t="shared" si="291"/>
        <v>0.11333665454599154</v>
      </c>
      <c r="CN219" s="17"/>
      <c r="CO219" s="17"/>
      <c r="CP219" s="17"/>
      <c r="CQ219" s="17"/>
      <c r="CR219" s="17"/>
      <c r="CS219" s="17"/>
      <c r="CT219" s="17"/>
      <c r="CU219" s="17"/>
      <c r="CV219" s="17"/>
      <c r="CW219" s="30">
        <v>0</v>
      </c>
      <c r="CX219" s="17"/>
      <c r="CY219" s="17"/>
      <c r="CZ219" s="17"/>
      <c r="DA219" s="17"/>
      <c r="DB219" s="17"/>
    </row>
    <row r="220" spans="1:106" ht="16.5" thickTop="1" thickBot="1" x14ac:dyDescent="0.3">
      <c r="A220" s="5">
        <f t="shared" si="258"/>
        <v>42</v>
      </c>
      <c r="B220" s="5">
        <f t="shared" si="258"/>
        <v>40</v>
      </c>
      <c r="C220" s="1"/>
      <c r="D220" s="4"/>
      <c r="E220" s="30"/>
      <c r="F220" s="30"/>
      <c r="G220" s="30">
        <f t="shared" si="262"/>
        <v>0</v>
      </c>
      <c r="H220" s="30"/>
      <c r="I220" s="10">
        <v>0</v>
      </c>
      <c r="J220" s="60">
        <v>9000</v>
      </c>
      <c r="K220" s="11">
        <v>550</v>
      </c>
      <c r="L220" s="60">
        <f t="shared" si="72"/>
        <v>11331.860523083695</v>
      </c>
      <c r="M220" s="11">
        <v>305</v>
      </c>
      <c r="N220" s="60">
        <v>0</v>
      </c>
      <c r="O220" s="11">
        <v>0</v>
      </c>
      <c r="P220" s="11">
        <v>0</v>
      </c>
      <c r="Q220" s="60">
        <f>(Q219*($K$1/12))+Q219 + $Q$8</f>
        <v>260370.67259304004</v>
      </c>
      <c r="R220" s="60">
        <f>(R219*($K$1/12))+R219</f>
        <v>12172.484097218719</v>
      </c>
      <c r="S220" s="60">
        <f>(S219*($K$1/12))+S219</f>
        <v>10568.158090968869</v>
      </c>
      <c r="T220" s="60">
        <f>(T219*($K$1/12))+T219+$T$8</f>
        <v>991752.68980070879</v>
      </c>
      <c r="U220" s="60">
        <f>(U219*$K$1/12) + U219</f>
        <v>128585.94682534598</v>
      </c>
      <c r="V220" s="60">
        <v>3100</v>
      </c>
      <c r="W220" s="60">
        <f>(W219*($K$1/12))+W219+$W$8</f>
        <v>89254.252774096589</v>
      </c>
      <c r="X220" s="11">
        <v>0</v>
      </c>
      <c r="Y220" s="60">
        <f>(Y219*($K$1/12))+Y219+$Y$8</f>
        <v>347181.03774898697</v>
      </c>
      <c r="Z220" s="60">
        <f>'Mortgage and Loans'!U182</f>
        <v>169360.77000000005</v>
      </c>
      <c r="AA220" s="12">
        <f t="shared" si="293"/>
        <v>2033532.8724534498</v>
      </c>
      <c r="AB220" s="56">
        <f t="shared" si="292"/>
        <v>750</v>
      </c>
      <c r="AC220" s="56">
        <f t="shared" si="292"/>
        <v>750</v>
      </c>
      <c r="AD220" s="56">
        <f t="shared" si="292"/>
        <v>750</v>
      </c>
      <c r="AE220" s="56">
        <f t="shared" si="292"/>
        <v>750</v>
      </c>
      <c r="AF220" s="56">
        <f t="shared" si="259"/>
        <v>261.43961538461537</v>
      </c>
      <c r="AG220" s="56">
        <f t="shared" si="292"/>
        <v>750</v>
      </c>
      <c r="AH220" s="56">
        <f>'Mortgage and Loans'!AF177</f>
        <v>0</v>
      </c>
      <c r="AI220" s="56">
        <f>'Mortgage and Loans'!AQ177</f>
        <v>0</v>
      </c>
      <c r="AJ220" s="56">
        <f>'Mortgage and Loans'!BB177</f>
        <v>0</v>
      </c>
      <c r="AK220" s="56">
        <f>'Mortgage and Loans'!BM177</f>
        <v>0</v>
      </c>
      <c r="AL220" s="56">
        <f>'Mortgage and Loans'!T182</f>
        <v>10639.229999999712</v>
      </c>
      <c r="AM220" s="12">
        <f t="shared" si="12"/>
        <v>-14650.669615384328</v>
      </c>
      <c r="AN220" s="75">
        <f t="shared" si="85"/>
        <v>2018882.2028380653</v>
      </c>
      <c r="AO220" s="86">
        <f>'Mortgage and Loans'!G183</f>
        <v>0</v>
      </c>
      <c r="AP220" s="79">
        <f>('Salary Tax Breakdown'!B$16/12)-Data!AO220</f>
        <v>3447.5</v>
      </c>
      <c r="AQ220" s="87"/>
      <c r="AR220" s="20">
        <f t="shared" si="263"/>
        <v>4011.4396153846155</v>
      </c>
      <c r="AS220" s="20">
        <v>750</v>
      </c>
      <c r="AT220" s="20">
        <v>0</v>
      </c>
      <c r="AU220" s="20">
        <f t="shared" si="264"/>
        <v>4761.4396153846155</v>
      </c>
      <c r="AV220" s="20">
        <f t="shared" si="265"/>
        <v>4761.4396153846174</v>
      </c>
      <c r="AW220" s="51">
        <f t="shared" si="294"/>
        <v>0</v>
      </c>
      <c r="AX220" s="51">
        <f t="shared" si="14"/>
        <v>0</v>
      </c>
      <c r="AY220" s="51">
        <f t="shared" si="15"/>
        <v>0</v>
      </c>
      <c r="AZ220" s="51">
        <f t="shared" si="16"/>
        <v>0</v>
      </c>
      <c r="BA220" s="51">
        <f t="shared" si="17"/>
        <v>0</v>
      </c>
      <c r="BB220" s="51">
        <f t="shared" si="18"/>
        <v>0</v>
      </c>
      <c r="BC220" s="51">
        <f t="shared" si="19"/>
        <v>0</v>
      </c>
      <c r="BD220" s="51">
        <f t="shared" si="20"/>
        <v>0</v>
      </c>
      <c r="BE220" s="51">
        <f t="shared" si="21"/>
        <v>0</v>
      </c>
      <c r="BF220" s="51">
        <f t="shared" si="22"/>
        <v>0</v>
      </c>
      <c r="BG220" s="51">
        <f t="shared" si="23"/>
        <v>0</v>
      </c>
      <c r="BH220" s="51">
        <f t="shared" si="24"/>
        <v>0</v>
      </c>
      <c r="BI220" s="51">
        <f t="shared" si="266"/>
        <v>0</v>
      </c>
      <c r="BJ220" s="51">
        <f t="shared" si="267"/>
        <v>0</v>
      </c>
      <c r="BK220" s="51">
        <f t="shared" si="268"/>
        <v>0</v>
      </c>
      <c r="BL220" s="51">
        <f t="shared" si="269"/>
        <v>0</v>
      </c>
      <c r="BM220" s="51">
        <f t="shared" si="270"/>
        <v>0</v>
      </c>
      <c r="BN220" s="51">
        <f t="shared" si="271"/>
        <v>0</v>
      </c>
      <c r="BO220" s="51">
        <f t="shared" si="272"/>
        <v>0</v>
      </c>
      <c r="BP220" s="51">
        <f t="shared" si="273"/>
        <v>0</v>
      </c>
      <c r="BQ220" s="51">
        <f t="shared" si="274"/>
        <v>0</v>
      </c>
      <c r="BR220" s="51">
        <f t="shared" si="275"/>
        <v>0</v>
      </c>
      <c r="BS220" s="51">
        <f t="shared" si="276"/>
        <v>0</v>
      </c>
      <c r="BT220" s="51">
        <f t="shared" si="277"/>
        <v>0</v>
      </c>
      <c r="BU220" s="20">
        <f t="shared" si="278"/>
        <v>4761.4396153846155</v>
      </c>
      <c r="BV220" s="20">
        <f t="shared" si="279"/>
        <v>4761.4396153846164</v>
      </c>
      <c r="BW220" s="20">
        <f t="shared" si="280"/>
        <v>57137.275384615386</v>
      </c>
      <c r="BX220" s="20">
        <f t="shared" si="281"/>
        <v>57137.275384615386</v>
      </c>
      <c r="BY220" s="20">
        <f t="shared" si="282"/>
        <v>57137.275384615394</v>
      </c>
      <c r="BZ220" s="21">
        <f t="shared" si="283"/>
        <v>57137.275384615386</v>
      </c>
      <c r="CA220" s="19">
        <f t="shared" si="297"/>
        <v>1428431.8846153847</v>
      </c>
      <c r="CB220" s="20">
        <f t="shared" si="284"/>
        <v>1428431.8846153847</v>
      </c>
      <c r="CC220" s="20">
        <f t="shared" si="285"/>
        <v>1428431.8846153843</v>
      </c>
      <c r="CD220" s="20">
        <f t="shared" si="298"/>
        <v>0</v>
      </c>
      <c r="CE220" s="20">
        <f t="shared" si="261"/>
        <v>1400000</v>
      </c>
      <c r="CF220" s="20">
        <f t="shared" si="295"/>
        <v>1839885.241930366</v>
      </c>
      <c r="CG220" s="20">
        <f t="shared" si="286"/>
        <v>73595.409677214644</v>
      </c>
      <c r="CH220" s="20">
        <f t="shared" si="296"/>
        <v>6132.9508064345537</v>
      </c>
      <c r="CI220" s="20">
        <f t="shared" si="287"/>
        <v>1830330.2362815731</v>
      </c>
      <c r="CJ220" s="24">
        <f t="shared" si="288"/>
        <v>1.2880454866251938</v>
      </c>
      <c r="CK220" s="24">
        <f t="shared" si="289"/>
        <v>5.2298133845474944E-3</v>
      </c>
      <c r="CL220" s="24">
        <f t="shared" si="290"/>
        <v>1.9732792723736237E-2</v>
      </c>
      <c r="CM220" s="25">
        <f t="shared" si="291"/>
        <v>0.10861084017086044</v>
      </c>
      <c r="CN220" s="17"/>
      <c r="CO220" s="17"/>
      <c r="CP220" s="17"/>
      <c r="CQ220" s="17"/>
      <c r="CR220" s="17"/>
      <c r="CS220" s="17"/>
      <c r="CT220" s="17"/>
      <c r="CU220" s="17"/>
      <c r="CV220" s="17"/>
      <c r="CW220" s="30">
        <v>0</v>
      </c>
      <c r="CX220" s="17"/>
      <c r="CY220" s="17"/>
      <c r="CZ220" s="17"/>
      <c r="DA220" s="17"/>
      <c r="DB220" s="17"/>
    </row>
    <row r="221" spans="1:106" ht="15.75" thickBot="1" x14ac:dyDescent="0.3">
      <c r="A221" s="5">
        <f t="shared" ref="A221:B284" si="299">A209+1</f>
        <v>42</v>
      </c>
      <c r="B221" s="5">
        <f t="shared" si="299"/>
        <v>40</v>
      </c>
      <c r="C221" s="1"/>
      <c r="D221" s="4"/>
      <c r="E221" s="30"/>
      <c r="F221" s="30"/>
      <c r="G221" s="30">
        <f t="shared" si="262"/>
        <v>0</v>
      </c>
      <c r="H221" s="30"/>
      <c r="I221" s="10">
        <v>0</v>
      </c>
      <c r="J221" s="60">
        <v>9000</v>
      </c>
      <c r="K221" s="11">
        <v>550</v>
      </c>
      <c r="L221" s="60">
        <f t="shared" si="72"/>
        <v>11345.55318788242</v>
      </c>
      <c r="M221" s="11">
        <v>305</v>
      </c>
      <c r="N221" s="60">
        <v>0</v>
      </c>
      <c r="O221" s="11">
        <v>0</v>
      </c>
      <c r="P221" s="11">
        <v>0</v>
      </c>
      <c r="Q221" s="60">
        <f>(Q220*($K$1/12))+Q220 + $Q$8</f>
        <v>262239.01373625232</v>
      </c>
      <c r="R221" s="60">
        <f>(R220*($K$1/12))+R220</f>
        <v>12238.418386078654</v>
      </c>
      <c r="S221" s="60">
        <f>(S220*($K$1/12))+S220</f>
        <v>10625.402280628285</v>
      </c>
      <c r="T221" s="60">
        <f>(T220*($K$1/12))+T220+$T$8</f>
        <v>998624.68353712931</v>
      </c>
      <c r="U221" s="60">
        <f>(U220*$K$1/12) + U220</f>
        <v>129282.45403731661</v>
      </c>
      <c r="V221" s="60">
        <v>3100</v>
      </c>
      <c r="W221" s="60">
        <f>(W220*($K$1/12))+W220+$W$8</f>
        <v>89737.713309956278</v>
      </c>
      <c r="X221" s="11">
        <v>0</v>
      </c>
      <c r="Y221" s="60">
        <f>(Y220*($K$1/12))+Y220+$Y$8</f>
        <v>346761.60170346068</v>
      </c>
      <c r="Z221" s="60">
        <f>'Mortgage and Loans'!U183</f>
        <v>170778.97000000006</v>
      </c>
      <c r="AA221" s="12">
        <f t="shared" si="293"/>
        <v>2044588.8101787043</v>
      </c>
      <c r="AB221" s="56">
        <f t="shared" si="292"/>
        <v>750</v>
      </c>
      <c r="AC221" s="56">
        <f t="shared" si="292"/>
        <v>750</v>
      </c>
      <c r="AD221" s="56">
        <f t="shared" si="292"/>
        <v>750</v>
      </c>
      <c r="AE221" s="56">
        <f t="shared" si="292"/>
        <v>750</v>
      </c>
      <c r="AF221" s="56">
        <f t="shared" si="259"/>
        <v>261.43961538461525</v>
      </c>
      <c r="AG221" s="56">
        <f t="shared" si="292"/>
        <v>750</v>
      </c>
      <c r="AH221" s="56">
        <f>'Mortgage and Loans'!AF178</f>
        <v>0</v>
      </c>
      <c r="AI221" s="56">
        <f>'Mortgage and Loans'!AQ178</f>
        <v>0</v>
      </c>
      <c r="AJ221" s="56">
        <f>'Mortgage and Loans'!BB178</f>
        <v>0</v>
      </c>
      <c r="AK221" s="56">
        <f>'Mortgage and Loans'!BM178</f>
        <v>0</v>
      </c>
      <c r="AL221" s="56">
        <f>'Mortgage and Loans'!T183</f>
        <v>9221.0299999997114</v>
      </c>
      <c r="AM221" s="12">
        <f t="shared" si="12"/>
        <v>-13232.469615384327</v>
      </c>
      <c r="AN221" s="75">
        <f t="shared" si="85"/>
        <v>2031356.3405633201</v>
      </c>
      <c r="AO221" s="86">
        <f>'Mortgage and Loans'!G184</f>
        <v>0</v>
      </c>
      <c r="AP221" s="79">
        <f>('Salary Tax Breakdown'!B$16/12)-Data!AO221</f>
        <v>3447.5</v>
      </c>
      <c r="AQ221" s="87"/>
      <c r="AR221" s="20">
        <f t="shared" si="263"/>
        <v>4011.4396153846151</v>
      </c>
      <c r="AS221" s="20">
        <v>750</v>
      </c>
      <c r="AT221" s="20">
        <v>0</v>
      </c>
      <c r="AU221" s="20">
        <f t="shared" si="264"/>
        <v>4761.4396153846155</v>
      </c>
      <c r="AV221" s="20">
        <f t="shared" si="265"/>
        <v>4761.4396153846155</v>
      </c>
      <c r="AW221" s="51">
        <f t="shared" si="294"/>
        <v>0</v>
      </c>
      <c r="AX221" s="51">
        <f t="shared" si="14"/>
        <v>0</v>
      </c>
      <c r="AY221" s="51">
        <f t="shared" si="15"/>
        <v>0</v>
      </c>
      <c r="AZ221" s="51">
        <f t="shared" si="16"/>
        <v>0</v>
      </c>
      <c r="BA221" s="51">
        <f t="shared" si="17"/>
        <v>0</v>
      </c>
      <c r="BB221" s="51">
        <f t="shared" si="18"/>
        <v>0</v>
      </c>
      <c r="BC221" s="51">
        <f t="shared" si="19"/>
        <v>0</v>
      </c>
      <c r="BD221" s="51">
        <f t="shared" si="20"/>
        <v>0</v>
      </c>
      <c r="BE221" s="51">
        <f t="shared" si="21"/>
        <v>0</v>
      </c>
      <c r="BF221" s="51">
        <f t="shared" si="22"/>
        <v>0</v>
      </c>
      <c r="BG221" s="51">
        <f t="shared" si="23"/>
        <v>0</v>
      </c>
      <c r="BH221" s="51">
        <f t="shared" si="24"/>
        <v>0</v>
      </c>
      <c r="BI221" s="51">
        <f t="shared" si="266"/>
        <v>0</v>
      </c>
      <c r="BJ221" s="51">
        <f t="shared" si="267"/>
        <v>0</v>
      </c>
      <c r="BK221" s="51">
        <f t="shared" si="268"/>
        <v>0</v>
      </c>
      <c r="BL221" s="51">
        <f t="shared" si="269"/>
        <v>0</v>
      </c>
      <c r="BM221" s="51">
        <f t="shared" si="270"/>
        <v>0</v>
      </c>
      <c r="BN221" s="51">
        <f t="shared" si="271"/>
        <v>0</v>
      </c>
      <c r="BO221" s="51">
        <f t="shared" si="272"/>
        <v>0</v>
      </c>
      <c r="BP221" s="51">
        <f t="shared" si="273"/>
        <v>0</v>
      </c>
      <c r="BQ221" s="51">
        <f t="shared" si="274"/>
        <v>0</v>
      </c>
      <c r="BR221" s="51">
        <f t="shared" si="275"/>
        <v>0</v>
      </c>
      <c r="BS221" s="51">
        <f t="shared" si="276"/>
        <v>0</v>
      </c>
      <c r="BT221" s="51">
        <f t="shared" si="277"/>
        <v>0</v>
      </c>
      <c r="BU221" s="20">
        <f t="shared" si="278"/>
        <v>4761.4396153846155</v>
      </c>
      <c r="BV221" s="20">
        <f t="shared" si="279"/>
        <v>4761.4396153846164</v>
      </c>
      <c r="BW221" s="20">
        <f t="shared" si="280"/>
        <v>57137.275384615386</v>
      </c>
      <c r="BX221" s="20">
        <f t="shared" si="281"/>
        <v>57137.275384615386</v>
      </c>
      <c r="BY221" s="20">
        <f t="shared" si="282"/>
        <v>57137.275384615394</v>
      </c>
      <c r="BZ221" s="21">
        <f t="shared" si="283"/>
        <v>57137.275384615386</v>
      </c>
      <c r="CA221" s="19">
        <f t="shared" si="297"/>
        <v>1428431.8846153847</v>
      </c>
      <c r="CB221" s="20">
        <f t="shared" si="284"/>
        <v>1428431.8846153847</v>
      </c>
      <c r="CC221" s="20">
        <f t="shared" si="285"/>
        <v>1428431.8846153843</v>
      </c>
      <c r="CD221" s="20">
        <f t="shared" si="298"/>
        <v>0</v>
      </c>
      <c r="CE221" s="20">
        <f t="shared" si="261"/>
        <v>1400000</v>
      </c>
      <c r="CF221" s="20">
        <f t="shared" si="295"/>
        <v>1849509.2869908223</v>
      </c>
      <c r="CG221" s="20">
        <f t="shared" si="286"/>
        <v>73980.3714796329</v>
      </c>
      <c r="CH221" s="20">
        <f t="shared" si="296"/>
        <v>6165.0309566360747</v>
      </c>
      <c r="CI221" s="20">
        <f t="shared" si="287"/>
        <v>1839902.525061432</v>
      </c>
      <c r="CJ221" s="24">
        <f t="shared" si="288"/>
        <v>1.2947829762906864</v>
      </c>
      <c r="CK221" s="24">
        <f t="shared" si="289"/>
        <v>5.2307855083173196E-3</v>
      </c>
      <c r="CL221" s="24">
        <f t="shared" si="290"/>
        <v>1.5771631084285968E-2</v>
      </c>
      <c r="CM221" s="25">
        <f t="shared" si="291"/>
        <v>0.10394839366102507</v>
      </c>
      <c r="CN221" s="17"/>
      <c r="CO221" s="17"/>
      <c r="CP221" s="17"/>
      <c r="CQ221" s="17"/>
      <c r="CR221" s="17"/>
      <c r="CS221" s="17"/>
      <c r="CT221" s="17"/>
      <c r="CU221" s="17"/>
      <c r="CV221" s="17"/>
      <c r="CW221" s="30">
        <v>0</v>
      </c>
      <c r="CX221" s="17"/>
      <c r="CY221" s="17"/>
      <c r="CZ221" s="17"/>
      <c r="DA221" s="17"/>
      <c r="DB221" s="17"/>
    </row>
    <row r="222" spans="1:106" ht="15.75" thickBot="1" x14ac:dyDescent="0.3">
      <c r="A222" s="5">
        <f t="shared" si="299"/>
        <v>42</v>
      </c>
      <c r="B222" s="5">
        <f t="shared" si="299"/>
        <v>40</v>
      </c>
      <c r="C222" s="1"/>
      <c r="D222" s="4"/>
      <c r="E222" s="30"/>
      <c r="F222" s="30"/>
      <c r="G222" s="30">
        <f t="shared" si="262"/>
        <v>0</v>
      </c>
      <c r="H222" s="30"/>
      <c r="I222" s="10">
        <v>0</v>
      </c>
      <c r="J222" s="60">
        <v>9000</v>
      </c>
      <c r="K222" s="11">
        <v>550</v>
      </c>
      <c r="L222" s="60">
        <f t="shared" si="72"/>
        <v>11359.262397984445</v>
      </c>
      <c r="M222" s="11">
        <v>305</v>
      </c>
      <c r="N222" s="60">
        <v>0</v>
      </c>
      <c r="O222" s="11">
        <v>0</v>
      </c>
      <c r="P222" s="11">
        <v>0</v>
      </c>
      <c r="Q222" s="60">
        <f>(Q221*($K$1/12))+Q221 + $Q$8</f>
        <v>264117.47506065702</v>
      </c>
      <c r="R222" s="60">
        <f>(R221*($K$1/12))+R221</f>
        <v>12304.709819003247</v>
      </c>
      <c r="S222" s="60">
        <f>(S221*($K$1/12))+S221</f>
        <v>10682.956542981688</v>
      </c>
      <c r="T222" s="60">
        <f>(T221*($K$1/12))+T221+$T$8</f>
        <v>1005533.9005729554</v>
      </c>
      <c r="U222" s="60">
        <f>(U221*$K$1/12) + U221</f>
        <v>129982.73399668541</v>
      </c>
      <c r="V222" s="60">
        <v>3100</v>
      </c>
      <c r="W222" s="60">
        <f>(W221*($K$1/12))+W221+$W$8</f>
        <v>90223.792590385201</v>
      </c>
      <c r="X222" s="11">
        <v>0</v>
      </c>
      <c r="Y222" s="60">
        <f>(Y221*($K$1/12))+Y221+$Y$8</f>
        <v>346339.89371268777</v>
      </c>
      <c r="Z222" s="60">
        <f>'Mortgage and Loans'!U184</f>
        <v>172202.05000000005</v>
      </c>
      <c r="AA222" s="12">
        <f t="shared" si="293"/>
        <v>2055701.7746933403</v>
      </c>
      <c r="AB222" s="56">
        <f t="shared" si="292"/>
        <v>750</v>
      </c>
      <c r="AC222" s="56">
        <f t="shared" si="292"/>
        <v>750</v>
      </c>
      <c r="AD222" s="56">
        <f t="shared" si="292"/>
        <v>750</v>
      </c>
      <c r="AE222" s="56">
        <f t="shared" si="292"/>
        <v>750</v>
      </c>
      <c r="AF222" s="56">
        <f t="shared" si="259"/>
        <v>261.43961538461514</v>
      </c>
      <c r="AG222" s="56">
        <f t="shared" si="292"/>
        <v>750</v>
      </c>
      <c r="AH222" s="56">
        <f>'Mortgage and Loans'!AF179</f>
        <v>0</v>
      </c>
      <c r="AI222" s="56">
        <f>'Mortgage and Loans'!AQ179</f>
        <v>0</v>
      </c>
      <c r="AJ222" s="56">
        <f>'Mortgage and Loans'!BB179</f>
        <v>0</v>
      </c>
      <c r="AK222" s="56">
        <f>'Mortgage and Loans'!BM179</f>
        <v>0</v>
      </c>
      <c r="AL222" s="56">
        <f>'Mortgage and Loans'!T184</f>
        <v>7797.9499999997115</v>
      </c>
      <c r="AM222" s="12">
        <f t="shared" si="12"/>
        <v>-11809.389615384327</v>
      </c>
      <c r="AN222" s="75">
        <f t="shared" si="85"/>
        <v>2043892.3850779559</v>
      </c>
      <c r="AO222" s="86">
        <f>'Mortgage and Loans'!G185</f>
        <v>0</v>
      </c>
      <c r="AP222" s="79">
        <f>('Salary Tax Breakdown'!B$16/12)-Data!AO222</f>
        <v>3447.5</v>
      </c>
      <c r="AQ222" s="87"/>
      <c r="AR222" s="20">
        <f t="shared" si="263"/>
        <v>4011.4396153846151</v>
      </c>
      <c r="AS222" s="20">
        <v>750</v>
      </c>
      <c r="AT222" s="20">
        <v>0</v>
      </c>
      <c r="AU222" s="20">
        <f t="shared" si="264"/>
        <v>4761.4396153846155</v>
      </c>
      <c r="AV222" s="20">
        <f t="shared" si="265"/>
        <v>4761.4396153846146</v>
      </c>
      <c r="AW222" s="51">
        <f t="shared" si="294"/>
        <v>0</v>
      </c>
      <c r="AX222" s="51">
        <f t="shared" si="14"/>
        <v>0</v>
      </c>
      <c r="AY222" s="51">
        <f t="shared" si="15"/>
        <v>0</v>
      </c>
      <c r="AZ222" s="51">
        <f t="shared" si="16"/>
        <v>0</v>
      </c>
      <c r="BA222" s="51">
        <f t="shared" si="17"/>
        <v>0</v>
      </c>
      <c r="BB222" s="51">
        <f t="shared" si="18"/>
        <v>0</v>
      </c>
      <c r="BC222" s="51">
        <f t="shared" si="19"/>
        <v>0</v>
      </c>
      <c r="BD222" s="51">
        <f t="shared" si="20"/>
        <v>0</v>
      </c>
      <c r="BE222" s="51">
        <f t="shared" si="21"/>
        <v>0</v>
      </c>
      <c r="BF222" s="51">
        <f t="shared" si="22"/>
        <v>0</v>
      </c>
      <c r="BG222" s="51">
        <f t="shared" si="23"/>
        <v>0</v>
      </c>
      <c r="BH222" s="51">
        <f t="shared" si="24"/>
        <v>0</v>
      </c>
      <c r="BI222" s="51">
        <f t="shared" si="266"/>
        <v>0</v>
      </c>
      <c r="BJ222" s="51">
        <f t="shared" si="267"/>
        <v>0</v>
      </c>
      <c r="BK222" s="51">
        <f t="shared" si="268"/>
        <v>0</v>
      </c>
      <c r="BL222" s="51">
        <f t="shared" si="269"/>
        <v>0</v>
      </c>
      <c r="BM222" s="51">
        <f t="shared" si="270"/>
        <v>0</v>
      </c>
      <c r="BN222" s="51">
        <f t="shared" si="271"/>
        <v>0</v>
      </c>
      <c r="BO222" s="51">
        <f t="shared" si="272"/>
        <v>0</v>
      </c>
      <c r="BP222" s="51">
        <f t="shared" si="273"/>
        <v>0</v>
      </c>
      <c r="BQ222" s="51">
        <f t="shared" si="274"/>
        <v>0</v>
      </c>
      <c r="BR222" s="51">
        <f t="shared" si="275"/>
        <v>0</v>
      </c>
      <c r="BS222" s="51">
        <f t="shared" si="276"/>
        <v>0</v>
      </c>
      <c r="BT222" s="51">
        <f t="shared" si="277"/>
        <v>0</v>
      </c>
      <c r="BU222" s="20">
        <f t="shared" si="278"/>
        <v>4761.4396153846155</v>
      </c>
      <c r="BV222" s="20">
        <f t="shared" si="279"/>
        <v>4761.4396153846164</v>
      </c>
      <c r="BW222" s="20">
        <f t="shared" si="280"/>
        <v>57137.275384615386</v>
      </c>
      <c r="BX222" s="20">
        <f t="shared" si="281"/>
        <v>57137.275384615386</v>
      </c>
      <c r="BY222" s="20">
        <f t="shared" si="282"/>
        <v>57137.275384615394</v>
      </c>
      <c r="BZ222" s="21">
        <f t="shared" si="283"/>
        <v>57137.275384615386</v>
      </c>
      <c r="CA222" s="19">
        <f t="shared" si="297"/>
        <v>1428431.8846153847</v>
      </c>
      <c r="CB222" s="20">
        <f t="shared" si="284"/>
        <v>1428431.8846153847</v>
      </c>
      <c r="CC222" s="20">
        <f t="shared" si="285"/>
        <v>1428431.8846153843</v>
      </c>
      <c r="CD222" s="20">
        <f t="shared" si="298"/>
        <v>0</v>
      </c>
      <c r="CE222" s="20">
        <f t="shared" si="261"/>
        <v>1400000</v>
      </c>
      <c r="CF222" s="20">
        <f t="shared" si="295"/>
        <v>1859185.4622953557</v>
      </c>
      <c r="CG222" s="20">
        <f t="shared" si="286"/>
        <v>74367.418491814227</v>
      </c>
      <c r="CH222" s="20">
        <f t="shared" si="296"/>
        <v>6197.284874317852</v>
      </c>
      <c r="CI222" s="20">
        <f t="shared" si="287"/>
        <v>1849526.6637388479</v>
      </c>
      <c r="CJ222" s="24">
        <f t="shared" si="288"/>
        <v>1.3015569606918669</v>
      </c>
      <c r="CK222" s="24">
        <f t="shared" si="289"/>
        <v>5.2317527533353031E-3</v>
      </c>
      <c r="CL222" s="24">
        <f t="shared" si="290"/>
        <v>1.577457806531856E-2</v>
      </c>
      <c r="CM222" s="25">
        <f t="shared" si="291"/>
        <v>9.9348115642845805E-2</v>
      </c>
      <c r="CN222" s="17"/>
      <c r="CO222" s="17"/>
      <c r="CP222" s="17"/>
      <c r="CQ222" s="17"/>
      <c r="CR222" s="17"/>
      <c r="CS222" s="17"/>
      <c r="CT222" s="17"/>
      <c r="CU222" s="17"/>
      <c r="CV222" s="17"/>
      <c r="CW222" s="30">
        <v>0</v>
      </c>
      <c r="CX222" s="17"/>
      <c r="CY222" s="17"/>
      <c r="CZ222" s="17"/>
      <c r="DA222" s="17"/>
      <c r="DB222" s="17"/>
    </row>
    <row r="223" spans="1:106" ht="15.75" thickBot="1" x14ac:dyDescent="0.3">
      <c r="A223" s="5">
        <f t="shared" si="299"/>
        <v>42</v>
      </c>
      <c r="B223" s="5">
        <f t="shared" si="299"/>
        <v>40</v>
      </c>
      <c r="C223" s="1"/>
      <c r="D223" s="4"/>
      <c r="E223" s="30"/>
      <c r="F223" s="30"/>
      <c r="G223" s="30">
        <f t="shared" si="262"/>
        <v>0</v>
      </c>
      <c r="H223" s="30"/>
      <c r="I223" s="10">
        <v>0</v>
      </c>
      <c r="J223" s="60">
        <v>9000</v>
      </c>
      <c r="K223" s="11">
        <v>550</v>
      </c>
      <c r="L223" s="60">
        <f t="shared" si="72"/>
        <v>11372.988173382008</v>
      </c>
      <c r="M223" s="11">
        <v>305</v>
      </c>
      <c r="N223" s="60">
        <v>0</v>
      </c>
      <c r="O223" s="11">
        <v>0</v>
      </c>
      <c r="P223" s="11">
        <v>0</v>
      </c>
      <c r="Q223" s="60">
        <f>(Q222*($K$1/12))+Q222 + $Q$8</f>
        <v>266006.11138390226</v>
      </c>
      <c r="R223" s="60">
        <f>(R222*($K$1/12))+R222</f>
        <v>12371.360330522848</v>
      </c>
      <c r="S223" s="60">
        <f>(S222*($K$1/12))+S222</f>
        <v>10740.822557589507</v>
      </c>
      <c r="T223" s="60">
        <f>(T222*($K$1/12))+T222+$T$8</f>
        <v>1012480.5425343922</v>
      </c>
      <c r="U223" s="60">
        <f>(U222*$K$1/12) + U222</f>
        <v>130686.80713916745</v>
      </c>
      <c r="V223" s="60">
        <v>3100</v>
      </c>
      <c r="W223" s="60">
        <f>(W222*($K$1/12))+W222+$W$8</f>
        <v>90712.504800249793</v>
      </c>
      <c r="X223" s="11">
        <v>0</v>
      </c>
      <c r="Y223" s="60">
        <f>(Y222*($K$1/12))+Y222+$Y$8</f>
        <v>345915.90147029818</v>
      </c>
      <c r="Z223" s="60">
        <f>'Mortgage and Loans'!U185</f>
        <v>173630.03000000006</v>
      </c>
      <c r="AA223" s="12">
        <f t="shared" si="293"/>
        <v>2066872.0683895042</v>
      </c>
      <c r="AB223" s="56">
        <f t="shared" si="292"/>
        <v>750</v>
      </c>
      <c r="AC223" s="56">
        <f t="shared" si="292"/>
        <v>750</v>
      </c>
      <c r="AD223" s="56">
        <f t="shared" si="292"/>
        <v>750</v>
      </c>
      <c r="AE223" s="56">
        <f t="shared" si="292"/>
        <v>750</v>
      </c>
      <c r="AF223" s="56">
        <f t="shared" si="259"/>
        <v>261.43961538461525</v>
      </c>
      <c r="AG223" s="56">
        <f t="shared" si="292"/>
        <v>750</v>
      </c>
      <c r="AH223" s="56">
        <f>'Mortgage and Loans'!AF180</f>
        <v>0</v>
      </c>
      <c r="AI223" s="56">
        <f>'Mortgage and Loans'!AQ180</f>
        <v>0</v>
      </c>
      <c r="AJ223" s="56">
        <f>'Mortgage and Loans'!BB180</f>
        <v>0</v>
      </c>
      <c r="AK223" s="56">
        <f>'Mortgage and Loans'!BM180</f>
        <v>0</v>
      </c>
      <c r="AL223" s="56">
        <f>'Mortgage and Loans'!T185</f>
        <v>6369.9699999997119</v>
      </c>
      <c r="AM223" s="12">
        <f t="shared" si="12"/>
        <v>-10381.409615384327</v>
      </c>
      <c r="AN223" s="75">
        <f t="shared" si="85"/>
        <v>2056490.6587741198</v>
      </c>
      <c r="AO223" s="86">
        <f>'Mortgage and Loans'!G186</f>
        <v>0</v>
      </c>
      <c r="AP223" s="79">
        <f>('Salary Tax Breakdown'!B$16/12)-Data!AO223</f>
        <v>3447.5</v>
      </c>
      <c r="AQ223" s="87"/>
      <c r="AR223" s="20">
        <f t="shared" si="263"/>
        <v>4011.4396153846151</v>
      </c>
      <c r="AS223" s="20">
        <v>750</v>
      </c>
      <c r="AT223" s="20">
        <v>0</v>
      </c>
      <c r="AU223" s="20">
        <f t="shared" si="264"/>
        <v>4761.4396153846155</v>
      </c>
      <c r="AV223" s="20">
        <f t="shared" si="265"/>
        <v>4761.4396153846137</v>
      </c>
      <c r="AW223" s="51">
        <f t="shared" si="294"/>
        <v>0</v>
      </c>
      <c r="AX223" s="51">
        <f t="shared" si="14"/>
        <v>0</v>
      </c>
      <c r="AY223" s="51">
        <f t="shared" si="15"/>
        <v>0</v>
      </c>
      <c r="AZ223" s="51">
        <f t="shared" si="16"/>
        <v>0</v>
      </c>
      <c r="BA223" s="51">
        <f t="shared" si="17"/>
        <v>0</v>
      </c>
      <c r="BB223" s="51">
        <f t="shared" si="18"/>
        <v>0</v>
      </c>
      <c r="BC223" s="51">
        <f t="shared" si="19"/>
        <v>0</v>
      </c>
      <c r="BD223" s="51">
        <f t="shared" si="20"/>
        <v>0</v>
      </c>
      <c r="BE223" s="51">
        <f t="shared" si="21"/>
        <v>0</v>
      </c>
      <c r="BF223" s="51">
        <f t="shared" si="22"/>
        <v>0</v>
      </c>
      <c r="BG223" s="51">
        <f t="shared" si="23"/>
        <v>0</v>
      </c>
      <c r="BH223" s="51">
        <f t="shared" si="24"/>
        <v>0</v>
      </c>
      <c r="BI223" s="51">
        <f t="shared" si="266"/>
        <v>0</v>
      </c>
      <c r="BJ223" s="51">
        <f t="shared" si="267"/>
        <v>0</v>
      </c>
      <c r="BK223" s="51">
        <f t="shared" si="268"/>
        <v>0</v>
      </c>
      <c r="BL223" s="51">
        <f t="shared" si="269"/>
        <v>0</v>
      </c>
      <c r="BM223" s="51">
        <f t="shared" si="270"/>
        <v>0</v>
      </c>
      <c r="BN223" s="51">
        <f t="shared" si="271"/>
        <v>0</v>
      </c>
      <c r="BO223" s="51">
        <f t="shared" si="272"/>
        <v>0</v>
      </c>
      <c r="BP223" s="51">
        <f t="shared" si="273"/>
        <v>0</v>
      </c>
      <c r="BQ223" s="51">
        <f t="shared" si="274"/>
        <v>0</v>
      </c>
      <c r="BR223" s="51">
        <f t="shared" si="275"/>
        <v>0</v>
      </c>
      <c r="BS223" s="51">
        <f t="shared" si="276"/>
        <v>0</v>
      </c>
      <c r="BT223" s="51">
        <f t="shared" si="277"/>
        <v>0</v>
      </c>
      <c r="BU223" s="20">
        <f t="shared" si="278"/>
        <v>4761.4396153846155</v>
      </c>
      <c r="BV223" s="20">
        <f t="shared" si="279"/>
        <v>4761.4396153846164</v>
      </c>
      <c r="BW223" s="20">
        <f t="shared" si="280"/>
        <v>57137.275384615386</v>
      </c>
      <c r="BX223" s="20">
        <f t="shared" si="281"/>
        <v>57137.275384615386</v>
      </c>
      <c r="BY223" s="20">
        <f t="shared" si="282"/>
        <v>57137.275384615394</v>
      </c>
      <c r="BZ223" s="21">
        <f t="shared" si="283"/>
        <v>57137.275384615386</v>
      </c>
      <c r="CA223" s="19">
        <f t="shared" si="297"/>
        <v>1428431.8846153847</v>
      </c>
      <c r="CB223" s="20">
        <f t="shared" si="284"/>
        <v>1428431.8846153847</v>
      </c>
      <c r="CC223" s="20">
        <f t="shared" si="285"/>
        <v>1428431.8846153843</v>
      </c>
      <c r="CD223" s="20">
        <f t="shared" si="298"/>
        <v>0</v>
      </c>
      <c r="CE223" s="20">
        <f t="shared" si="261"/>
        <v>1400000</v>
      </c>
      <c r="CF223" s="20">
        <f t="shared" si="295"/>
        <v>1868914.0502161221</v>
      </c>
      <c r="CG223" s="20">
        <f t="shared" si="286"/>
        <v>74756.562008644891</v>
      </c>
      <c r="CH223" s="20">
        <f t="shared" si="296"/>
        <v>6229.7135007204079</v>
      </c>
      <c r="CI223" s="20">
        <f t="shared" si="287"/>
        <v>1859202.9331674334</v>
      </c>
      <c r="CJ223" s="24">
        <f t="shared" si="288"/>
        <v>1.3083676375085538</v>
      </c>
      <c r="CK223" s="24">
        <f t="shared" si="289"/>
        <v>5.2327151422297486E-3</v>
      </c>
      <c r="CL223" s="24">
        <f t="shared" si="290"/>
        <v>1.5777510262161603E-2</v>
      </c>
      <c r="CM223" s="25">
        <f t="shared" si="291"/>
        <v>9.4808836725073745E-2</v>
      </c>
      <c r="CN223" s="17"/>
      <c r="CO223" s="17"/>
      <c r="CP223" s="17"/>
      <c r="CQ223" s="17"/>
      <c r="CR223" s="17"/>
      <c r="CS223" s="17"/>
      <c r="CT223" s="17"/>
      <c r="CU223" s="17"/>
      <c r="CV223" s="17"/>
      <c r="CW223" s="30">
        <v>0</v>
      </c>
      <c r="CX223" s="17"/>
      <c r="CY223" s="17"/>
      <c r="CZ223" s="17"/>
      <c r="DA223" s="17"/>
      <c r="DB223" s="17"/>
    </row>
    <row r="224" spans="1:106" ht="15.75" thickBot="1" x14ac:dyDescent="0.3">
      <c r="A224" s="5">
        <f t="shared" si="299"/>
        <v>42</v>
      </c>
      <c r="B224" s="5">
        <f t="shared" si="299"/>
        <v>40</v>
      </c>
      <c r="C224" s="1"/>
      <c r="D224" s="4"/>
      <c r="E224" s="30"/>
      <c r="F224" s="30"/>
      <c r="G224" s="30">
        <f t="shared" si="262"/>
        <v>0</v>
      </c>
      <c r="H224" s="30"/>
      <c r="I224" s="10">
        <v>0</v>
      </c>
      <c r="J224" s="60">
        <v>9000</v>
      </c>
      <c r="K224" s="11">
        <v>550</v>
      </c>
      <c r="L224" s="60">
        <f t="shared" si="72"/>
        <v>11386.73053409151</v>
      </c>
      <c r="M224" s="11">
        <v>305</v>
      </c>
      <c r="N224" s="60">
        <v>0</v>
      </c>
      <c r="O224" s="11">
        <v>0</v>
      </c>
      <c r="P224" s="11">
        <v>0</v>
      </c>
      <c r="Q224" s="60">
        <f>(Q223*($K$1/12))+Q223 + $Q$8</f>
        <v>267904.97782056505</v>
      </c>
      <c r="R224" s="60">
        <f>(R223*($K$1/12))+R223</f>
        <v>12438.371865646513</v>
      </c>
      <c r="S224" s="60">
        <f>(S223*($K$1/12))+S223</f>
        <v>10799.002013109783</v>
      </c>
      <c r="T224" s="60">
        <f>(T223*($K$1/12))+T223+$T$8</f>
        <v>1019464.8121397868</v>
      </c>
      <c r="U224" s="60">
        <f>(U223*$K$1/12) + U223</f>
        <v>131394.69401117126</v>
      </c>
      <c r="V224" s="60">
        <v>3100</v>
      </c>
      <c r="W224" s="60">
        <f>(W223*($K$1/12))+W223+$W$8</f>
        <v>91203.864201251141</v>
      </c>
      <c r="X224" s="11">
        <v>0</v>
      </c>
      <c r="Y224" s="60">
        <f>(Y223*($K$1/12))+Y223+$Y$8</f>
        <v>345489.6126032623</v>
      </c>
      <c r="Z224" s="60">
        <f>'Mortgage and Loans'!U186</f>
        <v>175062.93000000005</v>
      </c>
      <c r="AA224" s="12">
        <f t="shared" si="293"/>
        <v>2078099.9951888844</v>
      </c>
      <c r="AB224" s="56">
        <f t="shared" si="292"/>
        <v>750</v>
      </c>
      <c r="AC224" s="56">
        <f t="shared" si="292"/>
        <v>750</v>
      </c>
      <c r="AD224" s="56">
        <f t="shared" si="292"/>
        <v>750</v>
      </c>
      <c r="AE224" s="56">
        <f t="shared" si="292"/>
        <v>750</v>
      </c>
      <c r="AF224" s="56">
        <f t="shared" ref="AF224:AF287" si="300">AVERAGE(AF212:AF223)</f>
        <v>261.43961538461531</v>
      </c>
      <c r="AG224" s="56">
        <f t="shared" si="292"/>
        <v>750</v>
      </c>
      <c r="AH224" s="56">
        <f>'Mortgage and Loans'!AF181</f>
        <v>0</v>
      </c>
      <c r="AI224" s="56">
        <f>'Mortgage and Loans'!AQ181</f>
        <v>0</v>
      </c>
      <c r="AJ224" s="56">
        <f>'Mortgage and Loans'!BB181</f>
        <v>0</v>
      </c>
      <c r="AK224" s="56">
        <f>'Mortgage and Loans'!BM181</f>
        <v>0</v>
      </c>
      <c r="AL224" s="56">
        <f>'Mortgage and Loans'!T186</f>
        <v>4937.0699999997123</v>
      </c>
      <c r="AM224" s="12">
        <f t="shared" si="12"/>
        <v>-8948.5096153843278</v>
      </c>
      <c r="AN224" s="75">
        <f t="shared" si="85"/>
        <v>2069151.4855735002</v>
      </c>
      <c r="AO224" s="86">
        <f>'Mortgage and Loans'!G187</f>
        <v>0</v>
      </c>
      <c r="AP224" s="79">
        <f>('Salary Tax Breakdown'!B$16/12)-Data!AO224</f>
        <v>3447.5</v>
      </c>
      <c r="AQ224" s="87"/>
      <c r="AR224" s="20">
        <f t="shared" si="263"/>
        <v>4011.4396153846155</v>
      </c>
      <c r="AS224" s="20">
        <v>750</v>
      </c>
      <c r="AT224" s="20">
        <v>0</v>
      </c>
      <c r="AU224" s="20">
        <f t="shared" si="264"/>
        <v>4761.4396153846155</v>
      </c>
      <c r="AV224" s="20">
        <f t="shared" si="265"/>
        <v>4761.4396153846137</v>
      </c>
      <c r="AW224" s="51">
        <f t="shared" si="294"/>
        <v>0</v>
      </c>
      <c r="AX224" s="51">
        <f t="shared" si="14"/>
        <v>0</v>
      </c>
      <c r="AY224" s="51">
        <f t="shared" si="15"/>
        <v>0</v>
      </c>
      <c r="AZ224" s="51">
        <f t="shared" si="16"/>
        <v>0</v>
      </c>
      <c r="BA224" s="51">
        <f t="shared" si="17"/>
        <v>0</v>
      </c>
      <c r="BB224" s="51">
        <f t="shared" si="18"/>
        <v>0</v>
      </c>
      <c r="BC224" s="51">
        <f t="shared" si="19"/>
        <v>0</v>
      </c>
      <c r="BD224" s="51">
        <f t="shared" si="20"/>
        <v>0</v>
      </c>
      <c r="BE224" s="51">
        <f t="shared" si="21"/>
        <v>0</v>
      </c>
      <c r="BF224" s="51">
        <f t="shared" si="22"/>
        <v>0</v>
      </c>
      <c r="BG224" s="51">
        <f t="shared" si="23"/>
        <v>0</v>
      </c>
      <c r="BH224" s="51">
        <f t="shared" si="24"/>
        <v>0</v>
      </c>
      <c r="BI224" s="51">
        <f t="shared" si="266"/>
        <v>0</v>
      </c>
      <c r="BJ224" s="51">
        <f t="shared" si="267"/>
        <v>0</v>
      </c>
      <c r="BK224" s="51">
        <f t="shared" si="268"/>
        <v>0</v>
      </c>
      <c r="BL224" s="51">
        <f t="shared" si="269"/>
        <v>0</v>
      </c>
      <c r="BM224" s="51">
        <f t="shared" si="270"/>
        <v>0</v>
      </c>
      <c r="BN224" s="51">
        <f t="shared" si="271"/>
        <v>0</v>
      </c>
      <c r="BO224" s="51">
        <f t="shared" si="272"/>
        <v>0</v>
      </c>
      <c r="BP224" s="51">
        <f t="shared" si="273"/>
        <v>0</v>
      </c>
      <c r="BQ224" s="51">
        <f t="shared" si="274"/>
        <v>0</v>
      </c>
      <c r="BR224" s="51">
        <f t="shared" si="275"/>
        <v>0</v>
      </c>
      <c r="BS224" s="51">
        <f t="shared" si="276"/>
        <v>0</v>
      </c>
      <c r="BT224" s="51">
        <f t="shared" si="277"/>
        <v>0</v>
      </c>
      <c r="BU224" s="20">
        <f t="shared" si="278"/>
        <v>4761.4396153846155</v>
      </c>
      <c r="BV224" s="20">
        <f t="shared" si="279"/>
        <v>4761.4396153846164</v>
      </c>
      <c r="BW224" s="20">
        <f t="shared" si="280"/>
        <v>57137.275384615386</v>
      </c>
      <c r="BX224" s="20">
        <f t="shared" si="281"/>
        <v>57137.275384615386</v>
      </c>
      <c r="BY224" s="20">
        <f t="shared" si="282"/>
        <v>57137.275384615394</v>
      </c>
      <c r="BZ224" s="21">
        <f t="shared" si="283"/>
        <v>57137.275384615386</v>
      </c>
      <c r="CA224" s="19">
        <f t="shared" si="297"/>
        <v>1428431.8846153847</v>
      </c>
      <c r="CB224" s="20">
        <f t="shared" si="284"/>
        <v>1428431.8846153847</v>
      </c>
      <c r="CC224" s="20">
        <f t="shared" si="285"/>
        <v>1428431.8846153843</v>
      </c>
      <c r="CD224" s="20">
        <f t="shared" si="298"/>
        <v>0</v>
      </c>
      <c r="CE224" s="20">
        <f t="shared" si="261"/>
        <v>1400000</v>
      </c>
      <c r="CF224" s="20">
        <f t="shared" si="295"/>
        <v>1878695.3346547929</v>
      </c>
      <c r="CG224" s="20">
        <f t="shared" si="286"/>
        <v>75147.813386191716</v>
      </c>
      <c r="CH224" s="20">
        <f t="shared" si="296"/>
        <v>6262.317782182643</v>
      </c>
      <c r="CI224" s="20">
        <f t="shared" si="287"/>
        <v>1868931.6157220902</v>
      </c>
      <c r="CJ224" s="24">
        <f t="shared" si="288"/>
        <v>1.3152152054913313</v>
      </c>
      <c r="CK224" s="24">
        <f t="shared" si="289"/>
        <v>5.2336726975431179E-3</v>
      </c>
      <c r="CL224" s="24">
        <f t="shared" si="290"/>
        <v>1.5780427743326841E-2</v>
      </c>
      <c r="CM224" s="25">
        <f t="shared" si="291"/>
        <v>9.0329416567328055E-2</v>
      </c>
      <c r="CN224" s="17"/>
      <c r="CO224" s="17"/>
      <c r="CP224" s="17"/>
      <c r="CQ224" s="17"/>
      <c r="CR224" s="17"/>
      <c r="CS224" s="17"/>
      <c r="CT224" s="17"/>
      <c r="CU224" s="17"/>
      <c r="CV224" s="17"/>
      <c r="CW224" s="30">
        <v>0</v>
      </c>
      <c r="CX224" s="17"/>
      <c r="CY224" s="17"/>
      <c r="CZ224" s="17"/>
      <c r="DA224" s="17"/>
      <c r="DB224" s="17"/>
    </row>
    <row r="225" spans="1:106" ht="15.75" thickBot="1" x14ac:dyDescent="0.3">
      <c r="A225" s="5">
        <f t="shared" si="299"/>
        <v>42</v>
      </c>
      <c r="B225" s="5">
        <f t="shared" si="299"/>
        <v>40</v>
      </c>
      <c r="C225" s="1"/>
      <c r="D225" s="4"/>
      <c r="E225" s="30"/>
      <c r="F225" s="30"/>
      <c r="G225" s="30">
        <f t="shared" si="262"/>
        <v>0</v>
      </c>
      <c r="H225" s="30"/>
      <c r="I225" s="10">
        <v>0</v>
      </c>
      <c r="J225" s="60">
        <v>9000</v>
      </c>
      <c r="K225" s="11">
        <v>550</v>
      </c>
      <c r="L225" s="60">
        <f t="shared" si="72"/>
        <v>11400.489500153537</v>
      </c>
      <c r="M225" s="11">
        <v>305</v>
      </c>
      <c r="N225" s="60">
        <v>0</v>
      </c>
      <c r="O225" s="11">
        <v>0</v>
      </c>
      <c r="P225" s="11">
        <v>0</v>
      </c>
      <c r="Q225" s="60">
        <f>(Q224*($K$1/12))+Q224 + $Q$8</f>
        <v>269814.12978375977</v>
      </c>
      <c r="R225" s="60">
        <f>(R224*($K$1/12))+R224</f>
        <v>12505.746379918766</v>
      </c>
      <c r="S225" s="60">
        <f>(S224*($K$1/12))+S224</f>
        <v>10857.496607347461</v>
      </c>
      <c r="T225" s="60">
        <f>(T224*($K$1/12))+T224+$T$8</f>
        <v>1026486.913205544</v>
      </c>
      <c r="U225" s="60">
        <f>(U224*$K$1/12) + U224</f>
        <v>132106.41527039843</v>
      </c>
      <c r="V225" s="60">
        <v>3100</v>
      </c>
      <c r="W225" s="60">
        <f>(W224*($K$1/12))+W224+$W$8</f>
        <v>91697.885132341253</v>
      </c>
      <c r="X225" s="11">
        <v>0</v>
      </c>
      <c r="Y225" s="60">
        <f>(Y224*($K$1/12))+Y224+$Y$8</f>
        <v>345061.01467152999</v>
      </c>
      <c r="Z225" s="60">
        <f>'Mortgage and Loans'!U187</f>
        <v>176500.76000000004</v>
      </c>
      <c r="AA225" s="12">
        <f t="shared" si="293"/>
        <v>2089385.8505509931</v>
      </c>
      <c r="AB225" s="56">
        <f t="shared" ref="AB225:AG256" si="301">$AC$1/5</f>
        <v>750</v>
      </c>
      <c r="AC225" s="56">
        <f t="shared" si="301"/>
        <v>750</v>
      </c>
      <c r="AD225" s="56">
        <f t="shared" si="301"/>
        <v>750</v>
      </c>
      <c r="AE225" s="56">
        <f t="shared" si="301"/>
        <v>750</v>
      </c>
      <c r="AF225" s="56">
        <f t="shared" si="300"/>
        <v>261.43961538461548</v>
      </c>
      <c r="AG225" s="56">
        <f t="shared" si="301"/>
        <v>750</v>
      </c>
      <c r="AH225" s="56">
        <f>'Mortgage and Loans'!AF182</f>
        <v>0</v>
      </c>
      <c r="AI225" s="56">
        <f>'Mortgage and Loans'!AQ182</f>
        <v>0</v>
      </c>
      <c r="AJ225" s="56">
        <f>'Mortgage and Loans'!BB182</f>
        <v>0</v>
      </c>
      <c r="AK225" s="56">
        <f>'Mortgage and Loans'!BM182</f>
        <v>0</v>
      </c>
      <c r="AL225" s="56">
        <f>'Mortgage and Loans'!T187</f>
        <v>3499.2399999997124</v>
      </c>
      <c r="AM225" s="12">
        <f t="shared" si="12"/>
        <v>-7510.6796153843279</v>
      </c>
      <c r="AN225" s="75">
        <f t="shared" si="85"/>
        <v>2081875.1709356087</v>
      </c>
      <c r="AO225" s="86">
        <f>'Mortgage and Loans'!G188</f>
        <v>0</v>
      </c>
      <c r="AP225" s="79">
        <f>('Salary Tax Breakdown'!B$16/12)-Data!AO225</f>
        <v>3447.5</v>
      </c>
      <c r="AQ225" s="87"/>
      <c r="AR225" s="20">
        <f t="shared" si="263"/>
        <v>4011.4396153846155</v>
      </c>
      <c r="AS225" s="20">
        <v>750</v>
      </c>
      <c r="AT225" s="20">
        <v>0</v>
      </c>
      <c r="AU225" s="20">
        <f t="shared" si="264"/>
        <v>4761.4396153846155</v>
      </c>
      <c r="AV225" s="20">
        <f t="shared" si="265"/>
        <v>4761.4396153846146</v>
      </c>
      <c r="AW225" s="51">
        <f t="shared" si="294"/>
        <v>0</v>
      </c>
      <c r="AX225" s="51">
        <f t="shared" si="14"/>
        <v>0</v>
      </c>
      <c r="AY225" s="51">
        <f t="shared" si="15"/>
        <v>0</v>
      </c>
      <c r="AZ225" s="51">
        <f t="shared" si="16"/>
        <v>0</v>
      </c>
      <c r="BA225" s="51">
        <f t="shared" si="17"/>
        <v>0</v>
      </c>
      <c r="BB225" s="51">
        <f t="shared" si="18"/>
        <v>0</v>
      </c>
      <c r="BC225" s="51">
        <f t="shared" si="19"/>
        <v>0</v>
      </c>
      <c r="BD225" s="51">
        <f t="shared" si="20"/>
        <v>0</v>
      </c>
      <c r="BE225" s="51">
        <f t="shared" si="21"/>
        <v>0</v>
      </c>
      <c r="BF225" s="51">
        <f t="shared" si="22"/>
        <v>0</v>
      </c>
      <c r="BG225" s="51">
        <f t="shared" si="23"/>
        <v>0</v>
      </c>
      <c r="BH225" s="51">
        <f t="shared" si="24"/>
        <v>0</v>
      </c>
      <c r="BI225" s="51">
        <f t="shared" si="266"/>
        <v>0</v>
      </c>
      <c r="BJ225" s="51">
        <f t="shared" si="267"/>
        <v>0</v>
      </c>
      <c r="BK225" s="51">
        <f t="shared" si="268"/>
        <v>0</v>
      </c>
      <c r="BL225" s="51">
        <f t="shared" si="269"/>
        <v>0</v>
      </c>
      <c r="BM225" s="51">
        <f t="shared" si="270"/>
        <v>0</v>
      </c>
      <c r="BN225" s="51">
        <f t="shared" si="271"/>
        <v>0</v>
      </c>
      <c r="BO225" s="51">
        <f t="shared" si="272"/>
        <v>0</v>
      </c>
      <c r="BP225" s="51">
        <f t="shared" si="273"/>
        <v>0</v>
      </c>
      <c r="BQ225" s="51">
        <f t="shared" si="274"/>
        <v>0</v>
      </c>
      <c r="BR225" s="51">
        <f t="shared" si="275"/>
        <v>0</v>
      </c>
      <c r="BS225" s="51">
        <f t="shared" si="276"/>
        <v>0</v>
      </c>
      <c r="BT225" s="51">
        <f t="shared" si="277"/>
        <v>0</v>
      </c>
      <c r="BU225" s="20">
        <f t="shared" si="278"/>
        <v>4761.4396153846155</v>
      </c>
      <c r="BV225" s="20">
        <f t="shared" si="279"/>
        <v>4761.4396153846164</v>
      </c>
      <c r="BW225" s="20">
        <f t="shared" si="280"/>
        <v>57137.275384615386</v>
      </c>
      <c r="BX225" s="20">
        <f t="shared" si="281"/>
        <v>57137.275384615386</v>
      </c>
      <c r="BY225" s="20">
        <f t="shared" si="282"/>
        <v>57137.275384615394</v>
      </c>
      <c r="BZ225" s="21">
        <f t="shared" si="283"/>
        <v>57137.275384615386</v>
      </c>
      <c r="CA225" s="19">
        <f t="shared" si="297"/>
        <v>1428431.8846153847</v>
      </c>
      <c r="CB225" s="20">
        <f t="shared" si="284"/>
        <v>1428431.8846153847</v>
      </c>
      <c r="CC225" s="20">
        <f t="shared" si="285"/>
        <v>1428431.8846153843</v>
      </c>
      <c r="CD225" s="20">
        <f t="shared" si="298"/>
        <v>0</v>
      </c>
      <c r="CE225" s="20">
        <f t="shared" si="261"/>
        <v>1400000</v>
      </c>
      <c r="CF225" s="20">
        <f t="shared" si="295"/>
        <v>1888529.6010508398</v>
      </c>
      <c r="CG225" s="20">
        <f t="shared" si="286"/>
        <v>75541.184042033594</v>
      </c>
      <c r="CH225" s="20">
        <f t="shared" si="296"/>
        <v>6295.0986701694665</v>
      </c>
      <c r="CI225" s="20">
        <f t="shared" si="287"/>
        <v>1878712.9953072516</v>
      </c>
      <c r="CJ225" s="24">
        <f t="shared" si="288"/>
        <v>1.3220998644673487</v>
      </c>
      <c r="CK225" s="24">
        <f t="shared" si="289"/>
        <v>5.2346254417318166E-3</v>
      </c>
      <c r="CL225" s="24">
        <f t="shared" si="290"/>
        <v>1.5783330577066615E-2</v>
      </c>
      <c r="CM225" s="25">
        <f t="shared" si="291"/>
        <v>8.5908742983092257E-2</v>
      </c>
      <c r="CN225" s="17"/>
      <c r="CO225" s="17"/>
      <c r="CP225" s="17"/>
      <c r="CQ225" s="17"/>
      <c r="CR225" s="17"/>
      <c r="CS225" s="17"/>
      <c r="CT225" s="17"/>
      <c r="CU225" s="17"/>
      <c r="CV225" s="17"/>
      <c r="CW225" s="30">
        <v>0</v>
      </c>
      <c r="CX225" s="17"/>
      <c r="CY225" s="17"/>
      <c r="CZ225" s="17"/>
      <c r="DA225" s="17"/>
      <c r="DB225" s="17"/>
    </row>
    <row r="226" spans="1:106" ht="15.75" thickBot="1" x14ac:dyDescent="0.3">
      <c r="A226" s="5">
        <f t="shared" si="299"/>
        <v>42</v>
      </c>
      <c r="B226" s="5">
        <f t="shared" si="299"/>
        <v>40</v>
      </c>
      <c r="C226" s="1"/>
      <c r="D226" s="4"/>
      <c r="E226" s="30"/>
      <c r="F226" s="30"/>
      <c r="G226" s="30">
        <f t="shared" si="262"/>
        <v>0</v>
      </c>
      <c r="H226" s="30"/>
      <c r="I226" s="10">
        <v>0</v>
      </c>
      <c r="J226" s="60">
        <v>9000</v>
      </c>
      <c r="K226" s="11">
        <v>550</v>
      </c>
      <c r="L226" s="60">
        <f t="shared" si="72"/>
        <v>11414.265091632888</v>
      </c>
      <c r="M226" s="11">
        <v>305</v>
      </c>
      <c r="N226" s="60">
        <v>0</v>
      </c>
      <c r="O226" s="11">
        <v>0</v>
      </c>
      <c r="P226" s="11">
        <v>0</v>
      </c>
      <c r="Q226" s="60">
        <f>(Q225*($K$1/12))+Q225 + $Q$8</f>
        <v>271733.62298675516</v>
      </c>
      <c r="R226" s="60">
        <f>(R225*($K$1/12))+R225</f>
        <v>12573.48583947666</v>
      </c>
      <c r="S226" s="60">
        <f>(S225*($K$1/12))+S225</f>
        <v>10916.308047303926</v>
      </c>
      <c r="T226" s="60">
        <f>(T225*($K$1/12))+T225+$T$8</f>
        <v>1033547.050652074</v>
      </c>
      <c r="U226" s="60">
        <f>(U225*$K$1/12) + U225</f>
        <v>132821.99168644642</v>
      </c>
      <c r="V226" s="60">
        <v>3100</v>
      </c>
      <c r="W226" s="60">
        <f>(W225*($K$1/12))+W225+$W$8</f>
        <v>92194.582010141428</v>
      </c>
      <c r="X226" s="11">
        <v>0</v>
      </c>
      <c r="Y226" s="60">
        <f>(Y225*($K$1/12))+Y225+$Y$8</f>
        <v>344630.09516766743</v>
      </c>
      <c r="Z226" s="60">
        <f>'Mortgage and Loans'!U188</f>
        <v>177943.13000000003</v>
      </c>
      <c r="AA226" s="12">
        <f t="shared" si="293"/>
        <v>2100729.5314814979</v>
      </c>
      <c r="AB226" s="56">
        <f t="shared" si="301"/>
        <v>750</v>
      </c>
      <c r="AC226" s="56">
        <f t="shared" si="301"/>
        <v>750</v>
      </c>
      <c r="AD226" s="56">
        <f t="shared" si="301"/>
        <v>750</v>
      </c>
      <c r="AE226" s="56">
        <f t="shared" si="301"/>
        <v>750</v>
      </c>
      <c r="AF226" s="56">
        <f t="shared" si="300"/>
        <v>261.43961538461554</v>
      </c>
      <c r="AG226" s="56">
        <f t="shared" si="301"/>
        <v>750</v>
      </c>
      <c r="AH226" s="56">
        <f>'Mortgage and Loans'!AF183</f>
        <v>0</v>
      </c>
      <c r="AI226" s="56">
        <f>'Mortgage and Loans'!AQ183</f>
        <v>0</v>
      </c>
      <c r="AJ226" s="56">
        <f>'Mortgage and Loans'!BB183</f>
        <v>0</v>
      </c>
      <c r="AK226" s="56">
        <f>'Mortgage and Loans'!BM183</f>
        <v>0</v>
      </c>
      <c r="AL226" s="56">
        <f>'Mortgage and Loans'!T188</f>
        <v>2056.8699999997125</v>
      </c>
      <c r="AM226" s="12">
        <f t="shared" si="12"/>
        <v>-6068.309615384328</v>
      </c>
      <c r="AN226" s="75">
        <f t="shared" si="85"/>
        <v>2094661.2218661136</v>
      </c>
      <c r="AO226" s="86">
        <f>'Mortgage and Loans'!G189</f>
        <v>0</v>
      </c>
      <c r="AP226" s="79">
        <f>('Salary Tax Breakdown'!B$16/12)-Data!AO226</f>
        <v>3447.5</v>
      </c>
      <c r="AQ226" s="87"/>
      <c r="AR226" s="20">
        <f t="shared" si="263"/>
        <v>4011.4396153846155</v>
      </c>
      <c r="AS226" s="20">
        <v>750</v>
      </c>
      <c r="AT226" s="20">
        <v>0</v>
      </c>
      <c r="AU226" s="20">
        <f t="shared" si="264"/>
        <v>4761.4396153846155</v>
      </c>
      <c r="AV226" s="20">
        <f t="shared" si="265"/>
        <v>4761.4396153846155</v>
      </c>
      <c r="AW226" s="51">
        <f t="shared" si="294"/>
        <v>0</v>
      </c>
      <c r="AX226" s="51">
        <f t="shared" si="14"/>
        <v>0</v>
      </c>
      <c r="AY226" s="51">
        <f t="shared" si="15"/>
        <v>0</v>
      </c>
      <c r="AZ226" s="51">
        <f t="shared" si="16"/>
        <v>0</v>
      </c>
      <c r="BA226" s="51">
        <f t="shared" si="17"/>
        <v>0</v>
      </c>
      <c r="BB226" s="51">
        <f t="shared" si="18"/>
        <v>0</v>
      </c>
      <c r="BC226" s="51">
        <f t="shared" si="19"/>
        <v>0</v>
      </c>
      <c r="BD226" s="51">
        <f t="shared" si="20"/>
        <v>0</v>
      </c>
      <c r="BE226" s="51">
        <f t="shared" si="21"/>
        <v>0</v>
      </c>
      <c r="BF226" s="51">
        <f t="shared" si="22"/>
        <v>0</v>
      </c>
      <c r="BG226" s="51">
        <f t="shared" si="23"/>
        <v>0</v>
      </c>
      <c r="BH226" s="51">
        <f t="shared" si="24"/>
        <v>0</v>
      </c>
      <c r="BI226" s="51">
        <f t="shared" si="266"/>
        <v>0</v>
      </c>
      <c r="BJ226" s="51">
        <f t="shared" si="267"/>
        <v>0</v>
      </c>
      <c r="BK226" s="51">
        <f t="shared" si="268"/>
        <v>0</v>
      </c>
      <c r="BL226" s="51">
        <f t="shared" si="269"/>
        <v>0</v>
      </c>
      <c r="BM226" s="51">
        <f t="shared" si="270"/>
        <v>0</v>
      </c>
      <c r="BN226" s="51">
        <f t="shared" si="271"/>
        <v>0</v>
      </c>
      <c r="BO226" s="51">
        <f t="shared" si="272"/>
        <v>0</v>
      </c>
      <c r="BP226" s="51">
        <f t="shared" si="273"/>
        <v>0</v>
      </c>
      <c r="BQ226" s="51">
        <f t="shared" si="274"/>
        <v>0</v>
      </c>
      <c r="BR226" s="51">
        <f t="shared" si="275"/>
        <v>0</v>
      </c>
      <c r="BS226" s="51">
        <f t="shared" si="276"/>
        <v>0</v>
      </c>
      <c r="BT226" s="51">
        <f t="shared" si="277"/>
        <v>0</v>
      </c>
      <c r="BU226" s="20">
        <f t="shared" si="278"/>
        <v>4761.4396153846155</v>
      </c>
      <c r="BV226" s="20">
        <f t="shared" si="279"/>
        <v>4761.4396153846164</v>
      </c>
      <c r="BW226" s="20">
        <f t="shared" si="280"/>
        <v>57137.275384615386</v>
      </c>
      <c r="BX226" s="20">
        <f t="shared" si="281"/>
        <v>57137.275384615386</v>
      </c>
      <c r="BY226" s="20">
        <f t="shared" si="282"/>
        <v>57137.275384615394</v>
      </c>
      <c r="BZ226" s="21">
        <f t="shared" si="283"/>
        <v>57137.275384615386</v>
      </c>
      <c r="CA226" s="19">
        <f t="shared" si="297"/>
        <v>1428431.8846153847</v>
      </c>
      <c r="CB226" s="20">
        <f t="shared" si="284"/>
        <v>1428431.8846153847</v>
      </c>
      <c r="CC226" s="20">
        <f t="shared" si="285"/>
        <v>1428431.8846153843</v>
      </c>
      <c r="CD226" s="20">
        <f t="shared" si="298"/>
        <v>0</v>
      </c>
      <c r="CE226" s="20">
        <f t="shared" ref="CE226:CE281" si="302">$CC$11</f>
        <v>1400000</v>
      </c>
      <c r="CF226" s="20">
        <f t="shared" si="295"/>
        <v>1898417.1363898648</v>
      </c>
      <c r="CG226" s="20">
        <f t="shared" si="286"/>
        <v>75936.68545559459</v>
      </c>
      <c r="CH226" s="20">
        <f t="shared" si="296"/>
        <v>6328.0571212995492</v>
      </c>
      <c r="CI226" s="20">
        <f t="shared" si="287"/>
        <v>1888547.3573651658</v>
      </c>
      <c r="CJ226" s="24">
        <f t="shared" si="288"/>
        <v>1.3290218153461528</v>
      </c>
      <c r="CK226" s="24">
        <f t="shared" si="289"/>
        <v>5.2355733971674754E-3</v>
      </c>
      <c r="CL226" s="24">
        <f t="shared" si="290"/>
        <v>1.5786218831374845E-2</v>
      </c>
      <c r="CM226" s="25">
        <f t="shared" si="291"/>
        <v>8.1545731075746045E-2</v>
      </c>
      <c r="CN226" s="17"/>
      <c r="CO226" s="17"/>
      <c r="CP226" s="17"/>
      <c r="CQ226" s="17"/>
      <c r="CR226" s="17"/>
      <c r="CS226" s="17"/>
      <c r="CT226" s="17"/>
      <c r="CU226" s="17"/>
      <c r="CV226" s="17"/>
      <c r="CW226" s="30">
        <v>0</v>
      </c>
      <c r="CX226" s="17"/>
      <c r="CY226" s="17"/>
      <c r="CZ226" s="17"/>
      <c r="DA226" s="17"/>
      <c r="DB226" s="17"/>
    </row>
    <row r="227" spans="1:106" ht="15.75" thickBot="1" x14ac:dyDescent="0.3">
      <c r="A227" s="5">
        <f t="shared" si="299"/>
        <v>42</v>
      </c>
      <c r="B227" s="5">
        <f t="shared" si="299"/>
        <v>40</v>
      </c>
      <c r="C227" s="1"/>
      <c r="D227" s="4"/>
      <c r="E227" s="30"/>
      <c r="F227" s="30"/>
      <c r="G227" s="30">
        <f t="shared" si="262"/>
        <v>0</v>
      </c>
      <c r="H227" s="30"/>
      <c r="I227" s="10">
        <v>0</v>
      </c>
      <c r="J227" s="60">
        <v>9000</v>
      </c>
      <c r="K227" s="11">
        <v>550</v>
      </c>
      <c r="L227" s="60">
        <f t="shared" si="72"/>
        <v>11428.05732861861</v>
      </c>
      <c r="M227" s="11">
        <v>305</v>
      </c>
      <c r="N227" s="60">
        <v>0</v>
      </c>
      <c r="O227" s="11">
        <v>0</v>
      </c>
      <c r="P227" s="11">
        <v>0</v>
      </c>
      <c r="Q227" s="60">
        <f>(Q226*($K$1/12))+Q226 + $Q$8</f>
        <v>273663.5134446001</v>
      </c>
      <c r="R227" s="60">
        <f>(R226*($K$1/12))+R226</f>
        <v>12641.592221107157</v>
      </c>
      <c r="S227" s="60">
        <f>(S226*($K$1/12))+S226</f>
        <v>10975.438049226823</v>
      </c>
      <c r="T227" s="60">
        <f>(T226*($K$1/12))+T226+$T$8</f>
        <v>1040645.4305097727</v>
      </c>
      <c r="U227" s="60">
        <f>(U226*$K$1/12) + U226</f>
        <v>133541.44414141466</v>
      </c>
      <c r="V227" s="60">
        <v>3100</v>
      </c>
      <c r="W227" s="60">
        <f>(W226*($K$1/12))+W226+$W$8</f>
        <v>92693.969329363026</v>
      </c>
      <c r="X227" s="11">
        <v>0</v>
      </c>
      <c r="Y227" s="60">
        <f>(Y226*($K$1/12))+Y226+$Y$8</f>
        <v>344196.84151649231</v>
      </c>
      <c r="Z227" s="60">
        <f>'Mortgage and Loans'!U189</f>
        <v>179390.46000000002</v>
      </c>
      <c r="AA227" s="12">
        <f t="shared" si="293"/>
        <v>2112131.7465405953</v>
      </c>
      <c r="AB227" s="56">
        <f t="shared" si="301"/>
        <v>750</v>
      </c>
      <c r="AC227" s="56">
        <f t="shared" si="301"/>
        <v>750</v>
      </c>
      <c r="AD227" s="56">
        <f t="shared" si="301"/>
        <v>750</v>
      </c>
      <c r="AE227" s="56">
        <f t="shared" si="301"/>
        <v>750</v>
      </c>
      <c r="AF227" s="56">
        <f t="shared" si="300"/>
        <v>261.43961538461554</v>
      </c>
      <c r="AG227" s="56">
        <f t="shared" si="301"/>
        <v>750</v>
      </c>
      <c r="AH227" s="56">
        <f>'Mortgage and Loans'!AF184</f>
        <v>0</v>
      </c>
      <c r="AI227" s="56">
        <f>'Mortgage and Loans'!AQ184</f>
        <v>0</v>
      </c>
      <c r="AJ227" s="56">
        <f>'Mortgage and Loans'!BB184</f>
        <v>0</v>
      </c>
      <c r="AK227" s="56">
        <f>'Mortgage and Loans'!BM184</f>
        <v>0</v>
      </c>
      <c r="AL227" s="56">
        <f>'Mortgage and Loans'!T189</f>
        <v>609.53999999971256</v>
      </c>
      <c r="AM227" s="12">
        <f t="shared" si="12"/>
        <v>-4620.9796153843281</v>
      </c>
      <c r="AN227" s="75">
        <f t="shared" si="85"/>
        <v>2107510.7669252111</v>
      </c>
      <c r="AO227" s="86">
        <f>'Mortgage and Loans'!G190</f>
        <v>0</v>
      </c>
      <c r="AP227" s="79">
        <f>('Salary Tax Breakdown'!B$16/12)-Data!AO227</f>
        <v>3447.5</v>
      </c>
      <c r="AQ227" s="87"/>
      <c r="AR227" s="20">
        <f t="shared" si="263"/>
        <v>4011.4396153846155</v>
      </c>
      <c r="AS227" s="20">
        <v>750</v>
      </c>
      <c r="AT227" s="20">
        <v>0</v>
      </c>
      <c r="AU227" s="20">
        <f t="shared" si="264"/>
        <v>4761.4396153846155</v>
      </c>
      <c r="AV227" s="20">
        <f t="shared" si="265"/>
        <v>4761.4396153846155</v>
      </c>
      <c r="AW227" s="51">
        <f t="shared" si="294"/>
        <v>0</v>
      </c>
      <c r="AX227" s="51">
        <f t="shared" si="14"/>
        <v>0</v>
      </c>
      <c r="AY227" s="51">
        <f t="shared" si="15"/>
        <v>0</v>
      </c>
      <c r="AZ227" s="51">
        <f t="shared" si="16"/>
        <v>0</v>
      </c>
      <c r="BA227" s="51">
        <f t="shared" si="17"/>
        <v>0</v>
      </c>
      <c r="BB227" s="51">
        <f t="shared" si="18"/>
        <v>0</v>
      </c>
      <c r="BC227" s="51">
        <f t="shared" si="19"/>
        <v>0</v>
      </c>
      <c r="BD227" s="51">
        <f t="shared" si="20"/>
        <v>0</v>
      </c>
      <c r="BE227" s="51">
        <f t="shared" si="21"/>
        <v>0</v>
      </c>
      <c r="BF227" s="51">
        <f t="shared" si="22"/>
        <v>0</v>
      </c>
      <c r="BG227" s="51">
        <f t="shared" si="23"/>
        <v>0</v>
      </c>
      <c r="BH227" s="51">
        <f t="shared" si="24"/>
        <v>0</v>
      </c>
      <c r="BI227" s="51">
        <f t="shared" si="266"/>
        <v>0</v>
      </c>
      <c r="BJ227" s="51">
        <f t="shared" si="267"/>
        <v>0</v>
      </c>
      <c r="BK227" s="51">
        <f t="shared" si="268"/>
        <v>0</v>
      </c>
      <c r="BL227" s="51">
        <f t="shared" si="269"/>
        <v>0</v>
      </c>
      <c r="BM227" s="51">
        <f t="shared" si="270"/>
        <v>0</v>
      </c>
      <c r="BN227" s="51">
        <f t="shared" si="271"/>
        <v>0</v>
      </c>
      <c r="BO227" s="51">
        <f t="shared" si="272"/>
        <v>0</v>
      </c>
      <c r="BP227" s="51">
        <f t="shared" si="273"/>
        <v>0</v>
      </c>
      <c r="BQ227" s="51">
        <f t="shared" si="274"/>
        <v>0</v>
      </c>
      <c r="BR227" s="51">
        <f t="shared" si="275"/>
        <v>0</v>
      </c>
      <c r="BS227" s="51">
        <f t="shared" si="276"/>
        <v>0</v>
      </c>
      <c r="BT227" s="51">
        <f t="shared" si="277"/>
        <v>0</v>
      </c>
      <c r="BU227" s="20">
        <f t="shared" si="278"/>
        <v>4761.4396153846155</v>
      </c>
      <c r="BV227" s="20">
        <f t="shared" si="279"/>
        <v>4761.4396153846164</v>
      </c>
      <c r="BW227" s="20">
        <f t="shared" si="280"/>
        <v>57137.275384615386</v>
      </c>
      <c r="BX227" s="20">
        <f t="shared" si="281"/>
        <v>57137.275384615386</v>
      </c>
      <c r="BY227" s="20">
        <f t="shared" si="282"/>
        <v>57137.275384615394</v>
      </c>
      <c r="BZ227" s="21">
        <f t="shared" si="283"/>
        <v>57137.275384615386</v>
      </c>
      <c r="CA227" s="19">
        <f t="shared" si="297"/>
        <v>1428431.8846153847</v>
      </c>
      <c r="CB227" s="20">
        <f t="shared" si="284"/>
        <v>1428431.8846153847</v>
      </c>
      <c r="CC227" s="20">
        <f t="shared" si="285"/>
        <v>1428431.8846153843</v>
      </c>
      <c r="CD227" s="20">
        <f t="shared" si="298"/>
        <v>0</v>
      </c>
      <c r="CE227" s="20">
        <f t="shared" si="302"/>
        <v>1400000</v>
      </c>
      <c r="CF227" s="20">
        <f t="shared" si="295"/>
        <v>1908358.229211977</v>
      </c>
      <c r="CG227" s="20">
        <f t="shared" si="286"/>
        <v>76334.329168479075</v>
      </c>
      <c r="CH227" s="20">
        <f t="shared" si="296"/>
        <v>6361.1940973732562</v>
      </c>
      <c r="CI227" s="20">
        <f t="shared" si="287"/>
        <v>1898434.9888842271</v>
      </c>
      <c r="CJ227" s="24">
        <f t="shared" si="288"/>
        <v>1.3359812601255507</v>
      </c>
      <c r="CK227" s="24">
        <f t="shared" si="289"/>
        <v>5.2365165861369516E-3</v>
      </c>
      <c r="CL227" s="24">
        <f t="shared" si="290"/>
        <v>1.5789092573988098E-2</v>
      </c>
      <c r="CM227" s="25">
        <f t="shared" si="291"/>
        <v>7.7239322406221389E-2</v>
      </c>
      <c r="CN227" s="17"/>
      <c r="CO227" s="17"/>
      <c r="CP227" s="17"/>
      <c r="CQ227" s="17"/>
      <c r="CR227" s="17"/>
      <c r="CS227" s="17"/>
      <c r="CT227" s="17"/>
      <c r="CU227" s="17"/>
      <c r="CV227" s="17"/>
      <c r="CW227" s="30">
        <v>0</v>
      </c>
      <c r="CX227" s="17"/>
      <c r="CY227" s="17"/>
      <c r="CZ227" s="17"/>
      <c r="DA227" s="17"/>
      <c r="DB227" s="17"/>
    </row>
    <row r="228" spans="1:106" ht="15.75" thickBot="1" x14ac:dyDescent="0.3">
      <c r="A228" s="5">
        <f t="shared" si="299"/>
        <v>42</v>
      </c>
      <c r="B228" s="5">
        <f t="shared" si="299"/>
        <v>40</v>
      </c>
      <c r="C228" s="1"/>
      <c r="D228" s="4"/>
      <c r="E228" s="30"/>
      <c r="F228" s="30"/>
      <c r="G228" s="30">
        <f t="shared" si="262"/>
        <v>0</v>
      </c>
      <c r="H228" s="30"/>
      <c r="I228" s="10">
        <v>0</v>
      </c>
      <c r="J228" s="60">
        <v>9000</v>
      </c>
      <c r="K228" s="11">
        <v>550</v>
      </c>
      <c r="L228" s="60">
        <f t="shared" si="72"/>
        <v>11441.866231224023</v>
      </c>
      <c r="M228" s="11">
        <v>305</v>
      </c>
      <c r="N228" s="60">
        <v>0</v>
      </c>
      <c r="O228" s="11">
        <v>0</v>
      </c>
      <c r="P228" s="11">
        <v>0</v>
      </c>
      <c r="Q228" s="60">
        <f>(Q227*($K$1/12))+Q227 + $Q$8</f>
        <v>275603.85747575836</v>
      </c>
      <c r="R228" s="60">
        <f>(R227*($K$1/12))+R227</f>
        <v>12710.06751230482</v>
      </c>
      <c r="S228" s="60">
        <f>(S227*($K$1/12))+S227</f>
        <v>11034.888338660136</v>
      </c>
      <c r="T228" s="60">
        <f>(T227*($K$1/12))+T227+$T$8</f>
        <v>1047782.259925034</v>
      </c>
      <c r="U228" s="60">
        <f>(U227*$K$1/12) + U227</f>
        <v>134264.79363051397</v>
      </c>
      <c r="V228" s="60">
        <v>3100</v>
      </c>
      <c r="W228" s="60">
        <f>(W227*($K$1/12))+W227+$W$8</f>
        <v>93196.061663230415</v>
      </c>
      <c r="X228" s="11">
        <v>0</v>
      </c>
      <c r="Y228" s="60">
        <f>(Y227*($K$1/12))+Y227+$Y$8</f>
        <v>343761.24107470666</v>
      </c>
      <c r="Z228" s="60">
        <f>'Mortgage and Loans'!U190</f>
        <v>180115.77000000002</v>
      </c>
      <c r="AA228" s="12">
        <f t="shared" si="293"/>
        <v>2122865.8058514325</v>
      </c>
      <c r="AB228" s="56">
        <f t="shared" si="301"/>
        <v>750</v>
      </c>
      <c r="AC228" s="56">
        <f t="shared" si="301"/>
        <v>750</v>
      </c>
      <c r="AD228" s="56">
        <f t="shared" si="301"/>
        <v>750</v>
      </c>
      <c r="AE228" s="56">
        <f t="shared" si="301"/>
        <v>750</v>
      </c>
      <c r="AF228" s="56">
        <f t="shared" si="300"/>
        <v>261.43961538461554</v>
      </c>
      <c r="AG228" s="56">
        <f t="shared" si="301"/>
        <v>750</v>
      </c>
      <c r="AH228" s="56">
        <f>'Mortgage and Loans'!AF185</f>
        <v>0</v>
      </c>
      <c r="AI228" s="56">
        <f>'Mortgage and Loans'!AQ185</f>
        <v>0</v>
      </c>
      <c r="AJ228" s="56">
        <f>'Mortgage and Loans'!BB185</f>
        <v>0</v>
      </c>
      <c r="AK228" s="56">
        <f>'Mortgage and Loans'!BM185</f>
        <v>0</v>
      </c>
      <c r="AL228" s="56">
        <f>'Mortgage and Loans'!T190</f>
        <v>-115.77000000028738</v>
      </c>
      <c r="AM228" s="12">
        <f t="shared" si="12"/>
        <v>-3895.6696153843282</v>
      </c>
      <c r="AN228" s="75">
        <f t="shared" si="85"/>
        <v>2118970.1362360483</v>
      </c>
      <c r="AO228" s="86">
        <f>'Mortgage and Loans'!G191</f>
        <v>0</v>
      </c>
      <c r="AP228" s="79">
        <f>('Salary Tax Breakdown'!B$16/12)-Data!AO228</f>
        <v>3447.5</v>
      </c>
      <c r="AQ228" s="87"/>
      <c r="AR228" s="20">
        <f t="shared" si="263"/>
        <v>4011.4396153846155</v>
      </c>
      <c r="AS228" s="20">
        <v>750</v>
      </c>
      <c r="AT228" s="20">
        <v>0</v>
      </c>
      <c r="AU228" s="20">
        <f t="shared" si="264"/>
        <v>4761.4396153846155</v>
      </c>
      <c r="AV228" s="20">
        <f t="shared" si="265"/>
        <v>4761.4396153846155</v>
      </c>
      <c r="AW228" s="51">
        <f t="shared" si="294"/>
        <v>0</v>
      </c>
      <c r="AX228" s="51">
        <f t="shared" si="14"/>
        <v>0</v>
      </c>
      <c r="AY228" s="51">
        <f t="shared" si="15"/>
        <v>0</v>
      </c>
      <c r="AZ228" s="51">
        <f t="shared" si="16"/>
        <v>0</v>
      </c>
      <c r="BA228" s="51">
        <f t="shared" si="17"/>
        <v>0</v>
      </c>
      <c r="BB228" s="51">
        <f t="shared" si="18"/>
        <v>0</v>
      </c>
      <c r="BC228" s="51">
        <f t="shared" si="19"/>
        <v>0</v>
      </c>
      <c r="BD228" s="51">
        <f t="shared" si="20"/>
        <v>0</v>
      </c>
      <c r="BE228" s="51">
        <f t="shared" si="21"/>
        <v>0</v>
      </c>
      <c r="BF228" s="51">
        <f t="shared" si="22"/>
        <v>0</v>
      </c>
      <c r="BG228" s="51">
        <f t="shared" si="23"/>
        <v>0</v>
      </c>
      <c r="BH228" s="51">
        <f t="shared" si="24"/>
        <v>0</v>
      </c>
      <c r="BI228" s="51">
        <f t="shared" si="266"/>
        <v>0</v>
      </c>
      <c r="BJ228" s="51">
        <f t="shared" si="267"/>
        <v>0</v>
      </c>
      <c r="BK228" s="51">
        <f t="shared" si="268"/>
        <v>0</v>
      </c>
      <c r="BL228" s="51">
        <f t="shared" si="269"/>
        <v>0</v>
      </c>
      <c r="BM228" s="51">
        <f t="shared" si="270"/>
        <v>0</v>
      </c>
      <c r="BN228" s="51">
        <f t="shared" si="271"/>
        <v>0</v>
      </c>
      <c r="BO228" s="51">
        <f t="shared" si="272"/>
        <v>0</v>
      </c>
      <c r="BP228" s="51">
        <f t="shared" si="273"/>
        <v>0</v>
      </c>
      <c r="BQ228" s="51">
        <f t="shared" si="274"/>
        <v>0</v>
      </c>
      <c r="BR228" s="51">
        <f t="shared" si="275"/>
        <v>0</v>
      </c>
      <c r="BS228" s="51">
        <f t="shared" si="276"/>
        <v>0</v>
      </c>
      <c r="BT228" s="51">
        <f t="shared" si="277"/>
        <v>0</v>
      </c>
      <c r="BU228" s="20">
        <f t="shared" si="278"/>
        <v>4761.4396153846155</v>
      </c>
      <c r="BV228" s="20">
        <f t="shared" si="279"/>
        <v>4761.4396153846164</v>
      </c>
      <c r="BW228" s="20">
        <f t="shared" si="280"/>
        <v>57137.275384615386</v>
      </c>
      <c r="BX228" s="20">
        <f t="shared" si="281"/>
        <v>57137.275384615386</v>
      </c>
      <c r="BY228" s="20">
        <f t="shared" si="282"/>
        <v>57137.275384615394</v>
      </c>
      <c r="BZ228" s="21">
        <f t="shared" si="283"/>
        <v>57137.275384615386</v>
      </c>
      <c r="CA228" s="19">
        <f t="shared" si="297"/>
        <v>1428431.8846153847</v>
      </c>
      <c r="CB228" s="20">
        <f t="shared" si="284"/>
        <v>1428431.8846153847</v>
      </c>
      <c r="CC228" s="20">
        <f t="shared" si="285"/>
        <v>1428431.8846153843</v>
      </c>
      <c r="CD228" s="20">
        <f t="shared" si="298"/>
        <v>0</v>
      </c>
      <c r="CE228" s="20">
        <f t="shared" si="302"/>
        <v>1400000</v>
      </c>
      <c r="CF228" s="20">
        <f t="shared" si="295"/>
        <v>1918353.1696202084</v>
      </c>
      <c r="CG228" s="20">
        <f t="shared" si="286"/>
        <v>76734.126784808337</v>
      </c>
      <c r="CH228" s="20">
        <f t="shared" si="296"/>
        <v>6394.5105654006948</v>
      </c>
      <c r="CI228" s="20">
        <f t="shared" si="287"/>
        <v>1908376.1784073499</v>
      </c>
      <c r="CJ228" s="24">
        <f t="shared" si="288"/>
        <v>1.3429784018975035</v>
      </c>
      <c r="CK228" s="24">
        <f t="shared" si="289"/>
        <v>5.237455030840144E-3</v>
      </c>
      <c r="CL228" s="24">
        <f t="shared" si="290"/>
        <v>1.579195187238467E-2</v>
      </c>
      <c r="CM228" s="25">
        <f t="shared" si="291"/>
        <v>7.2988484190936731E-2</v>
      </c>
      <c r="CN228" s="17"/>
      <c r="CO228" s="17"/>
      <c r="CP228" s="17"/>
      <c r="CQ228" s="17"/>
      <c r="CR228" s="17"/>
      <c r="CS228" s="17"/>
      <c r="CT228" s="17"/>
      <c r="CU228" s="17"/>
      <c r="CV228" s="17"/>
      <c r="CW228" s="30">
        <v>0</v>
      </c>
      <c r="CX228" s="17"/>
      <c r="CY228" s="17"/>
      <c r="CZ228" s="17"/>
      <c r="DA228" s="17"/>
      <c r="DB228" s="17"/>
    </row>
    <row r="229" spans="1:106" ht="15.75" thickBot="1" x14ac:dyDescent="0.3">
      <c r="A229" s="5">
        <f t="shared" si="299"/>
        <v>42</v>
      </c>
      <c r="B229" s="5">
        <f t="shared" si="299"/>
        <v>40</v>
      </c>
      <c r="C229" s="1"/>
      <c r="D229" s="4"/>
      <c r="E229" s="30"/>
      <c r="F229" s="30"/>
      <c r="G229" s="30">
        <f t="shared" si="262"/>
        <v>0</v>
      </c>
      <c r="H229" s="30"/>
      <c r="I229" s="10">
        <v>0</v>
      </c>
      <c r="J229" s="60">
        <v>9000</v>
      </c>
      <c r="K229" s="11">
        <v>550</v>
      </c>
      <c r="L229" s="60">
        <f t="shared" si="72"/>
        <v>11455.691819586751</v>
      </c>
      <c r="M229" s="11">
        <v>305</v>
      </c>
      <c r="N229" s="60">
        <v>0</v>
      </c>
      <c r="O229" s="11">
        <v>0</v>
      </c>
      <c r="P229" s="11">
        <v>0</v>
      </c>
      <c r="Q229" s="60">
        <f>(Q228*($K$1/12))+Q228 + $Q$8</f>
        <v>277554.71170375205</v>
      </c>
      <c r="R229" s="60">
        <f>(R228*($K$1/12))+R228</f>
        <v>12778.913711329806</v>
      </c>
      <c r="S229" s="60">
        <f>(S228*($K$1/12))+S228</f>
        <v>11094.660650494545</v>
      </c>
      <c r="T229" s="60">
        <f>(T228*($K$1/12))+T228+$T$8</f>
        <v>1054957.7471662946</v>
      </c>
      <c r="U229" s="60">
        <f>(U228*$K$1/12) + U228</f>
        <v>134992.06126267926</v>
      </c>
      <c r="V229" s="60">
        <v>3100</v>
      </c>
      <c r="W229" s="60">
        <f>(W228*($K$1/12))+W228+$W$8</f>
        <v>93700.873663906241</v>
      </c>
      <c r="X229" s="11">
        <v>0</v>
      </c>
      <c r="Y229" s="60">
        <f>(Y228*($K$1/12))+Y228+$Y$8</f>
        <v>343323.28113052796</v>
      </c>
      <c r="Z229" s="60">
        <f>'Mortgage and Loans'!U191</f>
        <v>180000</v>
      </c>
      <c r="AA229" s="12">
        <f t="shared" si="293"/>
        <v>2132812.9411085714</v>
      </c>
      <c r="AB229" s="56">
        <f t="shared" si="301"/>
        <v>750</v>
      </c>
      <c r="AC229" s="56">
        <f t="shared" si="301"/>
        <v>750</v>
      </c>
      <c r="AD229" s="56">
        <f t="shared" si="301"/>
        <v>750</v>
      </c>
      <c r="AE229" s="56">
        <f t="shared" si="301"/>
        <v>750</v>
      </c>
      <c r="AF229" s="56">
        <f t="shared" si="300"/>
        <v>261.43961538461548</v>
      </c>
      <c r="AG229" s="56">
        <f t="shared" si="301"/>
        <v>750</v>
      </c>
      <c r="AH229" s="56">
        <f>'Mortgage and Loans'!AF186</f>
        <v>0</v>
      </c>
      <c r="AI229" s="56">
        <f>'Mortgage and Loans'!AQ186</f>
        <v>0</v>
      </c>
      <c r="AJ229" s="56">
        <f>'Mortgage and Loans'!BB186</f>
        <v>0</v>
      </c>
      <c r="AK229" s="56">
        <f>'Mortgage and Loans'!BM186</f>
        <v>0</v>
      </c>
      <c r="AL229" s="56">
        <f>'Mortgage and Loans'!T191</f>
        <v>0</v>
      </c>
      <c r="AM229" s="12">
        <f t="shared" si="12"/>
        <v>-4011.4396153846155</v>
      </c>
      <c r="AN229" s="75">
        <f t="shared" si="85"/>
        <v>2128801.5014931867</v>
      </c>
      <c r="AO229" s="86">
        <f>'Mortgage and Loans'!G192</f>
        <v>0</v>
      </c>
      <c r="AP229" s="79">
        <f>('Salary Tax Breakdown'!B$16/12)-Data!AO229</f>
        <v>3447.5</v>
      </c>
      <c r="AQ229" s="87"/>
      <c r="AR229" s="20">
        <f t="shared" si="263"/>
        <v>4011.4396153846155</v>
      </c>
      <c r="AS229" s="20">
        <v>750</v>
      </c>
      <c r="AT229" s="20">
        <v>0</v>
      </c>
      <c r="AU229" s="20">
        <f t="shared" si="264"/>
        <v>4761.4396153846155</v>
      </c>
      <c r="AV229" s="20">
        <f t="shared" si="265"/>
        <v>4761.4396153846155</v>
      </c>
      <c r="AW229" s="51">
        <f t="shared" si="294"/>
        <v>0</v>
      </c>
      <c r="AX229" s="51">
        <f t="shared" si="14"/>
        <v>0</v>
      </c>
      <c r="AY229" s="51">
        <f t="shared" si="15"/>
        <v>0</v>
      </c>
      <c r="AZ229" s="51">
        <f t="shared" si="16"/>
        <v>0</v>
      </c>
      <c r="BA229" s="51">
        <f t="shared" si="17"/>
        <v>0</v>
      </c>
      <c r="BB229" s="51">
        <f t="shared" si="18"/>
        <v>0</v>
      </c>
      <c r="BC229" s="51">
        <f t="shared" si="19"/>
        <v>0</v>
      </c>
      <c r="BD229" s="51">
        <f t="shared" si="20"/>
        <v>0</v>
      </c>
      <c r="BE229" s="51">
        <f t="shared" si="21"/>
        <v>0</v>
      </c>
      <c r="BF229" s="51">
        <f t="shared" si="22"/>
        <v>0</v>
      </c>
      <c r="BG229" s="51">
        <f t="shared" si="23"/>
        <v>0</v>
      </c>
      <c r="BH229" s="51">
        <f t="shared" si="24"/>
        <v>0</v>
      </c>
      <c r="BI229" s="51">
        <f t="shared" si="266"/>
        <v>0</v>
      </c>
      <c r="BJ229" s="51">
        <f t="shared" si="267"/>
        <v>0</v>
      </c>
      <c r="BK229" s="51">
        <f t="shared" si="268"/>
        <v>0</v>
      </c>
      <c r="BL229" s="51">
        <f t="shared" si="269"/>
        <v>0</v>
      </c>
      <c r="BM229" s="51">
        <f t="shared" si="270"/>
        <v>0</v>
      </c>
      <c r="BN229" s="51">
        <f t="shared" si="271"/>
        <v>0</v>
      </c>
      <c r="BO229" s="51">
        <f t="shared" si="272"/>
        <v>0</v>
      </c>
      <c r="BP229" s="51">
        <f t="shared" si="273"/>
        <v>0</v>
      </c>
      <c r="BQ229" s="51">
        <f t="shared" si="274"/>
        <v>0</v>
      </c>
      <c r="BR229" s="51">
        <f t="shared" si="275"/>
        <v>0</v>
      </c>
      <c r="BS229" s="51">
        <f t="shared" si="276"/>
        <v>0</v>
      </c>
      <c r="BT229" s="51">
        <f t="shared" si="277"/>
        <v>0</v>
      </c>
      <c r="BU229" s="20">
        <f t="shared" si="278"/>
        <v>4761.4396153846155</v>
      </c>
      <c r="BV229" s="20">
        <f t="shared" si="279"/>
        <v>4761.4396153846164</v>
      </c>
      <c r="BW229" s="20">
        <f t="shared" si="280"/>
        <v>57137.275384615386</v>
      </c>
      <c r="BX229" s="20">
        <f t="shared" si="281"/>
        <v>57137.275384615386</v>
      </c>
      <c r="BY229" s="20">
        <f t="shared" si="282"/>
        <v>57137.275384615394</v>
      </c>
      <c r="BZ229" s="21">
        <f t="shared" si="283"/>
        <v>57137.275384615386</v>
      </c>
      <c r="CA229" s="19">
        <f t="shared" si="297"/>
        <v>1428431.8846153847</v>
      </c>
      <c r="CB229" s="20">
        <f t="shared" si="284"/>
        <v>1428431.8846153847</v>
      </c>
      <c r="CC229" s="20">
        <f t="shared" si="285"/>
        <v>1428431.8846153843</v>
      </c>
      <c r="CD229" s="20">
        <f t="shared" si="298"/>
        <v>0</v>
      </c>
      <c r="CE229" s="20">
        <f t="shared" si="302"/>
        <v>1400000</v>
      </c>
      <c r="CF229" s="20">
        <f t="shared" si="295"/>
        <v>1928402.2492889846</v>
      </c>
      <c r="CG229" s="20">
        <f t="shared" si="286"/>
        <v>77136.089971559384</v>
      </c>
      <c r="CH229" s="20">
        <f t="shared" si="296"/>
        <v>6428.0074976299484</v>
      </c>
      <c r="CI229" s="20">
        <f t="shared" si="287"/>
        <v>1918371.2160403898</v>
      </c>
      <c r="CJ229" s="24">
        <f t="shared" si="288"/>
        <v>1.3500134448540544</v>
      </c>
      <c r="CK229" s="24">
        <f t="shared" si="289"/>
        <v>5.238388753393948E-3</v>
      </c>
      <c r="CL229" s="24">
        <f t="shared" si="290"/>
        <v>1.5794796793786366E-2</v>
      </c>
      <c r="CM229" s="25">
        <f t="shared" si="291"/>
        <v>6.8792208528739907E-2</v>
      </c>
      <c r="CN229" s="17"/>
      <c r="CO229" s="17"/>
      <c r="CP229" s="17"/>
      <c r="CQ229" s="17"/>
      <c r="CR229" s="17"/>
      <c r="CS229" s="17"/>
      <c r="CT229" s="17"/>
      <c r="CU229" s="17"/>
      <c r="CV229" s="17"/>
      <c r="CW229" s="30">
        <v>0</v>
      </c>
      <c r="CX229" s="17"/>
      <c r="CY229" s="17"/>
      <c r="CZ229" s="17"/>
      <c r="DA229" s="17"/>
      <c r="DB229" s="17"/>
    </row>
    <row r="230" spans="1:106" ht="15.75" thickBot="1" x14ac:dyDescent="0.3">
      <c r="A230" s="5">
        <f t="shared" si="299"/>
        <v>42</v>
      </c>
      <c r="B230" s="5">
        <f t="shared" si="299"/>
        <v>41</v>
      </c>
      <c r="C230" s="1"/>
      <c r="D230" s="4"/>
      <c r="E230" s="30"/>
      <c r="F230" s="30"/>
      <c r="G230" s="30">
        <f t="shared" si="262"/>
        <v>0</v>
      </c>
      <c r="H230" s="30"/>
      <c r="I230" s="10">
        <v>0</v>
      </c>
      <c r="J230" s="60">
        <v>9000</v>
      </c>
      <c r="K230" s="11">
        <v>550</v>
      </c>
      <c r="L230" s="60">
        <f t="shared" si="72"/>
        <v>11469.534113868751</v>
      </c>
      <c r="M230" s="11">
        <v>305</v>
      </c>
      <c r="N230" s="60">
        <v>0</v>
      </c>
      <c r="O230" s="11">
        <v>0</v>
      </c>
      <c r="P230" s="11">
        <v>0</v>
      </c>
      <c r="Q230" s="60">
        <f>(Q229*($K$1/12))+Q229 + $Q$8</f>
        <v>279516.13305881404</v>
      </c>
      <c r="R230" s="60">
        <f>(R229*($K$1/12))+R229</f>
        <v>12848.132827266176</v>
      </c>
      <c r="S230" s="60">
        <f>(S229*($K$1/12))+S229</f>
        <v>11154.756729018058</v>
      </c>
      <c r="T230" s="60">
        <f>(T229*($K$1/12))+T229+$T$8</f>
        <v>1062172.1016301119</v>
      </c>
      <c r="U230" s="60">
        <f>(U229*$K$1/12) + U229</f>
        <v>135723.26826118544</v>
      </c>
      <c r="V230" s="60">
        <v>3100</v>
      </c>
      <c r="W230" s="60">
        <f>(W229*($K$1/12))+W229+$W$8</f>
        <v>94208.42006291906</v>
      </c>
      <c r="X230" s="11">
        <v>0</v>
      </c>
      <c r="Y230" s="60">
        <f>(Y229*($K$1/12))+Y229+$Y$8</f>
        <v>342882.94890331832</v>
      </c>
      <c r="Z230" s="60">
        <f>'Mortgage and Loans'!U192</f>
        <v>180000</v>
      </c>
      <c r="AA230" s="12">
        <f t="shared" si="293"/>
        <v>2142930.2955865017</v>
      </c>
      <c r="AB230" s="56">
        <f t="shared" si="301"/>
        <v>750</v>
      </c>
      <c r="AC230" s="56">
        <f t="shared" si="301"/>
        <v>750</v>
      </c>
      <c r="AD230" s="56">
        <f t="shared" si="301"/>
        <v>750</v>
      </c>
      <c r="AE230" s="56">
        <f t="shared" si="301"/>
        <v>750</v>
      </c>
      <c r="AF230" s="56">
        <f t="shared" si="300"/>
        <v>261.43961538461548</v>
      </c>
      <c r="AG230" s="56">
        <f t="shared" si="301"/>
        <v>750</v>
      </c>
      <c r="AH230" s="56">
        <f>'Mortgage and Loans'!AF187</f>
        <v>0</v>
      </c>
      <c r="AI230" s="56">
        <f>'Mortgage and Loans'!AQ187</f>
        <v>0</v>
      </c>
      <c r="AJ230" s="56">
        <f>'Mortgage and Loans'!BB187</f>
        <v>0</v>
      </c>
      <c r="AK230" s="56">
        <f>'Mortgage and Loans'!BM187</f>
        <v>0</v>
      </c>
      <c r="AL230" s="56">
        <f>'Mortgage and Loans'!T192</f>
        <v>0</v>
      </c>
      <c r="AM230" s="12">
        <f t="shared" si="12"/>
        <v>-4011.4396153846155</v>
      </c>
      <c r="AN230" s="75">
        <f t="shared" si="85"/>
        <v>2138918.855971117</v>
      </c>
      <c r="AO230" s="86">
        <f>'Mortgage and Loans'!G193</f>
        <v>0</v>
      </c>
      <c r="AP230" s="79">
        <f>('Salary Tax Breakdown'!B$16/12)-Data!AO230</f>
        <v>3447.5</v>
      </c>
      <c r="AQ230" s="87"/>
      <c r="AR230" s="20">
        <f t="shared" si="263"/>
        <v>4011.4396153846155</v>
      </c>
      <c r="AS230" s="20">
        <v>750</v>
      </c>
      <c r="AT230" s="20">
        <v>0</v>
      </c>
      <c r="AU230" s="20">
        <f t="shared" si="264"/>
        <v>4761.4396153846155</v>
      </c>
      <c r="AV230" s="20">
        <f t="shared" si="265"/>
        <v>4761.4396153846155</v>
      </c>
      <c r="AW230" s="51">
        <f t="shared" si="294"/>
        <v>0</v>
      </c>
      <c r="AX230" s="51">
        <f t="shared" si="14"/>
        <v>0</v>
      </c>
      <c r="AY230" s="51">
        <f t="shared" si="15"/>
        <v>0</v>
      </c>
      <c r="AZ230" s="51">
        <f t="shared" si="16"/>
        <v>0</v>
      </c>
      <c r="BA230" s="51">
        <f t="shared" si="17"/>
        <v>0</v>
      </c>
      <c r="BB230" s="51">
        <f t="shared" si="18"/>
        <v>0</v>
      </c>
      <c r="BC230" s="51">
        <f t="shared" si="19"/>
        <v>0</v>
      </c>
      <c r="BD230" s="51">
        <f t="shared" si="20"/>
        <v>0</v>
      </c>
      <c r="BE230" s="51">
        <f t="shared" si="21"/>
        <v>0</v>
      </c>
      <c r="BF230" s="51">
        <f t="shared" si="22"/>
        <v>0</v>
      </c>
      <c r="BG230" s="51">
        <f t="shared" si="23"/>
        <v>0</v>
      </c>
      <c r="BH230" s="51">
        <f t="shared" si="24"/>
        <v>0</v>
      </c>
      <c r="BI230" s="51">
        <f t="shared" si="266"/>
        <v>0</v>
      </c>
      <c r="BJ230" s="51">
        <f t="shared" si="267"/>
        <v>0</v>
      </c>
      <c r="BK230" s="51">
        <f t="shared" si="268"/>
        <v>0</v>
      </c>
      <c r="BL230" s="51">
        <f t="shared" si="269"/>
        <v>0</v>
      </c>
      <c r="BM230" s="51">
        <f t="shared" si="270"/>
        <v>0</v>
      </c>
      <c r="BN230" s="51">
        <f t="shared" si="271"/>
        <v>0</v>
      </c>
      <c r="BO230" s="51">
        <f t="shared" si="272"/>
        <v>0</v>
      </c>
      <c r="BP230" s="51">
        <f t="shared" si="273"/>
        <v>0</v>
      </c>
      <c r="BQ230" s="51">
        <f t="shared" si="274"/>
        <v>0</v>
      </c>
      <c r="BR230" s="51">
        <f t="shared" si="275"/>
        <v>0</v>
      </c>
      <c r="BS230" s="51">
        <f t="shared" si="276"/>
        <v>0</v>
      </c>
      <c r="BT230" s="51">
        <f t="shared" si="277"/>
        <v>0</v>
      </c>
      <c r="BU230" s="20">
        <f t="shared" si="278"/>
        <v>4761.4396153846155</v>
      </c>
      <c r="BV230" s="20">
        <f t="shared" si="279"/>
        <v>4761.4396153846164</v>
      </c>
      <c r="BW230" s="20">
        <f t="shared" si="280"/>
        <v>57137.275384615386</v>
      </c>
      <c r="BX230" s="20">
        <f t="shared" si="281"/>
        <v>57137.275384615386</v>
      </c>
      <c r="BY230" s="20">
        <f t="shared" si="282"/>
        <v>57137.275384615394</v>
      </c>
      <c r="BZ230" s="21">
        <f t="shared" si="283"/>
        <v>57137.275384615386</v>
      </c>
      <c r="CA230" s="19">
        <f t="shared" si="297"/>
        <v>1428431.8846153847</v>
      </c>
      <c r="CB230" s="20">
        <f t="shared" si="284"/>
        <v>1428431.8846153847</v>
      </c>
      <c r="CC230" s="20">
        <f t="shared" si="285"/>
        <v>1428431.8846153843</v>
      </c>
      <c r="CD230" s="20">
        <f t="shared" si="298"/>
        <v>0</v>
      </c>
      <c r="CE230" s="20">
        <f t="shared" si="302"/>
        <v>1400000</v>
      </c>
      <c r="CF230" s="20">
        <f t="shared" si="295"/>
        <v>1938505.7614726329</v>
      </c>
      <c r="CG230" s="20">
        <f t="shared" si="286"/>
        <v>77540.230458905324</v>
      </c>
      <c r="CH230" s="20">
        <f t="shared" si="296"/>
        <v>6461.6858715754433</v>
      </c>
      <c r="CI230" s="20">
        <f t="shared" si="287"/>
        <v>1928420.3934606088</v>
      </c>
      <c r="CJ230" s="24">
        <f t="shared" si="288"/>
        <v>1.3570865942932862</v>
      </c>
      <c r="CK230" s="24">
        <f t="shared" si="289"/>
        <v>5.2393177758289474E-3</v>
      </c>
      <c r="CL230" s="24">
        <f t="shared" si="290"/>
        <v>1.5797627405156937E-2</v>
      </c>
      <c r="CM230" s="25">
        <f t="shared" si="291"/>
        <v>6.4649511655635788E-2</v>
      </c>
      <c r="CN230" s="17"/>
      <c r="CO230" s="17"/>
      <c r="CP230" s="17"/>
      <c r="CQ230" s="17"/>
      <c r="CR230" s="17"/>
      <c r="CS230" s="17"/>
      <c r="CT230" s="17"/>
      <c r="CU230" s="17"/>
      <c r="CV230" s="17"/>
      <c r="CW230" s="30">
        <v>0</v>
      </c>
      <c r="CX230" s="17"/>
      <c r="CY230" s="17"/>
      <c r="CZ230" s="17"/>
      <c r="DA230" s="17"/>
      <c r="DB230" s="17"/>
    </row>
    <row r="231" spans="1:106" ht="15.75" thickBot="1" x14ac:dyDescent="0.3">
      <c r="A231" s="5">
        <f t="shared" si="299"/>
        <v>42</v>
      </c>
      <c r="B231" s="5">
        <f t="shared" si="299"/>
        <v>41</v>
      </c>
      <c r="C231" s="1"/>
      <c r="D231" s="4"/>
      <c r="E231" s="30"/>
      <c r="F231" s="30"/>
      <c r="G231" s="30">
        <f t="shared" si="262"/>
        <v>0</v>
      </c>
      <c r="H231" s="30"/>
      <c r="I231" s="10">
        <v>0</v>
      </c>
      <c r="J231" s="60">
        <v>9000</v>
      </c>
      <c r="K231" s="11">
        <v>550</v>
      </c>
      <c r="L231" s="60">
        <f t="shared" si="72"/>
        <v>11483.393134256341</v>
      </c>
      <c r="M231" s="11">
        <v>305</v>
      </c>
      <c r="N231" s="60">
        <v>0</v>
      </c>
      <c r="O231" s="11">
        <v>0</v>
      </c>
      <c r="P231" s="11">
        <v>0</v>
      </c>
      <c r="Q231" s="60">
        <f>(Q230*($K$1/12))+Q230 + $Q$8</f>
        <v>281488.17877954926</v>
      </c>
      <c r="R231" s="60">
        <f>(R230*($K$1/12))+R230</f>
        <v>12917.726880080534</v>
      </c>
      <c r="S231" s="60">
        <f>(S230*($K$1/12))+S230</f>
        <v>11215.178327966905</v>
      </c>
      <c r="T231" s="60">
        <f>(T230*($K$1/12))+T230+$T$8</f>
        <v>1069425.533847275</v>
      </c>
      <c r="U231" s="60">
        <f>(U230*$K$1/12) + U230</f>
        <v>136458.43596426686</v>
      </c>
      <c r="V231" s="60">
        <v>3100</v>
      </c>
      <c r="W231" s="60">
        <f>(W230*($K$1/12))+W230+$W$8</f>
        <v>94718.715671593207</v>
      </c>
      <c r="X231" s="11">
        <v>0</v>
      </c>
      <c r="Y231" s="60">
        <f>(Y230*($K$1/12))+Y230+$Y$8</f>
        <v>342440.23154321127</v>
      </c>
      <c r="Z231" s="60">
        <f>'Mortgage and Loans'!U193</f>
        <v>180000</v>
      </c>
      <c r="AA231" s="12">
        <f t="shared" si="293"/>
        <v>2153102.3941481994</v>
      </c>
      <c r="AB231" s="56">
        <f t="shared" si="301"/>
        <v>750</v>
      </c>
      <c r="AC231" s="56">
        <f t="shared" si="301"/>
        <v>750</v>
      </c>
      <c r="AD231" s="56">
        <f t="shared" si="301"/>
        <v>750</v>
      </c>
      <c r="AE231" s="56">
        <f t="shared" si="301"/>
        <v>750</v>
      </c>
      <c r="AF231" s="56">
        <f t="shared" si="300"/>
        <v>261.43961538461542</v>
      </c>
      <c r="AG231" s="56">
        <f t="shared" si="301"/>
        <v>750</v>
      </c>
      <c r="AH231" s="56">
        <f>'Mortgage and Loans'!AF188</f>
        <v>0</v>
      </c>
      <c r="AI231" s="56">
        <f>'Mortgage and Loans'!AQ188</f>
        <v>0</v>
      </c>
      <c r="AJ231" s="56">
        <f>'Mortgage and Loans'!BB188</f>
        <v>0</v>
      </c>
      <c r="AK231" s="56">
        <f>'Mortgage and Loans'!BM188</f>
        <v>0</v>
      </c>
      <c r="AL231" s="56">
        <f>'Mortgage and Loans'!T193</f>
        <v>0</v>
      </c>
      <c r="AM231" s="12">
        <f t="shared" si="12"/>
        <v>-4011.4396153846155</v>
      </c>
      <c r="AN231" s="75">
        <f t="shared" si="85"/>
        <v>2149090.9545328147</v>
      </c>
      <c r="AO231" s="86">
        <f>'Mortgage and Loans'!G194</f>
        <v>0</v>
      </c>
      <c r="AP231" s="79">
        <f>('Salary Tax Breakdown'!B$16/12)-Data!AO231</f>
        <v>3447.5</v>
      </c>
      <c r="AQ231" s="87"/>
      <c r="AR231" s="20">
        <f t="shared" si="263"/>
        <v>4011.4396153846155</v>
      </c>
      <c r="AS231" s="20">
        <v>750</v>
      </c>
      <c r="AT231" s="20">
        <v>0</v>
      </c>
      <c r="AU231" s="20">
        <f t="shared" si="264"/>
        <v>4761.4396153846155</v>
      </c>
      <c r="AV231" s="20">
        <f t="shared" si="265"/>
        <v>4761.4396153846155</v>
      </c>
      <c r="AW231" s="51">
        <f t="shared" si="294"/>
        <v>0</v>
      </c>
      <c r="AX231" s="51">
        <f t="shared" si="14"/>
        <v>0</v>
      </c>
      <c r="AY231" s="51">
        <f t="shared" si="15"/>
        <v>0</v>
      </c>
      <c r="AZ231" s="51">
        <f t="shared" si="16"/>
        <v>0</v>
      </c>
      <c r="BA231" s="51">
        <f t="shared" si="17"/>
        <v>0</v>
      </c>
      <c r="BB231" s="51">
        <f t="shared" si="18"/>
        <v>0</v>
      </c>
      <c r="BC231" s="51">
        <f t="shared" si="19"/>
        <v>0</v>
      </c>
      <c r="BD231" s="51">
        <f t="shared" si="20"/>
        <v>0</v>
      </c>
      <c r="BE231" s="51">
        <f t="shared" si="21"/>
        <v>0</v>
      </c>
      <c r="BF231" s="51">
        <f t="shared" si="22"/>
        <v>0</v>
      </c>
      <c r="BG231" s="51">
        <f t="shared" si="23"/>
        <v>0</v>
      </c>
      <c r="BH231" s="51">
        <f t="shared" si="24"/>
        <v>0</v>
      </c>
      <c r="BI231" s="51">
        <f t="shared" si="266"/>
        <v>0</v>
      </c>
      <c r="BJ231" s="51">
        <f t="shared" si="267"/>
        <v>0</v>
      </c>
      <c r="BK231" s="51">
        <f t="shared" si="268"/>
        <v>0</v>
      </c>
      <c r="BL231" s="51">
        <f t="shared" si="269"/>
        <v>0</v>
      </c>
      <c r="BM231" s="51">
        <f t="shared" si="270"/>
        <v>0</v>
      </c>
      <c r="BN231" s="51">
        <f t="shared" si="271"/>
        <v>0</v>
      </c>
      <c r="BO231" s="51">
        <f t="shared" si="272"/>
        <v>0</v>
      </c>
      <c r="BP231" s="51">
        <f t="shared" si="273"/>
        <v>0</v>
      </c>
      <c r="BQ231" s="51">
        <f t="shared" si="274"/>
        <v>0</v>
      </c>
      <c r="BR231" s="51">
        <f t="shared" si="275"/>
        <v>0</v>
      </c>
      <c r="BS231" s="51">
        <f t="shared" si="276"/>
        <v>0</v>
      </c>
      <c r="BT231" s="51">
        <f t="shared" si="277"/>
        <v>0</v>
      </c>
      <c r="BU231" s="20">
        <f t="shared" si="278"/>
        <v>4761.4396153846155</v>
      </c>
      <c r="BV231" s="20">
        <f t="shared" si="279"/>
        <v>4761.4396153846164</v>
      </c>
      <c r="BW231" s="20">
        <f t="shared" si="280"/>
        <v>57137.275384615386</v>
      </c>
      <c r="BX231" s="20">
        <f t="shared" si="281"/>
        <v>57137.275384615386</v>
      </c>
      <c r="BY231" s="20">
        <f t="shared" si="282"/>
        <v>57137.275384615394</v>
      </c>
      <c r="BZ231" s="21">
        <f t="shared" si="283"/>
        <v>57137.275384615386</v>
      </c>
      <c r="CA231" s="19">
        <f t="shared" si="297"/>
        <v>1428431.8846153847</v>
      </c>
      <c r="CB231" s="20">
        <f t="shared" si="284"/>
        <v>1428431.8846153847</v>
      </c>
      <c r="CC231" s="20">
        <f t="shared" si="285"/>
        <v>1428431.8846153843</v>
      </c>
      <c r="CD231" s="20">
        <f t="shared" si="298"/>
        <v>0</v>
      </c>
      <c r="CE231" s="20">
        <f t="shared" si="302"/>
        <v>1400000</v>
      </c>
      <c r="CF231" s="20">
        <f t="shared" si="295"/>
        <v>1948664.001013943</v>
      </c>
      <c r="CG231" s="20">
        <f t="shared" si="286"/>
        <v>77946.560040557728</v>
      </c>
      <c r="CH231" s="20">
        <f t="shared" si="296"/>
        <v>6495.5466700464776</v>
      </c>
      <c r="CI231" s="20">
        <f t="shared" si="287"/>
        <v>1938524.0039251868</v>
      </c>
      <c r="CJ231" s="24">
        <f t="shared" si="288"/>
        <v>1.3641980566253142</v>
      </c>
      <c r="CK231" s="24">
        <f t="shared" si="289"/>
        <v>5.240242120092109E-3</v>
      </c>
      <c r="CL231" s="24">
        <f t="shared" si="290"/>
        <v>1.5800443773205445E-2</v>
      </c>
      <c r="CM231" s="25">
        <f t="shared" si="291"/>
        <v>6.4661591629076295E-2</v>
      </c>
      <c r="CN231" s="17"/>
      <c r="CO231" s="17"/>
      <c r="CP231" s="17"/>
      <c r="CQ231" s="17"/>
      <c r="CR231" s="17"/>
      <c r="CS231" s="17"/>
      <c r="CT231" s="17"/>
      <c r="CU231" s="17"/>
      <c r="CV231" s="17"/>
      <c r="CW231" s="30">
        <v>0</v>
      </c>
      <c r="CX231" s="17"/>
      <c r="CY231" s="17"/>
      <c r="CZ231" s="17"/>
      <c r="DA231" s="17"/>
      <c r="DB231" s="17"/>
    </row>
    <row r="232" spans="1:106" ht="15.75" thickBot="1" x14ac:dyDescent="0.3">
      <c r="A232" s="5">
        <f t="shared" si="299"/>
        <v>43</v>
      </c>
      <c r="B232" s="5">
        <f t="shared" si="299"/>
        <v>41</v>
      </c>
      <c r="C232" s="1"/>
      <c r="D232" s="4"/>
      <c r="E232" s="30"/>
      <c r="F232" s="30"/>
      <c r="G232" s="30">
        <f t="shared" si="262"/>
        <v>0</v>
      </c>
      <c r="H232" s="30"/>
      <c r="I232" s="10">
        <v>0</v>
      </c>
      <c r="J232" s="60">
        <v>9000</v>
      </c>
      <c r="K232" s="11">
        <v>550</v>
      </c>
      <c r="L232" s="60">
        <f t="shared" si="72"/>
        <v>11497.268900960233</v>
      </c>
      <c r="M232" s="11">
        <v>305</v>
      </c>
      <c r="N232" s="60">
        <v>0</v>
      </c>
      <c r="O232" s="11">
        <v>0</v>
      </c>
      <c r="P232" s="11">
        <v>0</v>
      </c>
      <c r="Q232" s="60">
        <f>(Q231*($K$1/12))+Q231 + $Q$8</f>
        <v>283470.90641460515</v>
      </c>
      <c r="R232" s="60">
        <f>(R231*($K$1/12))+R231</f>
        <v>12987.697900680971</v>
      </c>
      <c r="S232" s="60">
        <f>(S231*($K$1/12))+S231</f>
        <v>11275.927210576727</v>
      </c>
      <c r="T232" s="60">
        <f>(T231*($K$1/12))+T231+$T$8</f>
        <v>1076718.2554889477</v>
      </c>
      <c r="U232" s="60">
        <f>(U231*$K$1/12) + U231</f>
        <v>137197.58582573998</v>
      </c>
      <c r="V232" s="60">
        <v>3100</v>
      </c>
      <c r="W232" s="60">
        <f>(W231*($K$1/12))+W231+$W$8</f>
        <v>95231.775381480998</v>
      </c>
      <c r="X232" s="11">
        <v>0</v>
      </c>
      <c r="Y232" s="60">
        <f>(Y231*($K$1/12))+Y231+$Y$8</f>
        <v>341995.11613073701</v>
      </c>
      <c r="Z232" s="60">
        <f>'Mortgage and Loans'!U194</f>
        <v>180000</v>
      </c>
      <c r="AA232" s="12">
        <f t="shared" si="293"/>
        <v>2163329.5332537289</v>
      </c>
      <c r="AB232" s="56">
        <f t="shared" si="301"/>
        <v>750</v>
      </c>
      <c r="AC232" s="56">
        <f t="shared" si="301"/>
        <v>750</v>
      </c>
      <c r="AD232" s="56">
        <f t="shared" si="301"/>
        <v>750</v>
      </c>
      <c r="AE232" s="56">
        <f t="shared" si="301"/>
        <v>750</v>
      </c>
      <c r="AF232" s="56">
        <f t="shared" si="300"/>
        <v>261.43961538461542</v>
      </c>
      <c r="AG232" s="56">
        <f t="shared" si="301"/>
        <v>750</v>
      </c>
      <c r="AH232" s="56">
        <f>'Mortgage and Loans'!AF189</f>
        <v>0</v>
      </c>
      <c r="AI232" s="56">
        <f>'Mortgage and Loans'!AQ189</f>
        <v>0</v>
      </c>
      <c r="AJ232" s="56">
        <f>'Mortgage and Loans'!BB189</f>
        <v>0</v>
      </c>
      <c r="AK232" s="56">
        <f>'Mortgage and Loans'!BM189</f>
        <v>0</v>
      </c>
      <c r="AL232" s="56">
        <f>'Mortgage and Loans'!T194</f>
        <v>0</v>
      </c>
      <c r="AM232" s="12">
        <f t="shared" si="12"/>
        <v>-4011.4396153846155</v>
      </c>
      <c r="AN232" s="75">
        <f t="shared" si="85"/>
        <v>2159318.0936383442</v>
      </c>
      <c r="AO232" s="86">
        <f>'Mortgage and Loans'!G195</f>
        <v>0</v>
      </c>
      <c r="AP232" s="79">
        <f>('Salary Tax Breakdown'!B$16/12)-Data!AO232</f>
        <v>3447.5</v>
      </c>
      <c r="AQ232" s="87"/>
      <c r="AR232" s="20">
        <f t="shared" si="263"/>
        <v>4011.4396153846155</v>
      </c>
      <c r="AS232" s="20">
        <v>750</v>
      </c>
      <c r="AT232" s="20">
        <v>0</v>
      </c>
      <c r="AU232" s="20">
        <f t="shared" si="264"/>
        <v>4761.4396153846155</v>
      </c>
      <c r="AV232" s="20">
        <f t="shared" si="265"/>
        <v>4761.4396153846155</v>
      </c>
      <c r="AW232" s="51">
        <f t="shared" si="294"/>
        <v>0</v>
      </c>
      <c r="AX232" s="51">
        <f t="shared" si="14"/>
        <v>0</v>
      </c>
      <c r="AY232" s="51">
        <f t="shared" si="15"/>
        <v>0</v>
      </c>
      <c r="AZ232" s="51">
        <f t="shared" si="16"/>
        <v>0</v>
      </c>
      <c r="BA232" s="51">
        <f t="shared" si="17"/>
        <v>0</v>
      </c>
      <c r="BB232" s="51">
        <f t="shared" si="18"/>
        <v>0</v>
      </c>
      <c r="BC232" s="51">
        <f t="shared" si="19"/>
        <v>0</v>
      </c>
      <c r="BD232" s="51">
        <f t="shared" si="20"/>
        <v>0</v>
      </c>
      <c r="BE232" s="51">
        <f t="shared" si="21"/>
        <v>0</v>
      </c>
      <c r="BF232" s="51">
        <f t="shared" si="22"/>
        <v>0</v>
      </c>
      <c r="BG232" s="51">
        <f t="shared" si="23"/>
        <v>0</v>
      </c>
      <c r="BH232" s="51">
        <f t="shared" si="24"/>
        <v>0</v>
      </c>
      <c r="BI232" s="51">
        <f t="shared" si="266"/>
        <v>0</v>
      </c>
      <c r="BJ232" s="51">
        <f t="shared" si="267"/>
        <v>0</v>
      </c>
      <c r="BK232" s="51">
        <f t="shared" si="268"/>
        <v>0</v>
      </c>
      <c r="BL232" s="51">
        <f t="shared" si="269"/>
        <v>0</v>
      </c>
      <c r="BM232" s="51">
        <f t="shared" si="270"/>
        <v>0</v>
      </c>
      <c r="BN232" s="51">
        <f t="shared" si="271"/>
        <v>0</v>
      </c>
      <c r="BO232" s="51">
        <f t="shared" si="272"/>
        <v>0</v>
      </c>
      <c r="BP232" s="51">
        <f t="shared" si="273"/>
        <v>0</v>
      </c>
      <c r="BQ232" s="51">
        <f t="shared" si="274"/>
        <v>0</v>
      </c>
      <c r="BR232" s="51">
        <f t="shared" si="275"/>
        <v>0</v>
      </c>
      <c r="BS232" s="51">
        <f t="shared" si="276"/>
        <v>0</v>
      </c>
      <c r="BT232" s="51">
        <f t="shared" si="277"/>
        <v>0</v>
      </c>
      <c r="BU232" s="20">
        <f t="shared" si="278"/>
        <v>4761.4396153846155</v>
      </c>
      <c r="BV232" s="20">
        <f t="shared" si="279"/>
        <v>4761.4396153846164</v>
      </c>
      <c r="BW232" s="20">
        <f t="shared" si="280"/>
        <v>57137.275384615386</v>
      </c>
      <c r="BX232" s="20">
        <f t="shared" si="281"/>
        <v>57137.275384615386</v>
      </c>
      <c r="BY232" s="20">
        <f t="shared" si="282"/>
        <v>57137.275384615394</v>
      </c>
      <c r="BZ232" s="21">
        <f t="shared" si="283"/>
        <v>57137.275384615386</v>
      </c>
      <c r="CA232" s="19">
        <f t="shared" si="297"/>
        <v>1428431.8846153847</v>
      </c>
      <c r="CB232" s="20">
        <f t="shared" si="284"/>
        <v>1428431.8846153847</v>
      </c>
      <c r="CC232" s="20">
        <f t="shared" si="285"/>
        <v>1428431.8846153843</v>
      </c>
      <c r="CD232" s="20">
        <f t="shared" si="298"/>
        <v>0</v>
      </c>
      <c r="CE232" s="20">
        <f t="shared" si="302"/>
        <v>1400000</v>
      </c>
      <c r="CF232" s="20">
        <f t="shared" si="295"/>
        <v>1958877.2643527687</v>
      </c>
      <c r="CG232" s="20">
        <f t="shared" si="286"/>
        <v>78355.090574110742</v>
      </c>
      <c r="CH232" s="20">
        <f t="shared" si="296"/>
        <v>6529.5908811758954</v>
      </c>
      <c r="CI232" s="20">
        <f t="shared" si="287"/>
        <v>1948682.3422797816</v>
      </c>
      <c r="CJ232" s="24">
        <f t="shared" si="288"/>
        <v>1.3713480393783075</v>
      </c>
      <c r="CK232" s="24">
        <f t="shared" si="289"/>
        <v>5.241161808044602E-3</v>
      </c>
      <c r="CL232" s="24">
        <f t="shared" si="290"/>
        <v>1.5803245964383435E-2</v>
      </c>
      <c r="CM232" s="25">
        <f t="shared" si="291"/>
        <v>6.4673611000628975E-2</v>
      </c>
      <c r="CN232" s="17"/>
      <c r="CO232" s="17"/>
      <c r="CP232" s="17"/>
      <c r="CQ232" s="17"/>
      <c r="CR232" s="17"/>
      <c r="CS232" s="17"/>
      <c r="CT232" s="17"/>
      <c r="CU232" s="17"/>
      <c r="CV232" s="17"/>
      <c r="CW232" s="30">
        <v>0</v>
      </c>
      <c r="CX232" s="17"/>
      <c r="CY232" s="17"/>
      <c r="CZ232" s="17"/>
      <c r="DA232" s="17"/>
      <c r="DB232" s="17"/>
    </row>
    <row r="233" spans="1:106" ht="15.75" thickBot="1" x14ac:dyDescent="0.3">
      <c r="A233" s="5">
        <f t="shared" si="299"/>
        <v>43</v>
      </c>
      <c r="B233" s="5">
        <f t="shared" si="299"/>
        <v>41</v>
      </c>
      <c r="C233" s="1"/>
      <c r="D233" s="4"/>
      <c r="E233" s="30"/>
      <c r="F233" s="30"/>
      <c r="G233" s="30">
        <f t="shared" si="262"/>
        <v>0</v>
      </c>
      <c r="H233" s="30"/>
      <c r="I233" s="10">
        <v>0</v>
      </c>
      <c r="J233" s="60">
        <v>9000</v>
      </c>
      <c r="K233" s="11">
        <v>550</v>
      </c>
      <c r="L233" s="60">
        <f t="shared" si="72"/>
        <v>11511.161434215559</v>
      </c>
      <c r="M233" s="11">
        <v>305</v>
      </c>
      <c r="N233" s="60">
        <v>0</v>
      </c>
      <c r="O233" s="11">
        <v>0</v>
      </c>
      <c r="P233" s="11">
        <v>0</v>
      </c>
      <c r="Q233" s="60">
        <f>(Q232*($K$1/12))+Q232 + $Q$8</f>
        <v>285464.37382435094</v>
      </c>
      <c r="R233" s="60">
        <f>(R232*($K$1/12))+R232</f>
        <v>13058.047930976325</v>
      </c>
      <c r="S233" s="60">
        <f>(S232*($K$1/12))+S232</f>
        <v>11337.005149634017</v>
      </c>
      <c r="T233" s="60">
        <f>(T232*($K$1/12))+T232+$T$8</f>
        <v>1084050.4793728462</v>
      </c>
      <c r="U233" s="60">
        <f>(U232*$K$1/12) + U232</f>
        <v>137940.73941562942</v>
      </c>
      <c r="V233" s="60">
        <v>3100</v>
      </c>
      <c r="W233" s="60">
        <f>(W232*($K$1/12))+W232+$W$8</f>
        <v>95747.614164797356</v>
      </c>
      <c r="X233" s="11">
        <v>0</v>
      </c>
      <c r="Y233" s="60">
        <f>(Y232*($K$1/12))+Y232+$Y$8</f>
        <v>341547.58967644518</v>
      </c>
      <c r="Z233" s="60">
        <f>'Mortgage and Loans'!U195</f>
        <v>180000</v>
      </c>
      <c r="AA233" s="12">
        <f t="shared" si="293"/>
        <v>2173612.0109688947</v>
      </c>
      <c r="AB233" s="56">
        <f t="shared" si="301"/>
        <v>750</v>
      </c>
      <c r="AC233" s="56">
        <f t="shared" si="301"/>
        <v>750</v>
      </c>
      <c r="AD233" s="56">
        <f t="shared" si="301"/>
        <v>750</v>
      </c>
      <c r="AE233" s="56">
        <f t="shared" si="301"/>
        <v>750</v>
      </c>
      <c r="AF233" s="56">
        <f t="shared" si="300"/>
        <v>261.43961538461548</v>
      </c>
      <c r="AG233" s="56">
        <f t="shared" si="301"/>
        <v>750</v>
      </c>
      <c r="AH233" s="56">
        <f>'Mortgage and Loans'!AF190</f>
        <v>0</v>
      </c>
      <c r="AI233" s="56">
        <f>'Mortgage and Loans'!AQ190</f>
        <v>0</v>
      </c>
      <c r="AJ233" s="56">
        <f>'Mortgage and Loans'!BB190</f>
        <v>0</v>
      </c>
      <c r="AK233" s="56">
        <f>'Mortgage and Loans'!BM190</f>
        <v>0</v>
      </c>
      <c r="AL233" s="56">
        <f>'Mortgage and Loans'!T195</f>
        <v>0</v>
      </c>
      <c r="AM233" s="12">
        <f t="shared" si="12"/>
        <v>-4011.4396153846155</v>
      </c>
      <c r="AN233" s="75">
        <f t="shared" si="85"/>
        <v>2169600.57135351</v>
      </c>
      <c r="AO233" s="86">
        <f>'Mortgage and Loans'!G196</f>
        <v>0</v>
      </c>
      <c r="AP233" s="79">
        <f>('Salary Tax Breakdown'!B$16/12)-Data!AO233</f>
        <v>3447.5</v>
      </c>
      <c r="AQ233" s="87"/>
      <c r="AR233" s="20">
        <f t="shared" si="263"/>
        <v>4011.4396153846155</v>
      </c>
      <c r="AS233" s="20">
        <v>750</v>
      </c>
      <c r="AT233" s="20">
        <v>0</v>
      </c>
      <c r="AU233" s="20">
        <f t="shared" si="264"/>
        <v>4761.4396153846155</v>
      </c>
      <c r="AV233" s="20">
        <f t="shared" si="265"/>
        <v>4761.4396153846155</v>
      </c>
      <c r="AW233" s="51">
        <f t="shared" si="294"/>
        <v>0</v>
      </c>
      <c r="AX233" s="51">
        <f t="shared" si="14"/>
        <v>0</v>
      </c>
      <c r="AY233" s="51">
        <f t="shared" si="15"/>
        <v>0</v>
      </c>
      <c r="AZ233" s="51">
        <f t="shared" si="16"/>
        <v>0</v>
      </c>
      <c r="BA233" s="51">
        <f t="shared" si="17"/>
        <v>0</v>
      </c>
      <c r="BB233" s="51">
        <f t="shared" si="18"/>
        <v>0</v>
      </c>
      <c r="BC233" s="51">
        <f t="shared" si="19"/>
        <v>0</v>
      </c>
      <c r="BD233" s="51">
        <f t="shared" si="20"/>
        <v>0</v>
      </c>
      <c r="BE233" s="51">
        <f t="shared" si="21"/>
        <v>0</v>
      </c>
      <c r="BF233" s="51">
        <f t="shared" si="22"/>
        <v>0</v>
      </c>
      <c r="BG233" s="51">
        <f t="shared" si="23"/>
        <v>0</v>
      </c>
      <c r="BH233" s="51">
        <f t="shared" si="24"/>
        <v>0</v>
      </c>
      <c r="BI233" s="51">
        <f t="shared" si="266"/>
        <v>0</v>
      </c>
      <c r="BJ233" s="51">
        <f t="shared" si="267"/>
        <v>0</v>
      </c>
      <c r="BK233" s="51">
        <f t="shared" si="268"/>
        <v>0</v>
      </c>
      <c r="BL233" s="51">
        <f t="shared" si="269"/>
        <v>0</v>
      </c>
      <c r="BM233" s="51">
        <f t="shared" si="270"/>
        <v>0</v>
      </c>
      <c r="BN233" s="51">
        <f t="shared" si="271"/>
        <v>0</v>
      </c>
      <c r="BO233" s="51">
        <f t="shared" si="272"/>
        <v>0</v>
      </c>
      <c r="BP233" s="51">
        <f t="shared" si="273"/>
        <v>0</v>
      </c>
      <c r="BQ233" s="51">
        <f t="shared" si="274"/>
        <v>0</v>
      </c>
      <c r="BR233" s="51">
        <f t="shared" si="275"/>
        <v>0</v>
      </c>
      <c r="BS233" s="51">
        <f t="shared" si="276"/>
        <v>0</v>
      </c>
      <c r="BT233" s="51">
        <f t="shared" si="277"/>
        <v>0</v>
      </c>
      <c r="BU233" s="20">
        <f t="shared" si="278"/>
        <v>4761.4396153846155</v>
      </c>
      <c r="BV233" s="20">
        <f t="shared" si="279"/>
        <v>4761.4396153846164</v>
      </c>
      <c r="BW233" s="20">
        <f t="shared" si="280"/>
        <v>57137.275384615386</v>
      </c>
      <c r="BX233" s="20">
        <f t="shared" si="281"/>
        <v>57137.275384615386</v>
      </c>
      <c r="BY233" s="20">
        <f t="shared" si="282"/>
        <v>57137.275384615394</v>
      </c>
      <c r="BZ233" s="21">
        <f t="shared" si="283"/>
        <v>57137.275384615386</v>
      </c>
      <c r="CA233" s="19">
        <f t="shared" si="297"/>
        <v>1428431.8846153847</v>
      </c>
      <c r="CB233" s="20">
        <f t="shared" si="284"/>
        <v>1428431.8846153847</v>
      </c>
      <c r="CC233" s="20">
        <f t="shared" si="285"/>
        <v>1428431.8846153843</v>
      </c>
      <c r="CD233" s="20">
        <f t="shared" si="298"/>
        <v>0</v>
      </c>
      <c r="CE233" s="20">
        <f t="shared" si="302"/>
        <v>1400000</v>
      </c>
      <c r="CF233" s="20">
        <f t="shared" si="295"/>
        <v>1969145.8495346792</v>
      </c>
      <c r="CG233" s="20">
        <f t="shared" si="286"/>
        <v>78765.833981387172</v>
      </c>
      <c r="CH233" s="20">
        <f t="shared" si="296"/>
        <v>6563.819498448931</v>
      </c>
      <c r="CI233" s="20">
        <f t="shared" si="287"/>
        <v>1958895.7049671302</v>
      </c>
      <c r="CJ233" s="24">
        <f t="shared" si="288"/>
        <v>1.3785367512045459</v>
      </c>
      <c r="CK233" s="24">
        <f t="shared" si="289"/>
        <v>5.2420768614634882E-3</v>
      </c>
      <c r="CL233" s="24">
        <f t="shared" si="290"/>
        <v>1.5806034044887153E-2</v>
      </c>
      <c r="CM233" s="25">
        <f t="shared" si="291"/>
        <v>6.4685570051128155E-2</v>
      </c>
      <c r="CN233" s="17"/>
      <c r="CO233" s="17"/>
      <c r="CP233" s="17"/>
      <c r="CQ233" s="17"/>
      <c r="CR233" s="17"/>
      <c r="CS233" s="17"/>
      <c r="CT233" s="17"/>
      <c r="CU233" s="17"/>
      <c r="CV233" s="17"/>
      <c r="CW233" s="30">
        <v>0</v>
      </c>
      <c r="CX233" s="17"/>
      <c r="CY233" s="17"/>
      <c r="CZ233" s="17"/>
      <c r="DA233" s="17"/>
      <c r="DB233" s="17"/>
    </row>
    <row r="234" spans="1:106" ht="15.75" thickBot="1" x14ac:dyDescent="0.3">
      <c r="A234" s="5">
        <f t="shared" si="299"/>
        <v>43</v>
      </c>
      <c r="B234" s="5">
        <f t="shared" si="299"/>
        <v>41</v>
      </c>
      <c r="C234" s="1"/>
      <c r="D234" s="4"/>
      <c r="E234" s="30"/>
      <c r="F234" s="30"/>
      <c r="G234" s="30">
        <f t="shared" si="262"/>
        <v>0</v>
      </c>
      <c r="H234" s="30"/>
      <c r="I234" s="10">
        <v>0</v>
      </c>
      <c r="J234" s="60">
        <v>9000</v>
      </c>
      <c r="K234" s="11">
        <v>550</v>
      </c>
      <c r="L234" s="60">
        <f t="shared" si="72"/>
        <v>11525.070754281902</v>
      </c>
      <c r="M234" s="11">
        <v>305</v>
      </c>
      <c r="N234" s="60">
        <v>0</v>
      </c>
      <c r="O234" s="11">
        <v>0</v>
      </c>
      <c r="P234" s="11">
        <v>0</v>
      </c>
      <c r="Q234" s="60">
        <f>(Q233*($K$1/12))+Q233 + $Q$8</f>
        <v>287468.6391825662</v>
      </c>
      <c r="R234" s="60">
        <f>(R233*($K$1/12))+R233</f>
        <v>13128.77902393578</v>
      </c>
      <c r="S234" s="60">
        <f>(S233*($K$1/12))+S233</f>
        <v>11398.413927527867</v>
      </c>
      <c r="T234" s="60">
        <f>(T233*($K$1/12))+T233+$T$8</f>
        <v>1091422.4194694492</v>
      </c>
      <c r="U234" s="60">
        <f>(U233*$K$1/12) + U233</f>
        <v>138687.91842079742</v>
      </c>
      <c r="V234" s="60">
        <v>3100</v>
      </c>
      <c r="W234" s="60">
        <f>(W233*($K$1/12))+W233+$W$8</f>
        <v>96266.24707485667</v>
      </c>
      <c r="X234" s="11">
        <v>0</v>
      </c>
      <c r="Y234" s="60">
        <f>(Y233*($K$1/12))+Y233+$Y$8</f>
        <v>341097.63912052591</v>
      </c>
      <c r="Z234" s="60">
        <f>'Mortgage and Loans'!U196</f>
        <v>180000</v>
      </c>
      <c r="AA234" s="12">
        <f t="shared" si="293"/>
        <v>2183950.126973941</v>
      </c>
      <c r="AB234" s="56">
        <f t="shared" si="301"/>
        <v>750</v>
      </c>
      <c r="AC234" s="56">
        <f t="shared" si="301"/>
        <v>750</v>
      </c>
      <c r="AD234" s="56">
        <f t="shared" si="301"/>
        <v>750</v>
      </c>
      <c r="AE234" s="56">
        <f t="shared" si="301"/>
        <v>750</v>
      </c>
      <c r="AF234" s="56">
        <f t="shared" si="300"/>
        <v>261.43961538461548</v>
      </c>
      <c r="AG234" s="56">
        <f t="shared" si="301"/>
        <v>750</v>
      </c>
      <c r="AH234" s="56">
        <f>'Mortgage and Loans'!AF191</f>
        <v>0</v>
      </c>
      <c r="AI234" s="56">
        <f>'Mortgage and Loans'!AQ191</f>
        <v>0</v>
      </c>
      <c r="AJ234" s="56">
        <f>'Mortgage and Loans'!BB191</f>
        <v>0</v>
      </c>
      <c r="AK234" s="56">
        <f>'Mortgage and Loans'!BM191</f>
        <v>0</v>
      </c>
      <c r="AL234" s="56">
        <f>'Mortgage and Loans'!T196</f>
        <v>0</v>
      </c>
      <c r="AM234" s="12">
        <f t="shared" si="12"/>
        <v>-4011.4396153846155</v>
      </c>
      <c r="AN234" s="75">
        <f t="shared" si="85"/>
        <v>2179938.6873585563</v>
      </c>
      <c r="AO234" s="86">
        <f>'Mortgage and Loans'!G197</f>
        <v>0</v>
      </c>
      <c r="AP234" s="79">
        <f>('Salary Tax Breakdown'!B$16/12)-Data!AO234</f>
        <v>3447.5</v>
      </c>
      <c r="AQ234" s="87"/>
      <c r="AR234" s="20">
        <f t="shared" si="263"/>
        <v>4011.4396153846155</v>
      </c>
      <c r="AS234" s="20">
        <v>750</v>
      </c>
      <c r="AT234" s="20">
        <v>0</v>
      </c>
      <c r="AU234" s="20">
        <f t="shared" si="264"/>
        <v>4761.4396153846155</v>
      </c>
      <c r="AV234" s="20">
        <f t="shared" si="265"/>
        <v>4761.4396153846155</v>
      </c>
      <c r="AW234" s="51">
        <f t="shared" si="294"/>
        <v>0</v>
      </c>
      <c r="AX234" s="51">
        <f t="shared" si="14"/>
        <v>0</v>
      </c>
      <c r="AY234" s="51">
        <f t="shared" si="15"/>
        <v>0</v>
      </c>
      <c r="AZ234" s="51">
        <f t="shared" si="16"/>
        <v>0</v>
      </c>
      <c r="BA234" s="51">
        <f t="shared" si="17"/>
        <v>0</v>
      </c>
      <c r="BB234" s="51">
        <f t="shared" si="18"/>
        <v>0</v>
      </c>
      <c r="BC234" s="51">
        <f t="shared" si="19"/>
        <v>0</v>
      </c>
      <c r="BD234" s="51">
        <f t="shared" si="20"/>
        <v>0</v>
      </c>
      <c r="BE234" s="51">
        <f t="shared" si="21"/>
        <v>0</v>
      </c>
      <c r="BF234" s="51">
        <f t="shared" si="22"/>
        <v>0</v>
      </c>
      <c r="BG234" s="51">
        <f t="shared" si="23"/>
        <v>0</v>
      </c>
      <c r="BH234" s="51">
        <f t="shared" si="24"/>
        <v>0</v>
      </c>
      <c r="BI234" s="51">
        <f t="shared" si="266"/>
        <v>0</v>
      </c>
      <c r="BJ234" s="51">
        <f t="shared" si="267"/>
        <v>0</v>
      </c>
      <c r="BK234" s="51">
        <f t="shared" si="268"/>
        <v>0</v>
      </c>
      <c r="BL234" s="51">
        <f t="shared" si="269"/>
        <v>0</v>
      </c>
      <c r="BM234" s="51">
        <f t="shared" si="270"/>
        <v>0</v>
      </c>
      <c r="BN234" s="51">
        <f t="shared" si="271"/>
        <v>0</v>
      </c>
      <c r="BO234" s="51">
        <f t="shared" si="272"/>
        <v>0</v>
      </c>
      <c r="BP234" s="51">
        <f t="shared" si="273"/>
        <v>0</v>
      </c>
      <c r="BQ234" s="51">
        <f t="shared" si="274"/>
        <v>0</v>
      </c>
      <c r="BR234" s="51">
        <f t="shared" si="275"/>
        <v>0</v>
      </c>
      <c r="BS234" s="51">
        <f t="shared" si="276"/>
        <v>0</v>
      </c>
      <c r="BT234" s="51">
        <f t="shared" si="277"/>
        <v>0</v>
      </c>
      <c r="BU234" s="20">
        <f t="shared" si="278"/>
        <v>4761.4396153846155</v>
      </c>
      <c r="BV234" s="20">
        <f t="shared" si="279"/>
        <v>4761.4396153846164</v>
      </c>
      <c r="BW234" s="20">
        <f t="shared" si="280"/>
        <v>57137.275384615386</v>
      </c>
      <c r="BX234" s="20">
        <f t="shared" si="281"/>
        <v>57137.275384615386</v>
      </c>
      <c r="BY234" s="20">
        <f t="shared" si="282"/>
        <v>57137.275384615394</v>
      </c>
      <c r="BZ234" s="21">
        <f t="shared" si="283"/>
        <v>57137.275384615386</v>
      </c>
      <c r="CA234" s="19">
        <f t="shared" si="297"/>
        <v>1428431.8846153847</v>
      </c>
      <c r="CB234" s="20">
        <f t="shared" si="284"/>
        <v>1428431.8846153847</v>
      </c>
      <c r="CC234" s="20">
        <f t="shared" si="285"/>
        <v>1428431.8846153843</v>
      </c>
      <c r="CD234" s="20">
        <f t="shared" si="298"/>
        <v>0</v>
      </c>
      <c r="CE234" s="20">
        <f t="shared" si="302"/>
        <v>1400000</v>
      </c>
      <c r="CF234" s="20">
        <f t="shared" si="295"/>
        <v>1979470.056219659</v>
      </c>
      <c r="CG234" s="20">
        <f t="shared" si="286"/>
        <v>79178.802248786364</v>
      </c>
      <c r="CH234" s="20">
        <f t="shared" si="296"/>
        <v>6598.2335207321967</v>
      </c>
      <c r="CI234" s="20">
        <f t="shared" si="287"/>
        <v>1969164.3900357021</v>
      </c>
      <c r="CJ234" s="24">
        <f t="shared" si="288"/>
        <v>1.3857644018865101</v>
      </c>
      <c r="CK234" s="24">
        <f t="shared" si="289"/>
        <v>5.242987302042413E-3</v>
      </c>
      <c r="CL234" s="24">
        <f t="shared" si="290"/>
        <v>1.5808808080657735E-2</v>
      </c>
      <c r="CM234" s="25">
        <f t="shared" si="291"/>
        <v>6.46974690603484E-2</v>
      </c>
      <c r="CN234" s="17"/>
      <c r="CO234" s="17"/>
      <c r="CP234" s="17"/>
      <c r="CQ234" s="17"/>
      <c r="CR234" s="17"/>
      <c r="CS234" s="17"/>
      <c r="CT234" s="17"/>
      <c r="CU234" s="17"/>
      <c r="CV234" s="17"/>
      <c r="CW234" s="30">
        <v>0</v>
      </c>
      <c r="CX234" s="17"/>
      <c r="CY234" s="17"/>
      <c r="CZ234" s="17"/>
      <c r="DA234" s="17"/>
      <c r="DB234" s="17"/>
    </row>
    <row r="235" spans="1:106" ht="15.75" thickBot="1" x14ac:dyDescent="0.3">
      <c r="A235" s="5">
        <f t="shared" si="299"/>
        <v>43</v>
      </c>
      <c r="B235" s="5">
        <f t="shared" si="299"/>
        <v>41</v>
      </c>
      <c r="C235" s="1"/>
      <c r="D235" s="4"/>
      <c r="E235" s="30"/>
      <c r="F235" s="30"/>
      <c r="G235" s="30">
        <f t="shared" si="262"/>
        <v>0</v>
      </c>
      <c r="H235" s="30"/>
      <c r="I235" s="10">
        <v>0</v>
      </c>
      <c r="J235" s="60">
        <v>9000</v>
      </c>
      <c r="K235" s="11">
        <v>550</v>
      </c>
      <c r="L235" s="60">
        <f t="shared" si="72"/>
        <v>11538.996881443325</v>
      </c>
      <c r="M235" s="11">
        <v>305</v>
      </c>
      <c r="N235" s="60">
        <v>0</v>
      </c>
      <c r="O235" s="11">
        <v>0</v>
      </c>
      <c r="P235" s="11">
        <v>0</v>
      </c>
      <c r="Q235" s="60">
        <f>(Q234*($K$1/12))+Q234 + $Q$8</f>
        <v>289483.76097813842</v>
      </c>
      <c r="R235" s="60">
        <f>(R234*($K$1/12))+R234</f>
        <v>13199.893243648765</v>
      </c>
      <c r="S235" s="60">
        <f>(S234*($K$1/12))+S234</f>
        <v>11460.155336301976</v>
      </c>
      <c r="T235" s="60">
        <f>(T234*($K$1/12))+T234+$T$8</f>
        <v>1098834.2909082421</v>
      </c>
      <c r="U235" s="60">
        <f>(U234*$K$1/12) + U234</f>
        <v>139439.14464557674</v>
      </c>
      <c r="V235" s="60">
        <v>3100</v>
      </c>
      <c r="W235" s="60">
        <f>(W234*($K$1/12))+W234+$W$8</f>
        <v>96787.689246512149</v>
      </c>
      <c r="X235" s="11">
        <v>0</v>
      </c>
      <c r="Y235" s="60">
        <f>(Y234*($K$1/12))+Y234+$Y$8</f>
        <v>340645.25133242877</v>
      </c>
      <c r="Z235" s="60">
        <f>'Mortgage and Loans'!U197</f>
        <v>180000</v>
      </c>
      <c r="AA235" s="12">
        <f t="shared" si="293"/>
        <v>2194344.1825722922</v>
      </c>
      <c r="AB235" s="56">
        <f t="shared" si="301"/>
        <v>750</v>
      </c>
      <c r="AC235" s="56">
        <f t="shared" si="301"/>
        <v>750</v>
      </c>
      <c r="AD235" s="56">
        <f t="shared" si="301"/>
        <v>750</v>
      </c>
      <c r="AE235" s="56">
        <f t="shared" si="301"/>
        <v>750</v>
      </c>
      <c r="AF235" s="56">
        <f t="shared" si="300"/>
        <v>261.43961538461548</v>
      </c>
      <c r="AG235" s="56">
        <f t="shared" si="301"/>
        <v>750</v>
      </c>
      <c r="AH235" s="56">
        <f>'Mortgage and Loans'!AF192</f>
        <v>0</v>
      </c>
      <c r="AI235" s="56">
        <f>'Mortgage and Loans'!AQ192</f>
        <v>0</v>
      </c>
      <c r="AJ235" s="56">
        <f>'Mortgage and Loans'!BB192</f>
        <v>0</v>
      </c>
      <c r="AK235" s="56">
        <f>'Mortgage and Loans'!BM192</f>
        <v>0</v>
      </c>
      <c r="AL235" s="56">
        <f>'Mortgage and Loans'!T197</f>
        <v>0</v>
      </c>
      <c r="AM235" s="12">
        <f t="shared" si="12"/>
        <v>-4011.4396153846155</v>
      </c>
      <c r="AN235" s="75">
        <f t="shared" si="85"/>
        <v>2190332.7429569075</v>
      </c>
      <c r="AO235" s="86">
        <f>'Mortgage and Loans'!G198</f>
        <v>0</v>
      </c>
      <c r="AP235" s="79">
        <f>('Salary Tax Breakdown'!B$16/12)-Data!AO235</f>
        <v>3447.5</v>
      </c>
      <c r="AQ235" s="87"/>
      <c r="AR235" s="20">
        <f t="shared" si="263"/>
        <v>4011.4396153846155</v>
      </c>
      <c r="AS235" s="20">
        <v>750</v>
      </c>
      <c r="AT235" s="20">
        <v>0</v>
      </c>
      <c r="AU235" s="20">
        <f t="shared" si="264"/>
        <v>4761.4396153846155</v>
      </c>
      <c r="AV235" s="20">
        <f t="shared" si="265"/>
        <v>4761.4396153846155</v>
      </c>
      <c r="AW235" s="51">
        <f t="shared" si="294"/>
        <v>0</v>
      </c>
      <c r="AX235" s="51">
        <f t="shared" si="14"/>
        <v>0</v>
      </c>
      <c r="AY235" s="51">
        <f t="shared" si="15"/>
        <v>0</v>
      </c>
      <c r="AZ235" s="51">
        <f t="shared" si="16"/>
        <v>0</v>
      </c>
      <c r="BA235" s="51">
        <f t="shared" si="17"/>
        <v>0</v>
      </c>
      <c r="BB235" s="51">
        <f t="shared" si="18"/>
        <v>0</v>
      </c>
      <c r="BC235" s="51">
        <f t="shared" si="19"/>
        <v>0</v>
      </c>
      <c r="BD235" s="51">
        <f t="shared" si="20"/>
        <v>0</v>
      </c>
      <c r="BE235" s="51">
        <f t="shared" si="21"/>
        <v>0</v>
      </c>
      <c r="BF235" s="51">
        <f t="shared" si="22"/>
        <v>0</v>
      </c>
      <c r="BG235" s="51">
        <f t="shared" si="23"/>
        <v>0</v>
      </c>
      <c r="BH235" s="51">
        <f t="shared" si="24"/>
        <v>0</v>
      </c>
      <c r="BI235" s="51">
        <f t="shared" si="266"/>
        <v>0</v>
      </c>
      <c r="BJ235" s="51">
        <f t="shared" si="267"/>
        <v>0</v>
      </c>
      <c r="BK235" s="51">
        <f t="shared" si="268"/>
        <v>0</v>
      </c>
      <c r="BL235" s="51">
        <f t="shared" si="269"/>
        <v>0</v>
      </c>
      <c r="BM235" s="51">
        <f t="shared" si="270"/>
        <v>0</v>
      </c>
      <c r="BN235" s="51">
        <f t="shared" si="271"/>
        <v>0</v>
      </c>
      <c r="BO235" s="51">
        <f t="shared" si="272"/>
        <v>0</v>
      </c>
      <c r="BP235" s="51">
        <f t="shared" si="273"/>
        <v>0</v>
      </c>
      <c r="BQ235" s="51">
        <f t="shared" si="274"/>
        <v>0</v>
      </c>
      <c r="BR235" s="51">
        <f t="shared" si="275"/>
        <v>0</v>
      </c>
      <c r="BS235" s="51">
        <f t="shared" si="276"/>
        <v>0</v>
      </c>
      <c r="BT235" s="51">
        <f t="shared" si="277"/>
        <v>0</v>
      </c>
      <c r="BU235" s="20">
        <f t="shared" si="278"/>
        <v>4761.4396153846155</v>
      </c>
      <c r="BV235" s="20">
        <f t="shared" si="279"/>
        <v>4761.4396153846164</v>
      </c>
      <c r="BW235" s="20">
        <f t="shared" si="280"/>
        <v>57137.275384615386</v>
      </c>
      <c r="BX235" s="20">
        <f t="shared" si="281"/>
        <v>57137.275384615386</v>
      </c>
      <c r="BY235" s="20">
        <f t="shared" si="282"/>
        <v>57137.275384615394</v>
      </c>
      <c r="BZ235" s="21">
        <f t="shared" si="283"/>
        <v>57137.275384615386</v>
      </c>
      <c r="CA235" s="19">
        <f t="shared" si="297"/>
        <v>1428431.8846153847</v>
      </c>
      <c r="CB235" s="20">
        <f t="shared" si="284"/>
        <v>1428431.8846153847</v>
      </c>
      <c r="CC235" s="20">
        <f t="shared" si="285"/>
        <v>1428431.8846153843</v>
      </c>
      <c r="CD235" s="20">
        <f t="shared" si="298"/>
        <v>0</v>
      </c>
      <c r="CE235" s="20">
        <f t="shared" si="302"/>
        <v>1400000</v>
      </c>
      <c r="CF235" s="20">
        <f t="shared" si="295"/>
        <v>1989850.1856908491</v>
      </c>
      <c r="CG235" s="20">
        <f t="shared" si="286"/>
        <v>79594.007427633958</v>
      </c>
      <c r="CH235" s="20">
        <f t="shared" si="296"/>
        <v>6632.8339523028299</v>
      </c>
      <c r="CI235" s="20">
        <f t="shared" si="287"/>
        <v>1979488.6971483957</v>
      </c>
      <c r="CJ235" s="24">
        <f t="shared" si="288"/>
        <v>1.3930312023430016</v>
      </c>
      <c r="CK235" s="24">
        <f t="shared" si="289"/>
        <v>5.2438931513890865E-3</v>
      </c>
      <c r="CL235" s="24">
        <f t="shared" si="290"/>
        <v>1.5811568137381066E-2</v>
      </c>
      <c r="CM235" s="25">
        <f t="shared" si="291"/>
        <v>6.4709308307004221E-2</v>
      </c>
      <c r="CN235" s="17"/>
      <c r="CO235" s="17"/>
      <c r="CP235" s="17"/>
      <c r="CQ235" s="17"/>
      <c r="CR235" s="17"/>
      <c r="CS235" s="17"/>
      <c r="CT235" s="17"/>
      <c r="CU235" s="17"/>
      <c r="CV235" s="17"/>
      <c r="CW235" s="30">
        <v>0</v>
      </c>
      <c r="CX235" s="17"/>
      <c r="CY235" s="17"/>
      <c r="CZ235" s="17"/>
      <c r="DA235" s="17"/>
      <c r="DB235" s="17"/>
    </row>
    <row r="236" spans="1:106" ht="15.75" thickBot="1" x14ac:dyDescent="0.3">
      <c r="A236" s="5">
        <f t="shared" si="299"/>
        <v>43</v>
      </c>
      <c r="B236" s="5">
        <f t="shared" si="299"/>
        <v>41</v>
      </c>
      <c r="C236" s="1"/>
      <c r="D236" s="4"/>
      <c r="E236" s="30"/>
      <c r="F236" s="30"/>
      <c r="G236" s="30">
        <f t="shared" si="262"/>
        <v>0</v>
      </c>
      <c r="H236" s="30"/>
      <c r="I236" s="10">
        <v>0</v>
      </c>
      <c r="J236" s="60">
        <v>9000</v>
      </c>
      <c r="K236" s="11">
        <v>550</v>
      </c>
      <c r="L236" s="60">
        <f t="shared" si="72"/>
        <v>11552.939836008401</v>
      </c>
      <c r="M236" s="11">
        <v>305</v>
      </c>
      <c r="N236" s="60">
        <v>0</v>
      </c>
      <c r="O236" s="11">
        <v>0</v>
      </c>
      <c r="P236" s="11">
        <v>0</v>
      </c>
      <c r="Q236" s="60">
        <f>(Q235*($K$1/12))+Q235 + $Q$8</f>
        <v>291509.79801676999</v>
      </c>
      <c r="R236" s="60">
        <f>(R235*($K$1/12))+R235</f>
        <v>13271.392665385196</v>
      </c>
      <c r="S236" s="60">
        <f>(S235*($K$1/12))+S235</f>
        <v>11522.231177706944</v>
      </c>
      <c r="T236" s="60">
        <f>(T235*($K$1/12))+T235+$T$8</f>
        <v>1106286.309983995</v>
      </c>
      <c r="U236" s="60">
        <f>(U235*$K$1/12) + U235</f>
        <v>140194.44001240697</v>
      </c>
      <c r="V236" s="60">
        <v>3100</v>
      </c>
      <c r="W236" s="60">
        <f>(W235*($K$1/12))+W235+$W$8</f>
        <v>97311.955896597428</v>
      </c>
      <c r="X236" s="11">
        <v>0</v>
      </c>
      <c r="Y236" s="60">
        <f>(Y235*($K$1/12))+Y235+$Y$8</f>
        <v>340190.41311047942</v>
      </c>
      <c r="Z236" s="60">
        <f>'Mortgage and Loans'!U198</f>
        <v>180000</v>
      </c>
      <c r="AA236" s="12">
        <f t="shared" si="293"/>
        <v>2204794.4806993492</v>
      </c>
      <c r="AB236" s="56">
        <f t="shared" si="301"/>
        <v>750</v>
      </c>
      <c r="AC236" s="56">
        <f t="shared" si="301"/>
        <v>750</v>
      </c>
      <c r="AD236" s="56">
        <f t="shared" si="301"/>
        <v>750</v>
      </c>
      <c r="AE236" s="56">
        <f t="shared" si="301"/>
        <v>750</v>
      </c>
      <c r="AF236" s="56">
        <f t="shared" si="300"/>
        <v>261.43961538461548</v>
      </c>
      <c r="AG236" s="56">
        <f t="shared" si="301"/>
        <v>750</v>
      </c>
      <c r="AH236" s="56">
        <f>'Mortgage and Loans'!AF193</f>
        <v>0</v>
      </c>
      <c r="AI236" s="56">
        <f>'Mortgage and Loans'!AQ193</f>
        <v>0</v>
      </c>
      <c r="AJ236" s="56">
        <f>'Mortgage and Loans'!BB193</f>
        <v>0</v>
      </c>
      <c r="AK236" s="56">
        <f>'Mortgage and Loans'!BM193</f>
        <v>0</v>
      </c>
      <c r="AL236" s="56">
        <f>'Mortgage and Loans'!T198</f>
        <v>0</v>
      </c>
      <c r="AM236" s="12">
        <f t="shared" si="12"/>
        <v>-4011.4396153846155</v>
      </c>
      <c r="AN236" s="75">
        <f t="shared" si="85"/>
        <v>2200783.0410839645</v>
      </c>
      <c r="AO236" s="86">
        <f>'Mortgage and Loans'!G199</f>
        <v>0</v>
      </c>
      <c r="AP236" s="79">
        <f>('Salary Tax Breakdown'!B$16/12)-Data!AO236</f>
        <v>3447.5</v>
      </c>
      <c r="AQ236" s="87"/>
      <c r="AR236" s="20">
        <f t="shared" si="263"/>
        <v>4011.4396153846155</v>
      </c>
      <c r="AS236" s="20">
        <v>750</v>
      </c>
      <c r="AT236" s="20">
        <v>0</v>
      </c>
      <c r="AU236" s="20">
        <f t="shared" si="264"/>
        <v>4761.4396153846155</v>
      </c>
      <c r="AV236" s="20">
        <f t="shared" si="265"/>
        <v>4761.4396153846155</v>
      </c>
      <c r="AW236" s="51">
        <f t="shared" si="294"/>
        <v>0</v>
      </c>
      <c r="AX236" s="51">
        <f t="shared" si="14"/>
        <v>0</v>
      </c>
      <c r="AY236" s="51">
        <f t="shared" si="15"/>
        <v>0</v>
      </c>
      <c r="AZ236" s="51">
        <f t="shared" si="16"/>
        <v>0</v>
      </c>
      <c r="BA236" s="51">
        <f t="shared" si="17"/>
        <v>0</v>
      </c>
      <c r="BB236" s="51">
        <f t="shared" si="18"/>
        <v>0</v>
      </c>
      <c r="BC236" s="51">
        <f t="shared" si="19"/>
        <v>0</v>
      </c>
      <c r="BD236" s="51">
        <f t="shared" si="20"/>
        <v>0</v>
      </c>
      <c r="BE236" s="51">
        <f t="shared" si="21"/>
        <v>0</v>
      </c>
      <c r="BF236" s="51">
        <f t="shared" si="22"/>
        <v>0</v>
      </c>
      <c r="BG236" s="51">
        <f t="shared" si="23"/>
        <v>0</v>
      </c>
      <c r="BH236" s="51">
        <f t="shared" si="24"/>
        <v>0</v>
      </c>
      <c r="BI236" s="51">
        <f t="shared" si="266"/>
        <v>0</v>
      </c>
      <c r="BJ236" s="51">
        <f t="shared" si="267"/>
        <v>0</v>
      </c>
      <c r="BK236" s="51">
        <f t="shared" si="268"/>
        <v>0</v>
      </c>
      <c r="BL236" s="51">
        <f t="shared" si="269"/>
        <v>0</v>
      </c>
      <c r="BM236" s="51">
        <f t="shared" si="270"/>
        <v>0</v>
      </c>
      <c r="BN236" s="51">
        <f t="shared" si="271"/>
        <v>0</v>
      </c>
      <c r="BO236" s="51">
        <f t="shared" si="272"/>
        <v>0</v>
      </c>
      <c r="BP236" s="51">
        <f t="shared" si="273"/>
        <v>0</v>
      </c>
      <c r="BQ236" s="51">
        <f t="shared" si="274"/>
        <v>0</v>
      </c>
      <c r="BR236" s="51">
        <f t="shared" si="275"/>
        <v>0</v>
      </c>
      <c r="BS236" s="51">
        <f t="shared" si="276"/>
        <v>0</v>
      </c>
      <c r="BT236" s="51">
        <f t="shared" si="277"/>
        <v>0</v>
      </c>
      <c r="BU236" s="20">
        <f t="shared" si="278"/>
        <v>4761.4396153846155</v>
      </c>
      <c r="BV236" s="20">
        <f t="shared" si="279"/>
        <v>4761.4396153846164</v>
      </c>
      <c r="BW236" s="20">
        <f t="shared" si="280"/>
        <v>57137.275384615386</v>
      </c>
      <c r="BX236" s="20">
        <f t="shared" si="281"/>
        <v>57137.275384615386</v>
      </c>
      <c r="BY236" s="20">
        <f t="shared" si="282"/>
        <v>57137.275384615394</v>
      </c>
      <c r="BZ236" s="21">
        <f t="shared" si="283"/>
        <v>57137.275384615386</v>
      </c>
      <c r="CA236" s="19">
        <f t="shared" si="297"/>
        <v>1428431.8846153847</v>
      </c>
      <c r="CB236" s="20">
        <f t="shared" si="284"/>
        <v>1428431.8846153847</v>
      </c>
      <c r="CC236" s="20">
        <f t="shared" si="285"/>
        <v>1428431.8846153843</v>
      </c>
      <c r="CD236" s="20">
        <f t="shared" si="298"/>
        <v>0</v>
      </c>
      <c r="CE236" s="20">
        <f t="shared" si="302"/>
        <v>1400000</v>
      </c>
      <c r="CF236" s="20">
        <f t="shared" si="295"/>
        <v>2000286.540863341</v>
      </c>
      <c r="CG236" s="20">
        <f t="shared" si="286"/>
        <v>80011.46163453364</v>
      </c>
      <c r="CH236" s="20">
        <f t="shared" si="296"/>
        <v>6667.621802877803</v>
      </c>
      <c r="CI236" s="20">
        <f t="shared" si="287"/>
        <v>1989868.9275912829</v>
      </c>
      <c r="CJ236" s="24">
        <f t="shared" si="288"/>
        <v>1.4003373646352988</v>
      </c>
      <c r="CK236" s="24">
        <f t="shared" si="289"/>
        <v>5.2447944310282353E-3</v>
      </c>
      <c r="CL236" s="24">
        <f t="shared" si="290"/>
        <v>1.5814314280488913E-2</v>
      </c>
      <c r="CM236" s="25">
        <f t="shared" si="291"/>
        <v>6.4721088068752888E-2</v>
      </c>
      <c r="CN236" s="17"/>
      <c r="CO236" s="17"/>
      <c r="CP236" s="17"/>
      <c r="CQ236" s="17"/>
      <c r="CR236" s="17"/>
      <c r="CS236" s="17"/>
      <c r="CT236" s="17"/>
      <c r="CU236" s="17"/>
      <c r="CV236" s="17"/>
      <c r="CW236" s="30">
        <v>0</v>
      </c>
      <c r="CX236" s="17"/>
      <c r="CY236" s="17"/>
      <c r="CZ236" s="17"/>
      <c r="DA236" s="17"/>
      <c r="DB236" s="17"/>
    </row>
    <row r="237" spans="1:106" ht="15.75" thickBot="1" x14ac:dyDescent="0.3">
      <c r="A237" s="5">
        <f t="shared" si="299"/>
        <v>43</v>
      </c>
      <c r="B237" s="5">
        <f t="shared" si="299"/>
        <v>41</v>
      </c>
      <c r="C237" s="1"/>
      <c r="D237" s="4"/>
      <c r="E237" s="30"/>
      <c r="F237" s="30"/>
      <c r="G237" s="30">
        <f t="shared" si="262"/>
        <v>0</v>
      </c>
      <c r="H237" s="30"/>
      <c r="I237" s="10">
        <v>0</v>
      </c>
      <c r="J237" s="60">
        <v>9000</v>
      </c>
      <c r="K237" s="11">
        <v>550</v>
      </c>
      <c r="L237" s="60">
        <f t="shared" si="72"/>
        <v>11566.899638310244</v>
      </c>
      <c r="M237" s="11">
        <v>305</v>
      </c>
      <c r="N237" s="60">
        <v>0</v>
      </c>
      <c r="O237" s="11">
        <v>0</v>
      </c>
      <c r="P237" s="11">
        <v>0</v>
      </c>
      <c r="Q237" s="60">
        <f>(Q236*($K$1/12))+Q236 + $Q$8</f>
        <v>293546.80942269415</v>
      </c>
      <c r="R237" s="60">
        <f>(R236*($K$1/12))+R236</f>
        <v>13343.279375656033</v>
      </c>
      <c r="S237" s="60">
        <f>(S236*($K$1/12))+S236</f>
        <v>11584.643263252858</v>
      </c>
      <c r="T237" s="60">
        <f>(T236*($K$1/12))+T236+$T$8</f>
        <v>1113778.6941630749</v>
      </c>
      <c r="U237" s="60">
        <f>(U236*$K$1/12) + U236</f>
        <v>140953.82656247416</v>
      </c>
      <c r="V237" s="60">
        <v>3100</v>
      </c>
      <c r="W237" s="60">
        <f>(W236*($K$1/12))+W236+$W$8</f>
        <v>97839.062324370665</v>
      </c>
      <c r="X237" s="11">
        <v>0</v>
      </c>
      <c r="Y237" s="60">
        <f>(Y236*($K$1/12))+Y236+$Y$8</f>
        <v>339733.11118149455</v>
      </c>
      <c r="Z237" s="60">
        <f>'Mortgage and Loans'!U199</f>
        <v>180000</v>
      </c>
      <c r="AA237" s="12">
        <f t="shared" si="293"/>
        <v>2215301.3259313279</v>
      </c>
      <c r="AB237" s="56">
        <f t="shared" si="301"/>
        <v>750</v>
      </c>
      <c r="AC237" s="56">
        <f t="shared" si="301"/>
        <v>750</v>
      </c>
      <c r="AD237" s="56">
        <f t="shared" si="301"/>
        <v>750</v>
      </c>
      <c r="AE237" s="56">
        <f t="shared" si="301"/>
        <v>750</v>
      </c>
      <c r="AF237" s="56">
        <f t="shared" si="300"/>
        <v>261.43961538461554</v>
      </c>
      <c r="AG237" s="56">
        <f t="shared" si="301"/>
        <v>750</v>
      </c>
      <c r="AH237" s="56">
        <f>'Mortgage and Loans'!AF194</f>
        <v>0</v>
      </c>
      <c r="AI237" s="56">
        <f>'Mortgage and Loans'!AQ194</f>
        <v>0</v>
      </c>
      <c r="AJ237" s="56">
        <f>'Mortgage and Loans'!BB194</f>
        <v>0</v>
      </c>
      <c r="AK237" s="56">
        <f>'Mortgage and Loans'!BM194</f>
        <v>0</v>
      </c>
      <c r="AL237" s="56">
        <f>'Mortgage and Loans'!T199</f>
        <v>0</v>
      </c>
      <c r="AM237" s="12">
        <f t="shared" si="12"/>
        <v>-4011.4396153846155</v>
      </c>
      <c r="AN237" s="75">
        <f t="shared" si="85"/>
        <v>2211289.8863159432</v>
      </c>
      <c r="AO237" s="86">
        <f>'Mortgage and Loans'!G200</f>
        <v>0</v>
      </c>
      <c r="AP237" s="79">
        <f>('Salary Tax Breakdown'!B$16/12)-Data!AO237</f>
        <v>3447.5</v>
      </c>
      <c r="AQ237" s="87"/>
      <c r="AR237" s="20">
        <f t="shared" si="263"/>
        <v>4011.4396153846155</v>
      </c>
      <c r="AS237" s="20">
        <v>750</v>
      </c>
      <c r="AT237" s="20">
        <v>0</v>
      </c>
      <c r="AU237" s="20">
        <f t="shared" si="264"/>
        <v>4761.4396153846155</v>
      </c>
      <c r="AV237" s="20">
        <f t="shared" si="265"/>
        <v>4761.4396153846155</v>
      </c>
      <c r="AW237" s="51">
        <f t="shared" si="294"/>
        <v>0</v>
      </c>
      <c r="AX237" s="51">
        <f t="shared" si="14"/>
        <v>0</v>
      </c>
      <c r="AY237" s="51">
        <f t="shared" si="15"/>
        <v>0</v>
      </c>
      <c r="AZ237" s="51">
        <f t="shared" si="16"/>
        <v>0</v>
      </c>
      <c r="BA237" s="51">
        <f t="shared" si="17"/>
        <v>0</v>
      </c>
      <c r="BB237" s="51">
        <f t="shared" si="18"/>
        <v>0</v>
      </c>
      <c r="BC237" s="51">
        <f t="shared" si="19"/>
        <v>0</v>
      </c>
      <c r="BD237" s="51">
        <f t="shared" si="20"/>
        <v>0</v>
      </c>
      <c r="BE237" s="51">
        <f t="shared" si="21"/>
        <v>0</v>
      </c>
      <c r="BF237" s="51">
        <f t="shared" si="22"/>
        <v>0</v>
      </c>
      <c r="BG237" s="51">
        <f t="shared" si="23"/>
        <v>0</v>
      </c>
      <c r="BH237" s="51">
        <f t="shared" si="24"/>
        <v>0</v>
      </c>
      <c r="BI237" s="51">
        <f t="shared" si="266"/>
        <v>0</v>
      </c>
      <c r="BJ237" s="51">
        <f t="shared" si="267"/>
        <v>0</v>
      </c>
      <c r="BK237" s="51">
        <f t="shared" si="268"/>
        <v>0</v>
      </c>
      <c r="BL237" s="51">
        <f t="shared" si="269"/>
        <v>0</v>
      </c>
      <c r="BM237" s="51">
        <f t="shared" si="270"/>
        <v>0</v>
      </c>
      <c r="BN237" s="51">
        <f t="shared" si="271"/>
        <v>0</v>
      </c>
      <c r="BO237" s="51">
        <f t="shared" si="272"/>
        <v>0</v>
      </c>
      <c r="BP237" s="51">
        <f t="shared" si="273"/>
        <v>0</v>
      </c>
      <c r="BQ237" s="51">
        <f t="shared" si="274"/>
        <v>0</v>
      </c>
      <c r="BR237" s="51">
        <f t="shared" si="275"/>
        <v>0</v>
      </c>
      <c r="BS237" s="51">
        <f t="shared" si="276"/>
        <v>0</v>
      </c>
      <c r="BT237" s="51">
        <f t="shared" si="277"/>
        <v>0</v>
      </c>
      <c r="BU237" s="20">
        <f t="shared" si="278"/>
        <v>4761.4396153846155</v>
      </c>
      <c r="BV237" s="20">
        <f t="shared" si="279"/>
        <v>4761.4396153846164</v>
      </c>
      <c r="BW237" s="20">
        <f t="shared" si="280"/>
        <v>57137.275384615386</v>
      </c>
      <c r="BX237" s="20">
        <f t="shared" si="281"/>
        <v>57137.275384615386</v>
      </c>
      <c r="BY237" s="20">
        <f t="shared" si="282"/>
        <v>57137.275384615394</v>
      </c>
      <c r="BZ237" s="21">
        <f t="shared" si="283"/>
        <v>57137.275384615386</v>
      </c>
      <c r="CA237" s="19">
        <f t="shared" si="297"/>
        <v>1428431.8846153847</v>
      </c>
      <c r="CB237" s="20">
        <f t="shared" si="284"/>
        <v>1428431.8846153847</v>
      </c>
      <c r="CC237" s="20">
        <f t="shared" si="285"/>
        <v>1428431.8846153843</v>
      </c>
      <c r="CD237" s="20">
        <f t="shared" si="298"/>
        <v>0</v>
      </c>
      <c r="CE237" s="20">
        <f t="shared" si="302"/>
        <v>1400000</v>
      </c>
      <c r="CF237" s="20">
        <f t="shared" si="295"/>
        <v>2010779.4262930176</v>
      </c>
      <c r="CG237" s="20">
        <f t="shared" si="286"/>
        <v>80431.177051720704</v>
      </c>
      <c r="CH237" s="20">
        <f t="shared" si="296"/>
        <v>6702.5980876433923</v>
      </c>
      <c r="CI237" s="20">
        <f t="shared" si="287"/>
        <v>2000305.3842824025</v>
      </c>
      <c r="CJ237" s="24">
        <f t="shared" si="288"/>
        <v>1.407683101973346</v>
      </c>
      <c r="CK237" s="24">
        <f t="shared" si="289"/>
        <v>5.2456911624010642E-3</v>
      </c>
      <c r="CL237" s="24">
        <f t="shared" si="290"/>
        <v>1.5817046575158786E-2</v>
      </c>
      <c r="CM237" s="25">
        <f t="shared" si="291"/>
        <v>6.4732808622196866E-2</v>
      </c>
      <c r="CN237" s="17"/>
      <c r="CO237" s="17"/>
      <c r="CP237" s="17"/>
      <c r="CQ237" s="17"/>
      <c r="CR237" s="17"/>
      <c r="CS237" s="17"/>
      <c r="CT237" s="17"/>
      <c r="CU237" s="17"/>
      <c r="CV237" s="17"/>
      <c r="CW237" s="30">
        <v>0</v>
      </c>
      <c r="CX237" s="17"/>
      <c r="CY237" s="17"/>
      <c r="CZ237" s="17"/>
      <c r="DA237" s="17"/>
      <c r="DB237" s="17"/>
    </row>
    <row r="238" spans="1:106" ht="15.75" thickBot="1" x14ac:dyDescent="0.3">
      <c r="A238" s="5">
        <f t="shared" si="299"/>
        <v>43</v>
      </c>
      <c r="B238" s="5">
        <f t="shared" si="299"/>
        <v>41</v>
      </c>
      <c r="C238" s="1"/>
      <c r="D238" s="4"/>
      <c r="E238" s="30"/>
      <c r="F238" s="30"/>
      <c r="G238" s="30">
        <f t="shared" si="262"/>
        <v>0</v>
      </c>
      <c r="H238" s="30"/>
      <c r="I238" s="10">
        <v>0</v>
      </c>
      <c r="J238" s="60">
        <v>9000</v>
      </c>
      <c r="K238" s="11">
        <v>550</v>
      </c>
      <c r="L238" s="60">
        <f t="shared" si="72"/>
        <v>11580.876308706534</v>
      </c>
      <c r="M238" s="11">
        <v>305</v>
      </c>
      <c r="N238" s="60">
        <v>0</v>
      </c>
      <c r="O238" s="11">
        <v>0</v>
      </c>
      <c r="P238" s="11">
        <v>0</v>
      </c>
      <c r="Q238" s="60">
        <f>(Q237*($K$1/12))+Q237 + $Q$8</f>
        <v>295594.85464040039</v>
      </c>
      <c r="R238" s="60">
        <f>(R237*($K$1/12))+R237</f>
        <v>13415.555472274171</v>
      </c>
      <c r="S238" s="60">
        <f>(S237*($K$1/12))+S237</f>
        <v>11647.393414262144</v>
      </c>
      <c r="T238" s="60">
        <f>(T237*($K$1/12))+T237+$T$8</f>
        <v>1121311.6620897916</v>
      </c>
      <c r="U238" s="60">
        <f>(U237*$K$1/12) + U237</f>
        <v>141717.32645635423</v>
      </c>
      <c r="V238" s="60">
        <v>3100</v>
      </c>
      <c r="W238" s="60">
        <f>(W237*($K$1/12))+W237+$W$8</f>
        <v>98369.023911961005</v>
      </c>
      <c r="X238" s="11">
        <v>0</v>
      </c>
      <c r="Y238" s="60">
        <f>(Y237*($K$1/12))+Y237+$Y$8</f>
        <v>339273.3322003943</v>
      </c>
      <c r="Z238" s="60">
        <f>'Mortgage and Loans'!U200</f>
        <v>180000</v>
      </c>
      <c r="AA238" s="12">
        <f t="shared" si="293"/>
        <v>2225865.0244941441</v>
      </c>
      <c r="AB238" s="56">
        <f t="shared" si="301"/>
        <v>750</v>
      </c>
      <c r="AC238" s="56">
        <f t="shared" si="301"/>
        <v>750</v>
      </c>
      <c r="AD238" s="56">
        <f t="shared" si="301"/>
        <v>750</v>
      </c>
      <c r="AE238" s="56">
        <f t="shared" si="301"/>
        <v>750</v>
      </c>
      <c r="AF238" s="56">
        <f t="shared" si="300"/>
        <v>261.43961538461554</v>
      </c>
      <c r="AG238" s="56">
        <f t="shared" si="301"/>
        <v>750</v>
      </c>
      <c r="AH238" s="56">
        <f>'Mortgage and Loans'!AF195</f>
        <v>0</v>
      </c>
      <c r="AI238" s="56">
        <f>'Mortgage and Loans'!AQ195</f>
        <v>0</v>
      </c>
      <c r="AJ238" s="56">
        <f>'Mortgage and Loans'!BB195</f>
        <v>0</v>
      </c>
      <c r="AK238" s="56">
        <f>'Mortgage and Loans'!BM195</f>
        <v>0</v>
      </c>
      <c r="AL238" s="56">
        <f>'Mortgage and Loans'!T200</f>
        <v>0</v>
      </c>
      <c r="AM238" s="12">
        <f t="shared" si="12"/>
        <v>-4011.4396153846155</v>
      </c>
      <c r="AN238" s="75">
        <f t="shared" si="85"/>
        <v>2221853.5848787595</v>
      </c>
      <c r="AO238" s="86">
        <f>'Mortgage and Loans'!G201</f>
        <v>0</v>
      </c>
      <c r="AP238" s="79">
        <f>('Salary Tax Breakdown'!B$16/12)-Data!AO238</f>
        <v>3447.5</v>
      </c>
      <c r="AQ238" s="87"/>
      <c r="AR238" s="20">
        <f t="shared" si="263"/>
        <v>4011.4396153846155</v>
      </c>
      <c r="AS238" s="20">
        <v>750</v>
      </c>
      <c r="AT238" s="20">
        <v>0</v>
      </c>
      <c r="AU238" s="20">
        <f t="shared" si="264"/>
        <v>4761.4396153846155</v>
      </c>
      <c r="AV238" s="20">
        <f t="shared" si="265"/>
        <v>4761.4396153846155</v>
      </c>
      <c r="AW238" s="51">
        <f t="shared" si="294"/>
        <v>0</v>
      </c>
      <c r="AX238" s="51">
        <f t="shared" si="14"/>
        <v>0</v>
      </c>
      <c r="AY238" s="51">
        <f t="shared" si="15"/>
        <v>0</v>
      </c>
      <c r="AZ238" s="51">
        <f t="shared" si="16"/>
        <v>0</v>
      </c>
      <c r="BA238" s="51">
        <f t="shared" si="17"/>
        <v>0</v>
      </c>
      <c r="BB238" s="51">
        <f t="shared" si="18"/>
        <v>0</v>
      </c>
      <c r="BC238" s="51">
        <f t="shared" si="19"/>
        <v>0</v>
      </c>
      <c r="BD238" s="51">
        <f t="shared" si="20"/>
        <v>0</v>
      </c>
      <c r="BE238" s="51">
        <f t="shared" si="21"/>
        <v>0</v>
      </c>
      <c r="BF238" s="51">
        <f t="shared" si="22"/>
        <v>0</v>
      </c>
      <c r="BG238" s="51">
        <f t="shared" si="23"/>
        <v>0</v>
      </c>
      <c r="BH238" s="51">
        <f t="shared" si="24"/>
        <v>0</v>
      </c>
      <c r="BI238" s="51">
        <f t="shared" si="266"/>
        <v>0</v>
      </c>
      <c r="BJ238" s="51">
        <f t="shared" si="267"/>
        <v>0</v>
      </c>
      <c r="BK238" s="51">
        <f t="shared" si="268"/>
        <v>0</v>
      </c>
      <c r="BL238" s="51">
        <f t="shared" si="269"/>
        <v>0</v>
      </c>
      <c r="BM238" s="51">
        <f t="shared" si="270"/>
        <v>0</v>
      </c>
      <c r="BN238" s="51">
        <f t="shared" si="271"/>
        <v>0</v>
      </c>
      <c r="BO238" s="51">
        <f t="shared" si="272"/>
        <v>0</v>
      </c>
      <c r="BP238" s="51">
        <f t="shared" si="273"/>
        <v>0</v>
      </c>
      <c r="BQ238" s="51">
        <f t="shared" si="274"/>
        <v>0</v>
      </c>
      <c r="BR238" s="51">
        <f t="shared" si="275"/>
        <v>0</v>
      </c>
      <c r="BS238" s="51">
        <f t="shared" si="276"/>
        <v>0</v>
      </c>
      <c r="BT238" s="51">
        <f t="shared" si="277"/>
        <v>0</v>
      </c>
      <c r="BU238" s="20">
        <f t="shared" si="278"/>
        <v>4761.4396153846155</v>
      </c>
      <c r="BV238" s="20">
        <f t="shared" si="279"/>
        <v>4761.4396153846164</v>
      </c>
      <c r="BW238" s="20">
        <f t="shared" si="280"/>
        <v>57137.275384615386</v>
      </c>
      <c r="BX238" s="20">
        <f t="shared" si="281"/>
        <v>57137.275384615386</v>
      </c>
      <c r="BY238" s="20">
        <f t="shared" si="282"/>
        <v>57137.275384615394</v>
      </c>
      <c r="BZ238" s="21">
        <f t="shared" si="283"/>
        <v>57137.275384615386</v>
      </c>
      <c r="CA238" s="19">
        <f t="shared" si="297"/>
        <v>1428431.8846153847</v>
      </c>
      <c r="CB238" s="20">
        <f t="shared" si="284"/>
        <v>1428431.8846153847</v>
      </c>
      <c r="CC238" s="20">
        <f t="shared" si="285"/>
        <v>1428431.8846153843</v>
      </c>
      <c r="CD238" s="20">
        <f t="shared" si="298"/>
        <v>0</v>
      </c>
      <c r="CE238" s="20">
        <f t="shared" si="302"/>
        <v>1400000</v>
      </c>
      <c r="CF238" s="20">
        <f t="shared" si="295"/>
        <v>2021329.148185438</v>
      </c>
      <c r="CG238" s="20">
        <f t="shared" si="286"/>
        <v>80853.165927417518</v>
      </c>
      <c r="CH238" s="20">
        <f t="shared" si="296"/>
        <v>6737.7638272847935</v>
      </c>
      <c r="CI238" s="20">
        <f t="shared" si="287"/>
        <v>2010798.3717805988</v>
      </c>
      <c r="CJ238" s="24">
        <f t="shared" si="288"/>
        <v>1.4150686287219745</v>
      </c>
      <c r="CK238" s="24">
        <f t="shared" si="289"/>
        <v>5.2465833668635786E-3</v>
      </c>
      <c r="CL238" s="24">
        <f t="shared" si="290"/>
        <v>1.5819765086314701E-2</v>
      </c>
      <c r="CM238" s="25">
        <f t="shared" si="291"/>
        <v>6.4744470242883212E-2</v>
      </c>
      <c r="CN238" s="17"/>
      <c r="CO238" s="17"/>
      <c r="CP238" s="17"/>
      <c r="CQ238" s="17"/>
      <c r="CR238" s="17"/>
      <c r="CS238" s="17"/>
      <c r="CT238" s="17"/>
      <c r="CU238" s="17"/>
      <c r="CV238" s="17"/>
      <c r="CW238" s="30">
        <v>0</v>
      </c>
      <c r="CX238" s="17"/>
      <c r="CY238" s="17"/>
      <c r="CZ238" s="17"/>
      <c r="DA238" s="17"/>
      <c r="DB238" s="17"/>
    </row>
    <row r="239" spans="1:106" ht="15.75" thickBot="1" x14ac:dyDescent="0.3">
      <c r="A239" s="5">
        <f t="shared" si="299"/>
        <v>43</v>
      </c>
      <c r="B239" s="5">
        <f t="shared" si="299"/>
        <v>41</v>
      </c>
      <c r="C239" s="1"/>
      <c r="D239" s="4"/>
      <c r="E239" s="30"/>
      <c r="F239" s="30"/>
      <c r="G239" s="30">
        <f t="shared" si="262"/>
        <v>0</v>
      </c>
      <c r="H239" s="30"/>
      <c r="I239" s="10">
        <v>0</v>
      </c>
      <c r="J239" s="60">
        <v>9000</v>
      </c>
      <c r="K239" s="11">
        <v>550</v>
      </c>
      <c r="L239" s="60">
        <f t="shared" si="72"/>
        <v>11594.869867579553</v>
      </c>
      <c r="M239" s="11">
        <v>305</v>
      </c>
      <c r="N239" s="60">
        <v>0</v>
      </c>
      <c r="O239" s="11">
        <v>0</v>
      </c>
      <c r="P239" s="11">
        <v>0</v>
      </c>
      <c r="Q239" s="60">
        <f>(Q238*($K$1/12))+Q238 + $Q$8</f>
        <v>297653.99343636923</v>
      </c>
      <c r="R239" s="60">
        <f>(R238*($K$1/12))+R238</f>
        <v>13488.223064415655</v>
      </c>
      <c r="S239" s="60">
        <f>(S238*($K$1/12))+S238</f>
        <v>11710.483461922731</v>
      </c>
      <c r="T239" s="60">
        <f>(T238*($K$1/12))+T238+$T$8</f>
        <v>1128885.4335927779</v>
      </c>
      <c r="U239" s="60">
        <f>(U238*$K$1/12) + U238</f>
        <v>142484.9619746595</v>
      </c>
      <c r="V239" s="60">
        <v>3100</v>
      </c>
      <c r="W239" s="60">
        <f>(W238*($K$1/12))+W238+$W$8</f>
        <v>98901.856124817466</v>
      </c>
      <c r="X239" s="11">
        <v>0</v>
      </c>
      <c r="Y239" s="60">
        <f>(Y238*($K$1/12))+Y238+$Y$8</f>
        <v>338811.06274981308</v>
      </c>
      <c r="Z239" s="60">
        <f>'Mortgage and Loans'!U201</f>
        <v>180000</v>
      </c>
      <c r="AA239" s="12">
        <f t="shared" si="293"/>
        <v>2236485.8842723551</v>
      </c>
      <c r="AB239" s="56">
        <f t="shared" si="301"/>
        <v>750</v>
      </c>
      <c r="AC239" s="56">
        <f t="shared" si="301"/>
        <v>750</v>
      </c>
      <c r="AD239" s="56">
        <f t="shared" si="301"/>
        <v>750</v>
      </c>
      <c r="AE239" s="56">
        <f t="shared" si="301"/>
        <v>750</v>
      </c>
      <c r="AF239" s="56">
        <f t="shared" si="300"/>
        <v>261.43961538461554</v>
      </c>
      <c r="AG239" s="56">
        <f t="shared" si="301"/>
        <v>750</v>
      </c>
      <c r="AH239" s="56">
        <f>'Mortgage and Loans'!AF196</f>
        <v>0</v>
      </c>
      <c r="AI239" s="56">
        <f>'Mortgage and Loans'!AQ196</f>
        <v>0</v>
      </c>
      <c r="AJ239" s="56">
        <f>'Mortgage and Loans'!BB196</f>
        <v>0</v>
      </c>
      <c r="AK239" s="56">
        <f>'Mortgage and Loans'!BM196</f>
        <v>0</v>
      </c>
      <c r="AL239" s="56">
        <f>'Mortgage and Loans'!T201</f>
        <v>0</v>
      </c>
      <c r="AM239" s="12">
        <f t="shared" si="12"/>
        <v>-4011.4396153846155</v>
      </c>
      <c r="AN239" s="75">
        <f t="shared" si="85"/>
        <v>2232474.4446569704</v>
      </c>
      <c r="AO239" s="86">
        <f>'Mortgage and Loans'!G202</f>
        <v>0</v>
      </c>
      <c r="AP239" s="79">
        <f>('Salary Tax Breakdown'!B$16/12)-Data!AO239</f>
        <v>3447.5</v>
      </c>
      <c r="AQ239" s="87"/>
      <c r="AR239" s="20">
        <f t="shared" si="263"/>
        <v>4011.4396153846155</v>
      </c>
      <c r="AS239" s="20">
        <v>750</v>
      </c>
      <c r="AT239" s="20">
        <v>0</v>
      </c>
      <c r="AU239" s="20">
        <f t="shared" si="264"/>
        <v>4761.4396153846155</v>
      </c>
      <c r="AV239" s="20">
        <f t="shared" si="265"/>
        <v>4761.4396153846155</v>
      </c>
      <c r="AW239" s="51">
        <f t="shared" si="294"/>
        <v>0</v>
      </c>
      <c r="AX239" s="51">
        <f t="shared" si="14"/>
        <v>0</v>
      </c>
      <c r="AY239" s="51">
        <f t="shared" si="15"/>
        <v>0</v>
      </c>
      <c r="AZ239" s="51">
        <f t="shared" si="16"/>
        <v>0</v>
      </c>
      <c r="BA239" s="51">
        <f t="shared" si="17"/>
        <v>0</v>
      </c>
      <c r="BB239" s="51">
        <f t="shared" si="18"/>
        <v>0</v>
      </c>
      <c r="BC239" s="51">
        <f t="shared" si="19"/>
        <v>0</v>
      </c>
      <c r="BD239" s="51">
        <f t="shared" si="20"/>
        <v>0</v>
      </c>
      <c r="BE239" s="51">
        <f t="shared" si="21"/>
        <v>0</v>
      </c>
      <c r="BF239" s="51">
        <f t="shared" si="22"/>
        <v>0</v>
      </c>
      <c r="BG239" s="51">
        <f t="shared" si="23"/>
        <v>0</v>
      </c>
      <c r="BH239" s="51">
        <f t="shared" si="24"/>
        <v>0</v>
      </c>
      <c r="BI239" s="51">
        <f t="shared" si="266"/>
        <v>0</v>
      </c>
      <c r="BJ239" s="51">
        <f t="shared" si="267"/>
        <v>0</v>
      </c>
      <c r="BK239" s="51">
        <f t="shared" si="268"/>
        <v>0</v>
      </c>
      <c r="BL239" s="51">
        <f t="shared" si="269"/>
        <v>0</v>
      </c>
      <c r="BM239" s="51">
        <f t="shared" si="270"/>
        <v>0</v>
      </c>
      <c r="BN239" s="51">
        <f t="shared" si="271"/>
        <v>0</v>
      </c>
      <c r="BO239" s="51">
        <f t="shared" si="272"/>
        <v>0</v>
      </c>
      <c r="BP239" s="51">
        <f t="shared" si="273"/>
        <v>0</v>
      </c>
      <c r="BQ239" s="51">
        <f t="shared" si="274"/>
        <v>0</v>
      </c>
      <c r="BR239" s="51">
        <f t="shared" si="275"/>
        <v>0</v>
      </c>
      <c r="BS239" s="51">
        <f t="shared" si="276"/>
        <v>0</v>
      </c>
      <c r="BT239" s="51">
        <f t="shared" si="277"/>
        <v>0</v>
      </c>
      <c r="BU239" s="20">
        <f t="shared" si="278"/>
        <v>4761.4396153846155</v>
      </c>
      <c r="BV239" s="20">
        <f t="shared" si="279"/>
        <v>4761.4396153846164</v>
      </c>
      <c r="BW239" s="20">
        <f t="shared" si="280"/>
        <v>57137.275384615386</v>
      </c>
      <c r="BX239" s="20">
        <f t="shared" si="281"/>
        <v>57137.275384615386</v>
      </c>
      <c r="BY239" s="20">
        <f t="shared" si="282"/>
        <v>57137.275384615394</v>
      </c>
      <c r="BZ239" s="21">
        <f t="shared" si="283"/>
        <v>57137.275384615386</v>
      </c>
      <c r="CA239" s="19">
        <f t="shared" si="297"/>
        <v>1428431.8846153847</v>
      </c>
      <c r="CB239" s="20">
        <f t="shared" si="284"/>
        <v>1428431.8846153847</v>
      </c>
      <c r="CC239" s="20">
        <f t="shared" si="285"/>
        <v>1428431.8846153843</v>
      </c>
      <c r="CD239" s="20">
        <f t="shared" si="298"/>
        <v>0</v>
      </c>
      <c r="CE239" s="20">
        <f t="shared" si="302"/>
        <v>1400000</v>
      </c>
      <c r="CF239" s="20">
        <f t="shared" si="295"/>
        <v>2031936.0144047756</v>
      </c>
      <c r="CG239" s="20">
        <f t="shared" si="286"/>
        <v>81277.440576191031</v>
      </c>
      <c r="CH239" s="20">
        <f t="shared" si="296"/>
        <v>6773.1200480159196</v>
      </c>
      <c r="CI239" s="20">
        <f t="shared" si="287"/>
        <v>2021348.1962944104</v>
      </c>
      <c r="CJ239" s="24">
        <f t="shared" si="288"/>
        <v>1.4224941604071577</v>
      </c>
      <c r="CK239" s="24">
        <f t="shared" si="289"/>
        <v>5.2474710656893386E-3</v>
      </c>
      <c r="CL239" s="24">
        <f t="shared" si="290"/>
        <v>1.5822469878627708E-2</v>
      </c>
      <c r="CM239" s="25">
        <f t="shared" si="291"/>
        <v>6.4756073205305839E-2</v>
      </c>
      <c r="CN239" s="17"/>
      <c r="CO239" s="17"/>
      <c r="CP239" s="17"/>
      <c r="CQ239" s="17"/>
      <c r="CR239" s="17"/>
      <c r="CS239" s="17"/>
      <c r="CT239" s="17"/>
      <c r="CU239" s="17"/>
      <c r="CV239" s="17"/>
      <c r="CW239" s="30">
        <v>0</v>
      </c>
      <c r="CX239" s="17"/>
      <c r="CY239" s="17"/>
      <c r="CZ239" s="17"/>
      <c r="DA239" s="17"/>
      <c r="DB239" s="17"/>
    </row>
    <row r="240" spans="1:106" ht="15.75" thickBot="1" x14ac:dyDescent="0.3">
      <c r="A240" s="5">
        <f t="shared" si="299"/>
        <v>43</v>
      </c>
      <c r="B240" s="5">
        <f t="shared" si="299"/>
        <v>41</v>
      </c>
      <c r="C240" s="1"/>
      <c r="D240" s="4"/>
      <c r="E240" s="30"/>
      <c r="F240" s="30"/>
      <c r="G240" s="30">
        <f t="shared" si="262"/>
        <v>0</v>
      </c>
      <c r="H240" s="30"/>
      <c r="I240" s="10">
        <v>0</v>
      </c>
      <c r="J240" s="60">
        <v>9000</v>
      </c>
      <c r="K240" s="11">
        <v>550</v>
      </c>
      <c r="L240" s="60">
        <f t="shared" si="72"/>
        <v>11608.880335336211</v>
      </c>
      <c r="M240" s="11">
        <v>305</v>
      </c>
      <c r="N240" s="60">
        <v>0</v>
      </c>
      <c r="O240" s="11">
        <v>0</v>
      </c>
      <c r="P240" s="11">
        <v>0</v>
      </c>
      <c r="Q240" s="60">
        <f>(Q239*($K$1/12))+Q239 + $Q$8</f>
        <v>299724.2859008162</v>
      </c>
      <c r="R240" s="60">
        <f>(R239*($K$1/12))+R239</f>
        <v>13561.28427268124</v>
      </c>
      <c r="S240" s="60">
        <f>(S239*($K$1/12))+S239</f>
        <v>11773.91524734148</v>
      </c>
      <c r="T240" s="60">
        <f>(T239*($K$1/12))+T239+$T$8</f>
        <v>1136500.2296914055</v>
      </c>
      <c r="U240" s="60">
        <f>(U239*$K$1/12) + U239</f>
        <v>143256.75551868891</v>
      </c>
      <c r="V240" s="60">
        <v>3100</v>
      </c>
      <c r="W240" s="60">
        <f>(W239*($K$1/12))+W239+$W$8</f>
        <v>99437.574512160223</v>
      </c>
      <c r="X240" s="11">
        <v>0</v>
      </c>
      <c r="Y240" s="60">
        <f>(Y239*($K$1/12))+Y239+$Y$8</f>
        <v>338346.28933970787</v>
      </c>
      <c r="Z240" s="60">
        <f>'Mortgage and Loans'!U202</f>
        <v>180000</v>
      </c>
      <c r="AA240" s="12">
        <f t="shared" si="293"/>
        <v>2247164.2148181377</v>
      </c>
      <c r="AB240" s="56">
        <f t="shared" si="301"/>
        <v>750</v>
      </c>
      <c r="AC240" s="56">
        <f t="shared" si="301"/>
        <v>750</v>
      </c>
      <c r="AD240" s="56">
        <f t="shared" si="301"/>
        <v>750</v>
      </c>
      <c r="AE240" s="56">
        <f t="shared" si="301"/>
        <v>750</v>
      </c>
      <c r="AF240" s="56">
        <f t="shared" si="300"/>
        <v>261.43961538461554</v>
      </c>
      <c r="AG240" s="56">
        <f t="shared" si="301"/>
        <v>750</v>
      </c>
      <c r="AH240" s="56">
        <f>'Mortgage and Loans'!AF197</f>
        <v>0</v>
      </c>
      <c r="AI240" s="56">
        <f>'Mortgage and Loans'!AQ197</f>
        <v>0</v>
      </c>
      <c r="AJ240" s="56">
        <f>'Mortgage and Loans'!BB197</f>
        <v>0</v>
      </c>
      <c r="AK240" s="56">
        <f>'Mortgage and Loans'!BM197</f>
        <v>0</v>
      </c>
      <c r="AL240" s="56">
        <f>'Mortgage and Loans'!T202</f>
        <v>0</v>
      </c>
      <c r="AM240" s="12">
        <f t="shared" si="12"/>
        <v>-4011.4396153846155</v>
      </c>
      <c r="AN240" s="75">
        <f t="shared" si="85"/>
        <v>2243152.775202753</v>
      </c>
      <c r="AO240" s="86">
        <f>'Mortgage and Loans'!G203</f>
        <v>0</v>
      </c>
      <c r="AP240" s="79">
        <f>('Salary Tax Breakdown'!B$16/12)-Data!AO240</f>
        <v>3447.5</v>
      </c>
      <c r="AQ240" s="87"/>
      <c r="AR240" s="20">
        <f t="shared" si="263"/>
        <v>4011.4396153846155</v>
      </c>
      <c r="AS240" s="20">
        <v>750</v>
      </c>
      <c r="AT240" s="20">
        <v>0</v>
      </c>
      <c r="AU240" s="20">
        <f t="shared" si="264"/>
        <v>4761.4396153846155</v>
      </c>
      <c r="AV240" s="20">
        <f t="shared" si="265"/>
        <v>4761.4396153846155</v>
      </c>
      <c r="AW240" s="51">
        <f t="shared" si="294"/>
        <v>0</v>
      </c>
      <c r="AX240" s="51">
        <f t="shared" si="14"/>
        <v>0</v>
      </c>
      <c r="AY240" s="51">
        <f t="shared" si="15"/>
        <v>0</v>
      </c>
      <c r="AZ240" s="51">
        <f t="shared" si="16"/>
        <v>0</v>
      </c>
      <c r="BA240" s="51">
        <f t="shared" si="17"/>
        <v>0</v>
      </c>
      <c r="BB240" s="51">
        <f t="shared" si="18"/>
        <v>0</v>
      </c>
      <c r="BC240" s="51">
        <f t="shared" si="19"/>
        <v>0</v>
      </c>
      <c r="BD240" s="51">
        <f t="shared" si="20"/>
        <v>0</v>
      </c>
      <c r="BE240" s="51">
        <f t="shared" si="21"/>
        <v>0</v>
      </c>
      <c r="BF240" s="51">
        <f t="shared" si="22"/>
        <v>0</v>
      </c>
      <c r="BG240" s="51">
        <f t="shared" si="23"/>
        <v>0</v>
      </c>
      <c r="BH240" s="51">
        <f t="shared" si="24"/>
        <v>0</v>
      </c>
      <c r="BI240" s="51">
        <f t="shared" si="266"/>
        <v>0</v>
      </c>
      <c r="BJ240" s="51">
        <f t="shared" si="267"/>
        <v>0</v>
      </c>
      <c r="BK240" s="51">
        <f t="shared" si="268"/>
        <v>0</v>
      </c>
      <c r="BL240" s="51">
        <f t="shared" si="269"/>
        <v>0</v>
      </c>
      <c r="BM240" s="51">
        <f t="shared" si="270"/>
        <v>0</v>
      </c>
      <c r="BN240" s="51">
        <f t="shared" si="271"/>
        <v>0</v>
      </c>
      <c r="BO240" s="51">
        <f t="shared" si="272"/>
        <v>0</v>
      </c>
      <c r="BP240" s="51">
        <f t="shared" si="273"/>
        <v>0</v>
      </c>
      <c r="BQ240" s="51">
        <f t="shared" si="274"/>
        <v>0</v>
      </c>
      <c r="BR240" s="51">
        <f t="shared" si="275"/>
        <v>0</v>
      </c>
      <c r="BS240" s="51">
        <f t="shared" si="276"/>
        <v>0</v>
      </c>
      <c r="BT240" s="51">
        <f t="shared" si="277"/>
        <v>0</v>
      </c>
      <c r="BU240" s="20">
        <f t="shared" si="278"/>
        <v>4761.4396153846155</v>
      </c>
      <c r="BV240" s="20">
        <f t="shared" si="279"/>
        <v>4761.4396153846164</v>
      </c>
      <c r="BW240" s="20">
        <f t="shared" si="280"/>
        <v>57137.275384615386</v>
      </c>
      <c r="BX240" s="20">
        <f t="shared" si="281"/>
        <v>57137.275384615386</v>
      </c>
      <c r="BY240" s="20">
        <f t="shared" si="282"/>
        <v>57137.275384615394</v>
      </c>
      <c r="BZ240" s="21">
        <f t="shared" si="283"/>
        <v>57137.275384615386</v>
      </c>
      <c r="CA240" s="19">
        <f t="shared" si="297"/>
        <v>1428431.8846153847</v>
      </c>
      <c r="CB240" s="20">
        <f t="shared" si="284"/>
        <v>1428431.8846153847</v>
      </c>
      <c r="CC240" s="20">
        <f t="shared" si="285"/>
        <v>1428431.8846153843</v>
      </c>
      <c r="CD240" s="20">
        <f t="shared" si="298"/>
        <v>0</v>
      </c>
      <c r="CE240" s="20">
        <f t="shared" si="302"/>
        <v>1400000</v>
      </c>
      <c r="CF240" s="20">
        <f t="shared" si="295"/>
        <v>2042600.3344828014</v>
      </c>
      <c r="CG240" s="20">
        <f t="shared" si="286"/>
        <v>81704.013379312062</v>
      </c>
      <c r="CH240" s="20">
        <f t="shared" si="296"/>
        <v>6808.6677816093388</v>
      </c>
      <c r="CI240" s="20">
        <f t="shared" si="287"/>
        <v>2031955.1656910051</v>
      </c>
      <c r="CJ240" s="24">
        <f t="shared" si="288"/>
        <v>1.4299599137223025</v>
      </c>
      <c r="CK240" s="24">
        <f t="shared" si="289"/>
        <v>5.2483542800680922E-3</v>
      </c>
      <c r="CL240" s="24">
        <f t="shared" si="290"/>
        <v>1.5825161016515571E-2</v>
      </c>
      <c r="CM240" s="25">
        <f t="shared" si="291"/>
        <v>6.4767617782908626E-2</v>
      </c>
      <c r="CN240" s="17"/>
      <c r="CO240" s="17"/>
      <c r="CP240" s="17"/>
      <c r="CQ240" s="17"/>
      <c r="CR240" s="17"/>
      <c r="CS240" s="17"/>
      <c r="CT240" s="17"/>
      <c r="CU240" s="17"/>
      <c r="CV240" s="17"/>
      <c r="CW240" s="30">
        <v>0</v>
      </c>
      <c r="CX240" s="17"/>
      <c r="CY240" s="17"/>
      <c r="CZ240" s="17"/>
      <c r="DA240" s="17"/>
      <c r="DB240" s="17"/>
    </row>
    <row r="241" spans="1:106" ht="15.75" thickBot="1" x14ac:dyDescent="0.3">
      <c r="A241" s="5">
        <f t="shared" si="299"/>
        <v>43</v>
      </c>
      <c r="B241" s="5">
        <f t="shared" si="299"/>
        <v>41</v>
      </c>
      <c r="C241" s="1"/>
      <c r="D241" s="4"/>
      <c r="E241" s="30"/>
      <c r="F241" s="30"/>
      <c r="G241" s="30">
        <f t="shared" si="262"/>
        <v>0</v>
      </c>
      <c r="H241" s="30"/>
      <c r="I241" s="10">
        <v>0</v>
      </c>
      <c r="J241" s="60">
        <v>9000</v>
      </c>
      <c r="K241" s="11">
        <v>550</v>
      </c>
      <c r="L241" s="60">
        <f t="shared" si="72"/>
        <v>11622.907732408075</v>
      </c>
      <c r="M241" s="11">
        <v>305</v>
      </c>
      <c r="N241" s="60">
        <v>0</v>
      </c>
      <c r="O241" s="11">
        <v>0</v>
      </c>
      <c r="P241" s="11">
        <v>0</v>
      </c>
      <c r="Q241" s="60">
        <f>(Q240*($K$1/12))+Q240 + $Q$8</f>
        <v>301805.79244944564</v>
      </c>
      <c r="R241" s="60">
        <f>(R240*($K$1/12))+R240</f>
        <v>13634.741229158262</v>
      </c>
      <c r="S241" s="60">
        <f>(S240*($K$1/12))+S240</f>
        <v>11837.690621597912</v>
      </c>
      <c r="T241" s="60">
        <f>(T240*($K$1/12))+T240+$T$8</f>
        <v>1144156.272602234</v>
      </c>
      <c r="U241" s="60">
        <f>(U240*$K$1/12) + U240</f>
        <v>144032.7296110818</v>
      </c>
      <c r="V241" s="60">
        <v>3100</v>
      </c>
      <c r="W241" s="60">
        <f>(W240*($K$1/12))+W240+$W$8</f>
        <v>99976.194707434421</v>
      </c>
      <c r="X241" s="11">
        <v>0</v>
      </c>
      <c r="Y241" s="60">
        <f>(Y240*($K$1/12))+Y240+$Y$8</f>
        <v>337878.99840696465</v>
      </c>
      <c r="Z241" s="60">
        <f>'Mortgage and Loans'!U203</f>
        <v>180000</v>
      </c>
      <c r="AA241" s="12">
        <f t="shared" si="293"/>
        <v>2257900.3273603246</v>
      </c>
      <c r="AB241" s="56">
        <f t="shared" si="301"/>
        <v>750</v>
      </c>
      <c r="AC241" s="56">
        <f t="shared" si="301"/>
        <v>750</v>
      </c>
      <c r="AD241" s="56">
        <f t="shared" si="301"/>
        <v>750</v>
      </c>
      <c r="AE241" s="56">
        <f t="shared" si="301"/>
        <v>750</v>
      </c>
      <c r="AF241" s="56">
        <f t="shared" si="300"/>
        <v>261.43961538461548</v>
      </c>
      <c r="AG241" s="56">
        <f t="shared" si="301"/>
        <v>750</v>
      </c>
      <c r="AH241" s="56">
        <f>'Mortgage and Loans'!AF198</f>
        <v>0</v>
      </c>
      <c r="AI241" s="56">
        <f>'Mortgage and Loans'!AQ198</f>
        <v>0</v>
      </c>
      <c r="AJ241" s="56">
        <f>'Mortgage and Loans'!BB198</f>
        <v>0</v>
      </c>
      <c r="AK241" s="56">
        <f>'Mortgage and Loans'!BM198</f>
        <v>0</v>
      </c>
      <c r="AL241" s="56">
        <f>'Mortgage and Loans'!T203</f>
        <v>0</v>
      </c>
      <c r="AM241" s="12">
        <f t="shared" si="12"/>
        <v>-4011.4396153846155</v>
      </c>
      <c r="AN241" s="75">
        <f t="shared" si="85"/>
        <v>2253888.8877449399</v>
      </c>
      <c r="AO241" s="86">
        <f>'Mortgage and Loans'!G204</f>
        <v>0</v>
      </c>
      <c r="AP241" s="79">
        <f>('Salary Tax Breakdown'!B$16/12)-Data!AO241</f>
        <v>3447.5</v>
      </c>
      <c r="AQ241" s="87"/>
      <c r="AR241" s="20">
        <f t="shared" si="263"/>
        <v>4011.4396153846155</v>
      </c>
      <c r="AS241" s="20">
        <v>750</v>
      </c>
      <c r="AT241" s="20">
        <v>0</v>
      </c>
      <c r="AU241" s="20">
        <f t="shared" si="264"/>
        <v>4761.4396153846155</v>
      </c>
      <c r="AV241" s="20">
        <f t="shared" si="265"/>
        <v>4761.4396153846155</v>
      </c>
      <c r="AW241" s="51">
        <f t="shared" si="294"/>
        <v>0</v>
      </c>
      <c r="AX241" s="51">
        <f t="shared" si="14"/>
        <v>0</v>
      </c>
      <c r="AY241" s="51">
        <f t="shared" si="15"/>
        <v>0</v>
      </c>
      <c r="AZ241" s="51">
        <f t="shared" si="16"/>
        <v>0</v>
      </c>
      <c r="BA241" s="51">
        <f t="shared" si="17"/>
        <v>0</v>
      </c>
      <c r="BB241" s="51">
        <f t="shared" si="18"/>
        <v>0</v>
      </c>
      <c r="BC241" s="51">
        <f t="shared" si="19"/>
        <v>0</v>
      </c>
      <c r="BD241" s="51">
        <f t="shared" si="20"/>
        <v>0</v>
      </c>
      <c r="BE241" s="51">
        <f t="shared" si="21"/>
        <v>0</v>
      </c>
      <c r="BF241" s="51">
        <f t="shared" si="22"/>
        <v>0</v>
      </c>
      <c r="BG241" s="51">
        <f t="shared" si="23"/>
        <v>0</v>
      </c>
      <c r="BH241" s="51">
        <f t="shared" si="24"/>
        <v>0</v>
      </c>
      <c r="BI241" s="51">
        <f t="shared" si="266"/>
        <v>0</v>
      </c>
      <c r="BJ241" s="51">
        <f t="shared" si="267"/>
        <v>0</v>
      </c>
      <c r="BK241" s="51">
        <f t="shared" si="268"/>
        <v>0</v>
      </c>
      <c r="BL241" s="51">
        <f t="shared" si="269"/>
        <v>0</v>
      </c>
      <c r="BM241" s="51">
        <f t="shared" si="270"/>
        <v>0</v>
      </c>
      <c r="BN241" s="51">
        <f t="shared" si="271"/>
        <v>0</v>
      </c>
      <c r="BO241" s="51">
        <f t="shared" si="272"/>
        <v>0</v>
      </c>
      <c r="BP241" s="51">
        <f t="shared" si="273"/>
        <v>0</v>
      </c>
      <c r="BQ241" s="51">
        <f t="shared" si="274"/>
        <v>0</v>
      </c>
      <c r="BR241" s="51">
        <f t="shared" si="275"/>
        <v>0</v>
      </c>
      <c r="BS241" s="51">
        <f t="shared" si="276"/>
        <v>0</v>
      </c>
      <c r="BT241" s="51">
        <f t="shared" si="277"/>
        <v>0</v>
      </c>
      <c r="BU241" s="20">
        <f t="shared" si="278"/>
        <v>4761.4396153846155</v>
      </c>
      <c r="BV241" s="20">
        <f t="shared" si="279"/>
        <v>4761.4396153846164</v>
      </c>
      <c r="BW241" s="20">
        <f t="shared" si="280"/>
        <v>57137.275384615386</v>
      </c>
      <c r="BX241" s="20">
        <f t="shared" si="281"/>
        <v>57137.275384615386</v>
      </c>
      <c r="BY241" s="20">
        <f t="shared" si="282"/>
        <v>57137.275384615394</v>
      </c>
      <c r="BZ241" s="21">
        <f t="shared" si="283"/>
        <v>57137.275384615386</v>
      </c>
      <c r="CA241" s="19">
        <f t="shared" si="297"/>
        <v>1428431.8846153847</v>
      </c>
      <c r="CB241" s="20">
        <f t="shared" si="284"/>
        <v>1428431.8846153847</v>
      </c>
      <c r="CC241" s="20">
        <f t="shared" si="285"/>
        <v>1428431.8846153843</v>
      </c>
      <c r="CD241" s="20">
        <f t="shared" si="298"/>
        <v>0</v>
      </c>
      <c r="CE241" s="20">
        <f t="shared" si="302"/>
        <v>1400000</v>
      </c>
      <c r="CF241" s="20">
        <f t="shared" si="295"/>
        <v>2053322.4196279165</v>
      </c>
      <c r="CG241" s="20">
        <f t="shared" si="286"/>
        <v>82132.896785116667</v>
      </c>
      <c r="CH241" s="20">
        <f t="shared" si="296"/>
        <v>6844.4080654263889</v>
      </c>
      <c r="CI241" s="20">
        <f t="shared" si="287"/>
        <v>2042619.5895051647</v>
      </c>
      <c r="CJ241" s="24">
        <f t="shared" si="288"/>
        <v>1.4374661065345709</v>
      </c>
      <c r="CK241" s="24">
        <f t="shared" si="289"/>
        <v>5.2492330311059363E-3</v>
      </c>
      <c r="CL241" s="24">
        <f t="shared" si="290"/>
        <v>1.582783856414435E-2</v>
      </c>
      <c r="CM241" s="25">
        <f t="shared" si="291"/>
        <v>6.4779104248084599E-2</v>
      </c>
      <c r="CN241" s="17"/>
      <c r="CO241" s="17"/>
      <c r="CP241" s="17"/>
      <c r="CQ241" s="17"/>
      <c r="CR241" s="17"/>
      <c r="CS241" s="17"/>
      <c r="CT241" s="17"/>
      <c r="CU241" s="17"/>
      <c r="CV241" s="17"/>
      <c r="CW241" s="30">
        <v>0</v>
      </c>
      <c r="CX241" s="17"/>
      <c r="CY241" s="17"/>
      <c r="CZ241" s="17"/>
      <c r="DA241" s="17"/>
      <c r="DB241" s="17"/>
    </row>
    <row r="242" spans="1:106" ht="15.75" thickBot="1" x14ac:dyDescent="0.3">
      <c r="A242" s="5">
        <f t="shared" si="299"/>
        <v>43</v>
      </c>
      <c r="B242" s="5">
        <f t="shared" si="299"/>
        <v>42</v>
      </c>
      <c r="C242" s="1"/>
      <c r="D242" s="4"/>
      <c r="E242" s="30"/>
      <c r="F242" s="30"/>
      <c r="G242" s="30">
        <f t="shared" si="262"/>
        <v>0</v>
      </c>
      <c r="H242" s="30"/>
      <c r="I242" s="10">
        <v>0</v>
      </c>
      <c r="J242" s="60">
        <v>9000</v>
      </c>
      <c r="K242" s="11">
        <v>550</v>
      </c>
      <c r="L242" s="60">
        <f t="shared" si="72"/>
        <v>11636.952079251401</v>
      </c>
      <c r="M242" s="11">
        <v>305</v>
      </c>
      <c r="N242" s="60">
        <v>0</v>
      </c>
      <c r="O242" s="11">
        <v>0</v>
      </c>
      <c r="P242" s="11">
        <v>0</v>
      </c>
      <c r="Q242" s="60">
        <f>(Q241*($K$1/12))+Q241 + $Q$8</f>
        <v>303898.57382521348</v>
      </c>
      <c r="R242" s="60">
        <f>(R241*($K$1/12))+R241</f>
        <v>13708.596077482869</v>
      </c>
      <c r="S242" s="60">
        <f>(S241*($K$1/12))+S241</f>
        <v>11901.811445798234</v>
      </c>
      <c r="T242" s="60">
        <f>(T241*($K$1/12))+T241+$T$8</f>
        <v>1151853.7857454962</v>
      </c>
      <c r="U242" s="60">
        <f>(U241*$K$1/12) + U241</f>
        <v>144812.90689647515</v>
      </c>
      <c r="V242" s="60">
        <v>3100</v>
      </c>
      <c r="W242" s="60">
        <f>(W241*($K$1/12))+W241+$W$8</f>
        <v>100517.73242876635</v>
      </c>
      <c r="X242" s="11">
        <v>0</v>
      </c>
      <c r="Y242" s="60">
        <f>(Y241*($K$1/12))+Y241+$Y$8</f>
        <v>337409.17631500238</v>
      </c>
      <c r="Z242" s="60">
        <f>'Mortgage and Loans'!U204</f>
        <v>180000</v>
      </c>
      <c r="AA242" s="12">
        <f t="shared" si="293"/>
        <v>2268694.534813486</v>
      </c>
      <c r="AB242" s="56">
        <f t="shared" si="301"/>
        <v>750</v>
      </c>
      <c r="AC242" s="56">
        <f t="shared" si="301"/>
        <v>750</v>
      </c>
      <c r="AD242" s="56">
        <f t="shared" si="301"/>
        <v>750</v>
      </c>
      <c r="AE242" s="56">
        <f t="shared" si="301"/>
        <v>750</v>
      </c>
      <c r="AF242" s="56">
        <f t="shared" si="300"/>
        <v>261.43961538461548</v>
      </c>
      <c r="AG242" s="56">
        <f t="shared" si="301"/>
        <v>750</v>
      </c>
      <c r="AH242" s="56">
        <f>'Mortgage and Loans'!AF199</f>
        <v>0</v>
      </c>
      <c r="AI242" s="56">
        <f>'Mortgage and Loans'!AQ199</f>
        <v>0</v>
      </c>
      <c r="AJ242" s="56">
        <f>'Mortgage and Loans'!BB199</f>
        <v>0</v>
      </c>
      <c r="AK242" s="56">
        <f>'Mortgage and Loans'!BM199</f>
        <v>0</v>
      </c>
      <c r="AL242" s="56">
        <f>'Mortgage and Loans'!T204</f>
        <v>0</v>
      </c>
      <c r="AM242" s="12">
        <f t="shared" si="12"/>
        <v>-4011.4396153846155</v>
      </c>
      <c r="AN242" s="75">
        <f t="shared" si="85"/>
        <v>2264683.0951981014</v>
      </c>
      <c r="AO242" s="86">
        <f>'Mortgage and Loans'!G205</f>
        <v>0</v>
      </c>
      <c r="AP242" s="79">
        <f>('Salary Tax Breakdown'!B$16/12)-Data!AO242</f>
        <v>3447.5</v>
      </c>
      <c r="AQ242" s="87"/>
      <c r="AR242" s="20">
        <f t="shared" si="263"/>
        <v>4011.4396153846155</v>
      </c>
      <c r="AS242" s="20">
        <v>750</v>
      </c>
      <c r="AT242" s="20">
        <v>0</v>
      </c>
      <c r="AU242" s="20">
        <f t="shared" si="264"/>
        <v>4761.4396153846155</v>
      </c>
      <c r="AV242" s="20">
        <f t="shared" si="265"/>
        <v>4761.4396153846155</v>
      </c>
      <c r="AW242" s="51">
        <f t="shared" si="294"/>
        <v>0</v>
      </c>
      <c r="AX242" s="51">
        <f t="shared" si="14"/>
        <v>0</v>
      </c>
      <c r="AY242" s="51">
        <f t="shared" si="15"/>
        <v>0</v>
      </c>
      <c r="AZ242" s="51">
        <f t="shared" si="16"/>
        <v>0</v>
      </c>
      <c r="BA242" s="51">
        <f t="shared" si="17"/>
        <v>0</v>
      </c>
      <c r="BB242" s="51">
        <f t="shared" si="18"/>
        <v>0</v>
      </c>
      <c r="BC242" s="51">
        <f t="shared" si="19"/>
        <v>0</v>
      </c>
      <c r="BD242" s="51">
        <f t="shared" si="20"/>
        <v>0</v>
      </c>
      <c r="BE242" s="51">
        <f t="shared" si="21"/>
        <v>0</v>
      </c>
      <c r="BF242" s="51">
        <f t="shared" si="22"/>
        <v>0</v>
      </c>
      <c r="BG242" s="51">
        <f t="shared" si="23"/>
        <v>0</v>
      </c>
      <c r="BH242" s="51">
        <f t="shared" si="24"/>
        <v>0</v>
      </c>
      <c r="BI242" s="51">
        <f t="shared" si="266"/>
        <v>0</v>
      </c>
      <c r="BJ242" s="51">
        <f t="shared" si="267"/>
        <v>0</v>
      </c>
      <c r="BK242" s="51">
        <f t="shared" si="268"/>
        <v>0</v>
      </c>
      <c r="BL242" s="51">
        <f t="shared" si="269"/>
        <v>0</v>
      </c>
      <c r="BM242" s="51">
        <f t="shared" si="270"/>
        <v>0</v>
      </c>
      <c r="BN242" s="51">
        <f t="shared" si="271"/>
        <v>0</v>
      </c>
      <c r="BO242" s="51">
        <f t="shared" si="272"/>
        <v>0</v>
      </c>
      <c r="BP242" s="51">
        <f t="shared" si="273"/>
        <v>0</v>
      </c>
      <c r="BQ242" s="51">
        <f t="shared" si="274"/>
        <v>0</v>
      </c>
      <c r="BR242" s="51">
        <f t="shared" si="275"/>
        <v>0</v>
      </c>
      <c r="BS242" s="51">
        <f t="shared" si="276"/>
        <v>0</v>
      </c>
      <c r="BT242" s="51">
        <f t="shared" si="277"/>
        <v>0</v>
      </c>
      <c r="BU242" s="20">
        <f t="shared" si="278"/>
        <v>4761.4396153846155</v>
      </c>
      <c r="BV242" s="20">
        <f t="shared" si="279"/>
        <v>4761.4396153846164</v>
      </c>
      <c r="BW242" s="20">
        <f t="shared" si="280"/>
        <v>57137.275384615386</v>
      </c>
      <c r="BX242" s="20">
        <f t="shared" si="281"/>
        <v>57137.275384615386</v>
      </c>
      <c r="BY242" s="20">
        <f t="shared" si="282"/>
        <v>57137.275384615394</v>
      </c>
      <c r="BZ242" s="21">
        <f t="shared" si="283"/>
        <v>57137.275384615386</v>
      </c>
      <c r="CA242" s="19">
        <f t="shared" si="297"/>
        <v>1428431.8846153847</v>
      </c>
      <c r="CB242" s="20">
        <f t="shared" si="284"/>
        <v>1428431.8846153847</v>
      </c>
      <c r="CC242" s="20">
        <f t="shared" si="285"/>
        <v>1428431.8846153843</v>
      </c>
      <c r="CD242" s="20">
        <f t="shared" si="298"/>
        <v>0</v>
      </c>
      <c r="CE242" s="20">
        <f t="shared" si="302"/>
        <v>1400000</v>
      </c>
      <c r="CF242" s="20">
        <f t="shared" si="295"/>
        <v>2064102.5827342346</v>
      </c>
      <c r="CG242" s="20">
        <f t="shared" si="286"/>
        <v>82564.103309369384</v>
      </c>
      <c r="CH242" s="20">
        <f t="shared" si="296"/>
        <v>6880.3419424474487</v>
      </c>
      <c r="CI242" s="20">
        <f t="shared" si="287"/>
        <v>2053341.7789483175</v>
      </c>
      <c r="CJ242" s="24">
        <f t="shared" si="288"/>
        <v>1.4450129578912394</v>
      </c>
      <c r="CK242" s="24">
        <f t="shared" si="289"/>
        <v>5.2501073398261416E-3</v>
      </c>
      <c r="CL242" s="24">
        <f t="shared" si="290"/>
        <v>1.5830502585427994E-2</v>
      </c>
      <c r="CM242" s="25">
        <f t="shared" si="291"/>
        <v>6.4790532872179382E-2</v>
      </c>
      <c r="CN242" s="17"/>
      <c r="CO242" s="17"/>
      <c r="CP242" s="17"/>
      <c r="CQ242" s="17"/>
      <c r="CR242" s="17"/>
      <c r="CS242" s="17"/>
      <c r="CT242" s="17"/>
      <c r="CU242" s="17"/>
      <c r="CV242" s="17"/>
      <c r="CW242" s="30">
        <v>0</v>
      </c>
      <c r="CX242" s="17"/>
      <c r="CY242" s="17"/>
      <c r="CZ242" s="17"/>
      <c r="DA242" s="17"/>
      <c r="DB242" s="17"/>
    </row>
    <row r="243" spans="1:106" ht="15.75" thickBot="1" x14ac:dyDescent="0.3">
      <c r="A243" s="5">
        <f t="shared" si="299"/>
        <v>43</v>
      </c>
      <c r="B243" s="5">
        <f t="shared" si="299"/>
        <v>42</v>
      </c>
      <c r="C243" s="1"/>
      <c r="D243" s="4"/>
      <c r="E243" s="30"/>
      <c r="F243" s="30"/>
      <c r="G243" s="30">
        <f t="shared" si="262"/>
        <v>0</v>
      </c>
      <c r="H243" s="30"/>
      <c r="I243" s="10">
        <v>0</v>
      </c>
      <c r="J243" s="60">
        <v>9000</v>
      </c>
      <c r="K243" s="11">
        <v>550</v>
      </c>
      <c r="L243" s="60">
        <f t="shared" si="72"/>
        <v>11651.013396347162</v>
      </c>
      <c r="M243" s="11">
        <v>305</v>
      </c>
      <c r="N243" s="60">
        <v>0</v>
      </c>
      <c r="O243" s="11">
        <v>0</v>
      </c>
      <c r="P243" s="11">
        <v>0</v>
      </c>
      <c r="Q243" s="60">
        <f>(Q242*($K$1/12))+Q242 + $Q$8</f>
        <v>306002.69110010006</v>
      </c>
      <c r="R243" s="60">
        <f>(R242*($K$1/12))+R242</f>
        <v>13782.850972902568</v>
      </c>
      <c r="S243" s="60">
        <f>(S242*($K$1/12))+S242</f>
        <v>11966.279591129642</v>
      </c>
      <c r="T243" s="60">
        <f>(T242*($K$1/12))+T242+$T$8</f>
        <v>1159592.9937516176</v>
      </c>
      <c r="U243" s="60">
        <f>(U242*$K$1/12) + U242</f>
        <v>145597.31014216438</v>
      </c>
      <c r="V243" s="60">
        <v>3100</v>
      </c>
      <c r="W243" s="60">
        <f>(W242*($K$1/12))+W242+$W$8</f>
        <v>101062.20347942217</v>
      </c>
      <c r="X243" s="11">
        <v>0</v>
      </c>
      <c r="Y243" s="60">
        <f>(Y242*($K$1/12))+Y242+$Y$8</f>
        <v>336936.80935337528</v>
      </c>
      <c r="Z243" s="60">
        <f>'Mortgage and Loans'!U205</f>
        <v>180000</v>
      </c>
      <c r="AA243" s="12">
        <f t="shared" si="293"/>
        <v>2279547.1517870589</v>
      </c>
      <c r="AB243" s="56">
        <f t="shared" si="301"/>
        <v>750</v>
      </c>
      <c r="AC243" s="56">
        <f t="shared" si="301"/>
        <v>750</v>
      </c>
      <c r="AD243" s="56">
        <f t="shared" si="301"/>
        <v>750</v>
      </c>
      <c r="AE243" s="56">
        <f t="shared" si="301"/>
        <v>750</v>
      </c>
      <c r="AF243" s="56">
        <f t="shared" si="300"/>
        <v>261.43961538461554</v>
      </c>
      <c r="AG243" s="56">
        <f t="shared" si="301"/>
        <v>750</v>
      </c>
      <c r="AH243" s="56">
        <f>'Mortgage and Loans'!AF200</f>
        <v>0</v>
      </c>
      <c r="AI243" s="56">
        <f>'Mortgage and Loans'!AQ200</f>
        <v>0</v>
      </c>
      <c r="AJ243" s="56">
        <f>'Mortgage and Loans'!BB200</f>
        <v>0</v>
      </c>
      <c r="AK243" s="56">
        <f>'Mortgage and Loans'!BM200</f>
        <v>0</v>
      </c>
      <c r="AL243" s="56">
        <f>'Mortgage and Loans'!T205</f>
        <v>0</v>
      </c>
      <c r="AM243" s="12">
        <f t="shared" si="12"/>
        <v>-4011.4396153846155</v>
      </c>
      <c r="AN243" s="75">
        <f t="shared" si="85"/>
        <v>2275535.7121716742</v>
      </c>
      <c r="AO243" s="86">
        <f>'Mortgage and Loans'!G206</f>
        <v>0</v>
      </c>
      <c r="AP243" s="79">
        <f>('Salary Tax Breakdown'!B$16/12)-Data!AO243</f>
        <v>3447.5</v>
      </c>
      <c r="AQ243" s="87"/>
      <c r="AR243" s="20">
        <f t="shared" si="263"/>
        <v>4011.4396153846155</v>
      </c>
      <c r="AS243" s="20">
        <v>750</v>
      </c>
      <c r="AT243" s="20">
        <v>0</v>
      </c>
      <c r="AU243" s="20">
        <f t="shared" si="264"/>
        <v>4761.4396153846155</v>
      </c>
      <c r="AV243" s="20">
        <f t="shared" si="265"/>
        <v>4761.4396153846155</v>
      </c>
      <c r="AW243" s="51">
        <f t="shared" si="294"/>
        <v>0</v>
      </c>
      <c r="AX243" s="51">
        <f t="shared" si="14"/>
        <v>0</v>
      </c>
      <c r="AY243" s="51">
        <f t="shared" si="15"/>
        <v>0</v>
      </c>
      <c r="AZ243" s="51">
        <f t="shared" si="16"/>
        <v>0</v>
      </c>
      <c r="BA243" s="51">
        <f t="shared" si="17"/>
        <v>0</v>
      </c>
      <c r="BB243" s="51">
        <f t="shared" si="18"/>
        <v>0</v>
      </c>
      <c r="BC243" s="51">
        <f t="shared" si="19"/>
        <v>0</v>
      </c>
      <c r="BD243" s="51">
        <f t="shared" si="20"/>
        <v>0</v>
      </c>
      <c r="BE243" s="51">
        <f t="shared" si="21"/>
        <v>0</v>
      </c>
      <c r="BF243" s="51">
        <f t="shared" si="22"/>
        <v>0</v>
      </c>
      <c r="BG243" s="51">
        <f t="shared" si="23"/>
        <v>0</v>
      </c>
      <c r="BH243" s="51">
        <f t="shared" si="24"/>
        <v>0</v>
      </c>
      <c r="BI243" s="51">
        <f t="shared" si="266"/>
        <v>0</v>
      </c>
      <c r="BJ243" s="51">
        <f t="shared" si="267"/>
        <v>0</v>
      </c>
      <c r="BK243" s="51">
        <f t="shared" si="268"/>
        <v>0</v>
      </c>
      <c r="BL243" s="51">
        <f t="shared" si="269"/>
        <v>0</v>
      </c>
      <c r="BM243" s="51">
        <f t="shared" si="270"/>
        <v>0</v>
      </c>
      <c r="BN243" s="51">
        <f t="shared" si="271"/>
        <v>0</v>
      </c>
      <c r="BO243" s="51">
        <f t="shared" si="272"/>
        <v>0</v>
      </c>
      <c r="BP243" s="51">
        <f t="shared" si="273"/>
        <v>0</v>
      </c>
      <c r="BQ243" s="51">
        <f t="shared" si="274"/>
        <v>0</v>
      </c>
      <c r="BR243" s="51">
        <f t="shared" si="275"/>
        <v>0</v>
      </c>
      <c r="BS243" s="51">
        <f t="shared" si="276"/>
        <v>0</v>
      </c>
      <c r="BT243" s="51">
        <f t="shared" si="277"/>
        <v>0</v>
      </c>
      <c r="BU243" s="20">
        <f t="shared" si="278"/>
        <v>4761.4396153846155</v>
      </c>
      <c r="BV243" s="20">
        <f t="shared" si="279"/>
        <v>4761.4396153846164</v>
      </c>
      <c r="BW243" s="20">
        <f t="shared" si="280"/>
        <v>57137.275384615386</v>
      </c>
      <c r="BX243" s="20">
        <f t="shared" si="281"/>
        <v>57137.275384615386</v>
      </c>
      <c r="BY243" s="20">
        <f t="shared" si="282"/>
        <v>57137.275384615394</v>
      </c>
      <c r="BZ243" s="21">
        <f t="shared" si="283"/>
        <v>57137.275384615386</v>
      </c>
      <c r="CA243" s="19">
        <f t="shared" si="297"/>
        <v>1428431.8846153847</v>
      </c>
      <c r="CB243" s="20">
        <f t="shared" si="284"/>
        <v>1428431.8846153847</v>
      </c>
      <c r="CC243" s="20">
        <f t="shared" si="285"/>
        <v>1428431.8846153843</v>
      </c>
      <c r="CD243" s="20">
        <f t="shared" si="298"/>
        <v>0</v>
      </c>
      <c r="CE243" s="20">
        <f t="shared" si="302"/>
        <v>1400000</v>
      </c>
      <c r="CF243" s="20">
        <f t="shared" si="295"/>
        <v>2074941.1383907117</v>
      </c>
      <c r="CG243" s="20">
        <f t="shared" si="286"/>
        <v>82997.645535628471</v>
      </c>
      <c r="CH243" s="20">
        <f t="shared" si="296"/>
        <v>6916.4704613023723</v>
      </c>
      <c r="CI243" s="20">
        <f t="shared" si="287"/>
        <v>2064122.046917621</v>
      </c>
      <c r="CJ243" s="24">
        <f t="shared" si="288"/>
        <v>1.4526006880260895</v>
      </c>
      <c r="CK243" s="24">
        <f t="shared" si="289"/>
        <v>5.2509772271684806E-3</v>
      </c>
      <c r="CL243" s="24">
        <f t="shared" si="290"/>
        <v>1.583315314402866E-2</v>
      </c>
      <c r="CM243" s="25">
        <f t="shared" si="291"/>
        <v>6.4801903925491164E-2</v>
      </c>
      <c r="CN243" s="17"/>
      <c r="CO243" s="17"/>
      <c r="CP243" s="17"/>
      <c r="CQ243" s="17"/>
      <c r="CR243" s="17"/>
      <c r="CS243" s="17"/>
      <c r="CT243" s="17"/>
      <c r="CU243" s="17"/>
      <c r="CV243" s="17"/>
      <c r="CW243" s="30">
        <v>0</v>
      </c>
      <c r="CX243" s="17"/>
      <c r="CY243" s="17"/>
      <c r="CZ243" s="17"/>
      <c r="DA243" s="17"/>
      <c r="DB243" s="17"/>
    </row>
    <row r="244" spans="1:106" ht="15.75" thickBot="1" x14ac:dyDescent="0.3">
      <c r="A244" s="5">
        <f t="shared" si="299"/>
        <v>44</v>
      </c>
      <c r="B244" s="5">
        <f t="shared" si="299"/>
        <v>42</v>
      </c>
      <c r="C244" s="1"/>
      <c r="D244" s="4"/>
      <c r="E244" s="30"/>
      <c r="F244" s="30"/>
      <c r="G244" s="30">
        <f t="shared" si="262"/>
        <v>0</v>
      </c>
      <c r="H244" s="30"/>
      <c r="I244" s="10">
        <v>0</v>
      </c>
      <c r="J244" s="60">
        <v>9000</v>
      </c>
      <c r="K244" s="11">
        <v>550</v>
      </c>
      <c r="L244" s="60">
        <f t="shared" si="72"/>
        <v>11665.091704201081</v>
      </c>
      <c r="M244" s="11">
        <v>305</v>
      </c>
      <c r="N244" s="60">
        <v>0</v>
      </c>
      <c r="O244" s="11">
        <v>0</v>
      </c>
      <c r="P244" s="11">
        <v>0</v>
      </c>
      <c r="Q244" s="60">
        <f>(Q243*($K$1/12))+Q243 + $Q$8</f>
        <v>308118.20567689225</v>
      </c>
      <c r="R244" s="60">
        <f>(R243*($K$1/12))+R243</f>
        <v>13857.508082339124</v>
      </c>
      <c r="S244" s="60">
        <f>(S243*($K$1/12))+S243</f>
        <v>12031.096938914927</v>
      </c>
      <c r="T244" s="60">
        <f>(T243*($K$1/12))+T243+$T$8</f>
        <v>1167374.1224677721</v>
      </c>
      <c r="U244" s="60">
        <f>(U243*$K$1/12) + U243</f>
        <v>146385.96223876777</v>
      </c>
      <c r="V244" s="60">
        <v>3100</v>
      </c>
      <c r="W244" s="60">
        <f>(W243*($K$1/12))+W243+$W$8</f>
        <v>101609.62374826903</v>
      </c>
      <c r="X244" s="11">
        <v>0</v>
      </c>
      <c r="Y244" s="60">
        <f>(Y243*($K$1/12))+Y243+$Y$8</f>
        <v>336461.88373737276</v>
      </c>
      <c r="Z244" s="60">
        <f>'Mortgage and Loans'!U206</f>
        <v>180000</v>
      </c>
      <c r="AA244" s="12">
        <f t="shared" si="293"/>
        <v>2290458.4945945288</v>
      </c>
      <c r="AB244" s="56">
        <f t="shared" si="301"/>
        <v>750</v>
      </c>
      <c r="AC244" s="56">
        <f t="shared" si="301"/>
        <v>750</v>
      </c>
      <c r="AD244" s="56">
        <f t="shared" si="301"/>
        <v>750</v>
      </c>
      <c r="AE244" s="56">
        <f t="shared" si="301"/>
        <v>750</v>
      </c>
      <c r="AF244" s="56">
        <f t="shared" si="300"/>
        <v>261.43961538461554</v>
      </c>
      <c r="AG244" s="56">
        <f t="shared" si="301"/>
        <v>750</v>
      </c>
      <c r="AH244" s="56">
        <f>'Mortgage and Loans'!AF201</f>
        <v>0</v>
      </c>
      <c r="AI244" s="56">
        <f>'Mortgage and Loans'!AQ201</f>
        <v>0</v>
      </c>
      <c r="AJ244" s="56">
        <f>'Mortgage and Loans'!BB201</f>
        <v>0</v>
      </c>
      <c r="AK244" s="56">
        <f>'Mortgage and Loans'!BM201</f>
        <v>0</v>
      </c>
      <c r="AL244" s="56">
        <f>'Mortgage and Loans'!T206</f>
        <v>0</v>
      </c>
      <c r="AM244" s="12">
        <f t="shared" si="12"/>
        <v>-4011.4396153846155</v>
      </c>
      <c r="AN244" s="75">
        <f t="shared" si="85"/>
        <v>2286447.0549791441</v>
      </c>
      <c r="AO244" s="86">
        <f>'Mortgage and Loans'!G207</f>
        <v>0</v>
      </c>
      <c r="AP244" s="79">
        <f>('Salary Tax Breakdown'!B$16/12)-Data!AO244</f>
        <v>3447.5</v>
      </c>
      <c r="AQ244" s="87"/>
      <c r="AR244" s="20">
        <f t="shared" si="263"/>
        <v>4011.4396153846155</v>
      </c>
      <c r="AS244" s="20">
        <v>750</v>
      </c>
      <c r="AT244" s="20">
        <v>0</v>
      </c>
      <c r="AU244" s="20">
        <f t="shared" si="264"/>
        <v>4761.4396153846155</v>
      </c>
      <c r="AV244" s="20">
        <f t="shared" si="265"/>
        <v>4761.4396153846155</v>
      </c>
      <c r="AW244" s="51">
        <f t="shared" si="294"/>
        <v>0</v>
      </c>
      <c r="AX244" s="51">
        <f t="shared" si="14"/>
        <v>0</v>
      </c>
      <c r="AY244" s="51">
        <f t="shared" si="15"/>
        <v>0</v>
      </c>
      <c r="AZ244" s="51">
        <f t="shared" si="16"/>
        <v>0</v>
      </c>
      <c r="BA244" s="51">
        <f t="shared" si="17"/>
        <v>0</v>
      </c>
      <c r="BB244" s="51">
        <f t="shared" si="18"/>
        <v>0</v>
      </c>
      <c r="BC244" s="51">
        <f t="shared" si="19"/>
        <v>0</v>
      </c>
      <c r="BD244" s="51">
        <f t="shared" si="20"/>
        <v>0</v>
      </c>
      <c r="BE244" s="51">
        <f t="shared" si="21"/>
        <v>0</v>
      </c>
      <c r="BF244" s="51">
        <f t="shared" si="22"/>
        <v>0</v>
      </c>
      <c r="BG244" s="51">
        <f t="shared" si="23"/>
        <v>0</v>
      </c>
      <c r="BH244" s="51">
        <f t="shared" si="24"/>
        <v>0</v>
      </c>
      <c r="BI244" s="51">
        <f t="shared" si="266"/>
        <v>0</v>
      </c>
      <c r="BJ244" s="51">
        <f t="shared" si="267"/>
        <v>0</v>
      </c>
      <c r="BK244" s="51">
        <f t="shared" si="268"/>
        <v>0</v>
      </c>
      <c r="BL244" s="51">
        <f t="shared" si="269"/>
        <v>0</v>
      </c>
      <c r="BM244" s="51">
        <f t="shared" si="270"/>
        <v>0</v>
      </c>
      <c r="BN244" s="51">
        <f t="shared" si="271"/>
        <v>0</v>
      </c>
      <c r="BO244" s="51">
        <f t="shared" si="272"/>
        <v>0</v>
      </c>
      <c r="BP244" s="51">
        <f t="shared" si="273"/>
        <v>0</v>
      </c>
      <c r="BQ244" s="51">
        <f t="shared" si="274"/>
        <v>0</v>
      </c>
      <c r="BR244" s="51">
        <f t="shared" si="275"/>
        <v>0</v>
      </c>
      <c r="BS244" s="51">
        <f t="shared" si="276"/>
        <v>0</v>
      </c>
      <c r="BT244" s="51">
        <f t="shared" si="277"/>
        <v>0</v>
      </c>
      <c r="BU244" s="20">
        <f t="shared" si="278"/>
        <v>4761.4396153846155</v>
      </c>
      <c r="BV244" s="20">
        <f t="shared" si="279"/>
        <v>4761.4396153846164</v>
      </c>
      <c r="BW244" s="20">
        <f t="shared" si="280"/>
        <v>57137.275384615386</v>
      </c>
      <c r="BX244" s="20">
        <f t="shared" si="281"/>
        <v>57137.275384615386</v>
      </c>
      <c r="BY244" s="20">
        <f t="shared" si="282"/>
        <v>57137.275384615394</v>
      </c>
      <c r="BZ244" s="21">
        <f t="shared" si="283"/>
        <v>57137.275384615386</v>
      </c>
      <c r="CA244" s="19">
        <f t="shared" si="297"/>
        <v>1428431.8846153847</v>
      </c>
      <c r="CB244" s="20">
        <f t="shared" si="284"/>
        <v>1428431.8846153847</v>
      </c>
      <c r="CC244" s="20">
        <f t="shared" si="285"/>
        <v>1428431.8846153843</v>
      </c>
      <c r="CD244" s="20">
        <f t="shared" si="298"/>
        <v>0</v>
      </c>
      <c r="CE244" s="20">
        <f t="shared" si="302"/>
        <v>1400000</v>
      </c>
      <c r="CF244" s="20">
        <f t="shared" si="295"/>
        <v>2085838.4028903279</v>
      </c>
      <c r="CG244" s="20">
        <f t="shared" si="286"/>
        <v>83433.536115613111</v>
      </c>
      <c r="CH244" s="20">
        <f t="shared" si="296"/>
        <v>6952.7946763010923</v>
      </c>
      <c r="CI244" s="20">
        <f t="shared" si="287"/>
        <v>2074960.7080050912</v>
      </c>
      <c r="CJ244" s="24">
        <f t="shared" si="288"/>
        <v>1.4602295183658369</v>
      </c>
      <c r="CK244" s="24">
        <f t="shared" si="289"/>
        <v>5.2518427139903543E-3</v>
      </c>
      <c r="CL244" s="24">
        <f t="shared" si="290"/>
        <v>1.5835790303357987E-2</v>
      </c>
      <c r="CM244" s="25">
        <f t="shared" si="291"/>
        <v>6.4813217677274104E-2</v>
      </c>
      <c r="CN244" s="17"/>
      <c r="CO244" s="17"/>
      <c r="CP244" s="17"/>
      <c r="CQ244" s="17"/>
      <c r="CR244" s="17"/>
      <c r="CS244" s="17"/>
      <c r="CT244" s="17"/>
      <c r="CU244" s="17"/>
      <c r="CV244" s="17"/>
      <c r="CW244" s="30">
        <v>0</v>
      </c>
      <c r="CX244" s="17"/>
      <c r="CY244" s="17"/>
      <c r="CZ244" s="17"/>
      <c r="DA244" s="17"/>
      <c r="DB244" s="17"/>
    </row>
    <row r="245" spans="1:106" ht="15.75" thickBot="1" x14ac:dyDescent="0.3">
      <c r="A245" s="5">
        <f t="shared" si="299"/>
        <v>44</v>
      </c>
      <c r="B245" s="5">
        <f t="shared" si="299"/>
        <v>42</v>
      </c>
      <c r="C245" s="1"/>
      <c r="D245" s="4"/>
      <c r="E245" s="30"/>
      <c r="F245" s="30"/>
      <c r="G245" s="30">
        <f t="shared" si="262"/>
        <v>0</v>
      </c>
      <c r="H245" s="30"/>
      <c r="I245" s="10">
        <v>0</v>
      </c>
      <c r="J245" s="60">
        <v>9000</v>
      </c>
      <c r="K245" s="11">
        <v>550</v>
      </c>
      <c r="L245" s="60">
        <f t="shared" si="72"/>
        <v>11679.187023343657</v>
      </c>
      <c r="M245" s="11">
        <v>305</v>
      </c>
      <c r="N245" s="60">
        <v>0</v>
      </c>
      <c r="O245" s="11">
        <v>0</v>
      </c>
      <c r="P245" s="11">
        <v>0</v>
      </c>
      <c r="Q245" s="60">
        <f>(Q244*($K$1/12))+Q244 + $Q$8</f>
        <v>310245.17929097544</v>
      </c>
      <c r="R245" s="60">
        <f>(R244*($K$1/12))+R244</f>
        <v>13932.569584451794</v>
      </c>
      <c r="S245" s="60">
        <f>(S244*($K$1/12))+S244</f>
        <v>12096.265380667382</v>
      </c>
      <c r="T245" s="60">
        <f>(T244*($K$1/12))+T244+$T$8</f>
        <v>1175197.3989644726</v>
      </c>
      <c r="U245" s="60">
        <f>(U244*$K$1/12) + U244</f>
        <v>147178.88620089443</v>
      </c>
      <c r="V245" s="60">
        <v>3100</v>
      </c>
      <c r="W245" s="60">
        <f>(W244*($K$1/12))+W244+$W$8</f>
        <v>102160.00921023883</v>
      </c>
      <c r="X245" s="11">
        <v>0</v>
      </c>
      <c r="Y245" s="60">
        <f>(Y244*($K$1/12))+Y244+$Y$8</f>
        <v>335984.38560761686</v>
      </c>
      <c r="Z245" s="60">
        <f>'Mortgage and Loans'!U207</f>
        <v>180000</v>
      </c>
      <c r="AA245" s="12">
        <f t="shared" si="293"/>
        <v>2301428.881262661</v>
      </c>
      <c r="AB245" s="56">
        <f t="shared" si="301"/>
        <v>750</v>
      </c>
      <c r="AC245" s="56">
        <f t="shared" si="301"/>
        <v>750</v>
      </c>
      <c r="AD245" s="56">
        <f t="shared" si="301"/>
        <v>750</v>
      </c>
      <c r="AE245" s="56">
        <f t="shared" si="301"/>
        <v>750</v>
      </c>
      <c r="AF245" s="56">
        <f t="shared" si="300"/>
        <v>261.43961538461554</v>
      </c>
      <c r="AG245" s="56">
        <f t="shared" si="301"/>
        <v>750</v>
      </c>
      <c r="AH245" s="56">
        <f>'Mortgage and Loans'!AF202</f>
        <v>0</v>
      </c>
      <c r="AI245" s="56">
        <f>'Mortgage and Loans'!AQ202</f>
        <v>0</v>
      </c>
      <c r="AJ245" s="56">
        <f>'Mortgage and Loans'!BB202</f>
        <v>0</v>
      </c>
      <c r="AK245" s="56">
        <f>'Mortgage and Loans'!BM202</f>
        <v>0</v>
      </c>
      <c r="AL245" s="56">
        <f>'Mortgage and Loans'!T207</f>
        <v>0</v>
      </c>
      <c r="AM245" s="12">
        <f t="shared" si="12"/>
        <v>-4011.4396153846155</v>
      </c>
      <c r="AN245" s="75">
        <f t="shared" si="85"/>
        <v>2297417.4416472763</v>
      </c>
      <c r="AO245" s="86">
        <f>'Mortgage and Loans'!G208</f>
        <v>0</v>
      </c>
      <c r="AP245" s="79">
        <f>('Salary Tax Breakdown'!B$16/12)-Data!AO245</f>
        <v>3447.5</v>
      </c>
      <c r="AQ245" s="87"/>
      <c r="AR245" s="20">
        <f t="shared" si="263"/>
        <v>4011.4396153846155</v>
      </c>
      <c r="AS245" s="20">
        <v>750</v>
      </c>
      <c r="AT245" s="20">
        <v>0</v>
      </c>
      <c r="AU245" s="20">
        <f t="shared" si="264"/>
        <v>4761.4396153846155</v>
      </c>
      <c r="AV245" s="20">
        <f t="shared" si="265"/>
        <v>4761.4396153846155</v>
      </c>
      <c r="AW245" s="51">
        <f t="shared" si="294"/>
        <v>0</v>
      </c>
      <c r="AX245" s="51">
        <f t="shared" si="14"/>
        <v>0</v>
      </c>
      <c r="AY245" s="51">
        <f t="shared" si="15"/>
        <v>0</v>
      </c>
      <c r="AZ245" s="51">
        <f t="shared" si="16"/>
        <v>0</v>
      </c>
      <c r="BA245" s="51">
        <f t="shared" si="17"/>
        <v>0</v>
      </c>
      <c r="BB245" s="51">
        <f t="shared" si="18"/>
        <v>0</v>
      </c>
      <c r="BC245" s="51">
        <f t="shared" si="19"/>
        <v>0</v>
      </c>
      <c r="BD245" s="51">
        <f t="shared" si="20"/>
        <v>0</v>
      </c>
      <c r="BE245" s="51">
        <f t="shared" si="21"/>
        <v>0</v>
      </c>
      <c r="BF245" s="51">
        <f t="shared" si="22"/>
        <v>0</v>
      </c>
      <c r="BG245" s="51">
        <f t="shared" si="23"/>
        <v>0</v>
      </c>
      <c r="BH245" s="51">
        <f t="shared" si="24"/>
        <v>0</v>
      </c>
      <c r="BI245" s="51">
        <f t="shared" si="266"/>
        <v>0</v>
      </c>
      <c r="BJ245" s="51">
        <f t="shared" si="267"/>
        <v>0</v>
      </c>
      <c r="BK245" s="51">
        <f t="shared" si="268"/>
        <v>0</v>
      </c>
      <c r="BL245" s="51">
        <f t="shared" si="269"/>
        <v>0</v>
      </c>
      <c r="BM245" s="51">
        <f t="shared" si="270"/>
        <v>0</v>
      </c>
      <c r="BN245" s="51">
        <f t="shared" si="271"/>
        <v>0</v>
      </c>
      <c r="BO245" s="51">
        <f t="shared" si="272"/>
        <v>0</v>
      </c>
      <c r="BP245" s="51">
        <f t="shared" si="273"/>
        <v>0</v>
      </c>
      <c r="BQ245" s="51">
        <f t="shared" si="274"/>
        <v>0</v>
      </c>
      <c r="BR245" s="51">
        <f t="shared" si="275"/>
        <v>0</v>
      </c>
      <c r="BS245" s="51">
        <f t="shared" si="276"/>
        <v>0</v>
      </c>
      <c r="BT245" s="51">
        <f t="shared" si="277"/>
        <v>0</v>
      </c>
      <c r="BU245" s="20">
        <f t="shared" si="278"/>
        <v>4761.4396153846155</v>
      </c>
      <c r="BV245" s="20">
        <f t="shared" si="279"/>
        <v>4761.4396153846164</v>
      </c>
      <c r="BW245" s="20">
        <f t="shared" si="280"/>
        <v>57137.275384615386</v>
      </c>
      <c r="BX245" s="20">
        <f t="shared" si="281"/>
        <v>57137.275384615386</v>
      </c>
      <c r="BY245" s="20">
        <f t="shared" si="282"/>
        <v>57137.275384615394</v>
      </c>
      <c r="BZ245" s="21">
        <f t="shared" si="283"/>
        <v>57137.275384615386</v>
      </c>
      <c r="CA245" s="19">
        <f t="shared" si="297"/>
        <v>1428431.8846153847</v>
      </c>
      <c r="CB245" s="20">
        <f t="shared" si="284"/>
        <v>1428431.8846153847</v>
      </c>
      <c r="CC245" s="20">
        <f t="shared" si="285"/>
        <v>1428431.8846153843</v>
      </c>
      <c r="CD245" s="20">
        <f t="shared" si="298"/>
        <v>0</v>
      </c>
      <c r="CE245" s="20">
        <f t="shared" si="302"/>
        <v>1400000</v>
      </c>
      <c r="CF245" s="20">
        <f t="shared" si="295"/>
        <v>2096794.6942393172</v>
      </c>
      <c r="CG245" s="20">
        <f t="shared" si="286"/>
        <v>83871.787769572693</v>
      </c>
      <c r="CH245" s="20">
        <f t="shared" si="296"/>
        <v>6989.3156474643911</v>
      </c>
      <c r="CI245" s="20">
        <f t="shared" si="287"/>
        <v>2085858.0785067857</v>
      </c>
      <c r="CJ245" s="24">
        <f t="shared" si="288"/>
        <v>1.4678996715365913</v>
      </c>
      <c r="CK245" s="24">
        <f t="shared" si="289"/>
        <v>5.2527038210665403E-3</v>
      </c>
      <c r="CL245" s="24">
        <f t="shared" si="290"/>
        <v>1.5838414126577292E-2</v>
      </c>
      <c r="CM245" s="25">
        <f t="shared" si="291"/>
        <v>6.482447439573974E-2</v>
      </c>
      <c r="CN245" s="17"/>
      <c r="CO245" s="17"/>
      <c r="CP245" s="17"/>
      <c r="CQ245" s="17"/>
      <c r="CR245" s="17"/>
      <c r="CS245" s="17"/>
      <c r="CT245" s="17"/>
      <c r="CU245" s="17"/>
      <c r="CV245" s="17"/>
      <c r="CW245" s="30">
        <v>0</v>
      </c>
      <c r="CX245" s="17"/>
      <c r="CY245" s="17"/>
      <c r="CZ245" s="17"/>
      <c r="DA245" s="17"/>
      <c r="DB245" s="17"/>
    </row>
    <row r="246" spans="1:106" ht="15.75" thickBot="1" x14ac:dyDescent="0.3">
      <c r="A246" s="5">
        <f t="shared" si="299"/>
        <v>44</v>
      </c>
      <c r="B246" s="5">
        <f t="shared" si="299"/>
        <v>42</v>
      </c>
      <c r="C246" s="1"/>
      <c r="D246" s="4"/>
      <c r="E246" s="30"/>
      <c r="F246" s="30"/>
      <c r="G246" s="30">
        <f t="shared" si="262"/>
        <v>0</v>
      </c>
      <c r="H246" s="30"/>
      <c r="I246" s="10">
        <v>0</v>
      </c>
      <c r="J246" s="60">
        <v>9000</v>
      </c>
      <c r="K246" s="11">
        <v>550</v>
      </c>
      <c r="L246" s="60">
        <f t="shared" si="72"/>
        <v>11693.299374330196</v>
      </c>
      <c r="M246" s="11">
        <v>305</v>
      </c>
      <c r="N246" s="60">
        <v>0</v>
      </c>
      <c r="O246" s="11">
        <v>0</v>
      </c>
      <c r="P246" s="11">
        <v>0</v>
      </c>
      <c r="Q246" s="60">
        <f>(Q245*($K$1/12))+Q245 + $Q$8</f>
        <v>312383.6740121349</v>
      </c>
      <c r="R246" s="60">
        <f>(R245*($K$1/12))+R245</f>
        <v>14008.037669700909</v>
      </c>
      <c r="S246" s="60">
        <f>(S245*($K$1/12))+S245</f>
        <v>12161.786818145998</v>
      </c>
      <c r="T246" s="60">
        <f>(T245*($K$1/12))+T245+$T$8</f>
        <v>1183063.0515421969</v>
      </c>
      <c r="U246" s="60">
        <f>(U245*$K$1/12) + U245</f>
        <v>147976.10516781593</v>
      </c>
      <c r="V246" s="60">
        <v>3100</v>
      </c>
      <c r="W246" s="60">
        <f>(W245*($K$1/12))+W245+$W$8</f>
        <v>102713.3759267943</v>
      </c>
      <c r="X246" s="11">
        <v>0</v>
      </c>
      <c r="Y246" s="60">
        <f>(Y245*($K$1/12))+Y245+$Y$8</f>
        <v>335504.30102965812</v>
      </c>
      <c r="Z246" s="60">
        <f>'Mortgage and Loans'!U208</f>
        <v>180000</v>
      </c>
      <c r="AA246" s="12">
        <f t="shared" si="293"/>
        <v>2312458.6315407772</v>
      </c>
      <c r="AB246" s="56">
        <f t="shared" si="301"/>
        <v>750</v>
      </c>
      <c r="AC246" s="56">
        <f t="shared" si="301"/>
        <v>750</v>
      </c>
      <c r="AD246" s="56">
        <f t="shared" si="301"/>
        <v>750</v>
      </c>
      <c r="AE246" s="56">
        <f t="shared" si="301"/>
        <v>750</v>
      </c>
      <c r="AF246" s="56">
        <f t="shared" si="300"/>
        <v>261.43961538461548</v>
      </c>
      <c r="AG246" s="56">
        <f t="shared" si="301"/>
        <v>750</v>
      </c>
      <c r="AH246" s="56">
        <f>'Mortgage and Loans'!AF203</f>
        <v>0</v>
      </c>
      <c r="AI246" s="56">
        <f>'Mortgage and Loans'!AQ203</f>
        <v>0</v>
      </c>
      <c r="AJ246" s="56">
        <f>'Mortgage and Loans'!BB203</f>
        <v>0</v>
      </c>
      <c r="AK246" s="56">
        <f>'Mortgage and Loans'!BM203</f>
        <v>0</v>
      </c>
      <c r="AL246" s="56">
        <f>'Mortgage and Loans'!T208</f>
        <v>0</v>
      </c>
      <c r="AM246" s="12">
        <f t="shared" si="12"/>
        <v>-4011.4396153846155</v>
      </c>
      <c r="AN246" s="75">
        <f t="shared" si="85"/>
        <v>2308447.1919253925</v>
      </c>
      <c r="AO246" s="86">
        <f>'Mortgage and Loans'!G209</f>
        <v>0</v>
      </c>
      <c r="AP246" s="79">
        <f>('Salary Tax Breakdown'!B$16/12)-Data!AO246</f>
        <v>3447.5</v>
      </c>
      <c r="AQ246" s="87"/>
      <c r="AR246" s="20">
        <f t="shared" si="263"/>
        <v>4011.4396153846155</v>
      </c>
      <c r="AS246" s="20">
        <v>750</v>
      </c>
      <c r="AT246" s="20">
        <v>0</v>
      </c>
      <c r="AU246" s="20">
        <f t="shared" si="264"/>
        <v>4761.4396153846155</v>
      </c>
      <c r="AV246" s="20">
        <f t="shared" si="265"/>
        <v>4761.4396153846155</v>
      </c>
      <c r="AW246" s="51">
        <f t="shared" si="294"/>
        <v>0</v>
      </c>
      <c r="AX246" s="51">
        <f t="shared" si="14"/>
        <v>0</v>
      </c>
      <c r="AY246" s="51">
        <f t="shared" si="15"/>
        <v>0</v>
      </c>
      <c r="AZ246" s="51">
        <f t="shared" si="16"/>
        <v>0</v>
      </c>
      <c r="BA246" s="51">
        <f t="shared" si="17"/>
        <v>0</v>
      </c>
      <c r="BB246" s="51">
        <f t="shared" si="18"/>
        <v>0</v>
      </c>
      <c r="BC246" s="51">
        <f t="shared" si="19"/>
        <v>0</v>
      </c>
      <c r="BD246" s="51">
        <f t="shared" si="20"/>
        <v>0</v>
      </c>
      <c r="BE246" s="51">
        <f t="shared" si="21"/>
        <v>0</v>
      </c>
      <c r="BF246" s="51">
        <f t="shared" si="22"/>
        <v>0</v>
      </c>
      <c r="BG246" s="51">
        <f t="shared" si="23"/>
        <v>0</v>
      </c>
      <c r="BH246" s="51">
        <f t="shared" si="24"/>
        <v>0</v>
      </c>
      <c r="BI246" s="51">
        <f t="shared" si="266"/>
        <v>0</v>
      </c>
      <c r="BJ246" s="51">
        <f t="shared" si="267"/>
        <v>0</v>
      </c>
      <c r="BK246" s="51">
        <f t="shared" si="268"/>
        <v>0</v>
      </c>
      <c r="BL246" s="51">
        <f t="shared" si="269"/>
        <v>0</v>
      </c>
      <c r="BM246" s="51">
        <f t="shared" si="270"/>
        <v>0</v>
      </c>
      <c r="BN246" s="51">
        <f t="shared" si="271"/>
        <v>0</v>
      </c>
      <c r="BO246" s="51">
        <f t="shared" si="272"/>
        <v>0</v>
      </c>
      <c r="BP246" s="51">
        <f t="shared" si="273"/>
        <v>0</v>
      </c>
      <c r="BQ246" s="51">
        <f t="shared" si="274"/>
        <v>0</v>
      </c>
      <c r="BR246" s="51">
        <f t="shared" si="275"/>
        <v>0</v>
      </c>
      <c r="BS246" s="51">
        <f t="shared" si="276"/>
        <v>0</v>
      </c>
      <c r="BT246" s="51">
        <f t="shared" si="277"/>
        <v>0</v>
      </c>
      <c r="BU246" s="20">
        <f t="shared" si="278"/>
        <v>4761.4396153846155</v>
      </c>
      <c r="BV246" s="20">
        <f t="shared" si="279"/>
        <v>4761.4396153846164</v>
      </c>
      <c r="BW246" s="20">
        <f t="shared" si="280"/>
        <v>57137.275384615386</v>
      </c>
      <c r="BX246" s="20">
        <f t="shared" si="281"/>
        <v>57137.275384615386</v>
      </c>
      <c r="BY246" s="20">
        <f t="shared" si="282"/>
        <v>57137.275384615394</v>
      </c>
      <c r="BZ246" s="21">
        <f t="shared" si="283"/>
        <v>57137.275384615386</v>
      </c>
      <c r="CA246" s="19">
        <f t="shared" si="297"/>
        <v>1428431.8846153847</v>
      </c>
      <c r="CB246" s="20">
        <f t="shared" si="284"/>
        <v>1428431.8846153847</v>
      </c>
      <c r="CC246" s="20">
        <f t="shared" si="285"/>
        <v>1428431.8846153843</v>
      </c>
      <c r="CD246" s="20">
        <f t="shared" si="298"/>
        <v>0</v>
      </c>
      <c r="CE246" s="20">
        <f t="shared" si="302"/>
        <v>1400000</v>
      </c>
      <c r="CF246" s="20">
        <f t="shared" si="295"/>
        <v>2107810.3321664473</v>
      </c>
      <c r="CG246" s="20">
        <f t="shared" si="286"/>
        <v>84312.413286657888</v>
      </c>
      <c r="CH246" s="20">
        <f t="shared" si="296"/>
        <v>7026.034440554824</v>
      </c>
      <c r="CI246" s="20">
        <f t="shared" si="287"/>
        <v>2096814.4764320308</v>
      </c>
      <c r="CJ246" s="24">
        <f t="shared" si="288"/>
        <v>1.475611371370354</v>
      </c>
      <c r="CK246" s="24">
        <f t="shared" si="289"/>
        <v>5.2535605690887111E-3</v>
      </c>
      <c r="CL246" s="24">
        <f t="shared" si="290"/>
        <v>1.5841024676597978E-2</v>
      </c>
      <c r="CM246" s="25">
        <f t="shared" si="291"/>
        <v>6.4835674348057176E-2</v>
      </c>
      <c r="CN246" s="17"/>
      <c r="CO246" s="17"/>
      <c r="CP246" s="17"/>
      <c r="CQ246" s="17"/>
      <c r="CR246" s="17"/>
      <c r="CS246" s="17"/>
      <c r="CT246" s="17"/>
      <c r="CU246" s="17"/>
      <c r="CV246" s="17"/>
      <c r="CW246" s="30">
        <v>0</v>
      </c>
      <c r="CX246" s="17"/>
      <c r="CY246" s="17"/>
      <c r="CZ246" s="17"/>
      <c r="DA246" s="17"/>
      <c r="DB246" s="17"/>
    </row>
    <row r="247" spans="1:106" ht="15.75" thickBot="1" x14ac:dyDescent="0.3">
      <c r="A247" s="5">
        <f t="shared" si="299"/>
        <v>44</v>
      </c>
      <c r="B247" s="5">
        <f t="shared" si="299"/>
        <v>42</v>
      </c>
      <c r="C247" s="1"/>
      <c r="D247" s="4"/>
      <c r="E247" s="30"/>
      <c r="F247" s="30"/>
      <c r="G247" s="30">
        <f t="shared" si="262"/>
        <v>0</v>
      </c>
      <c r="H247" s="30"/>
      <c r="I247" s="10">
        <v>0</v>
      </c>
      <c r="J247" s="60">
        <v>9000</v>
      </c>
      <c r="K247" s="11">
        <v>550</v>
      </c>
      <c r="L247" s="60">
        <f t="shared" si="72"/>
        <v>11707.428777740844</v>
      </c>
      <c r="M247" s="11">
        <v>305</v>
      </c>
      <c r="N247" s="60">
        <v>0</v>
      </c>
      <c r="O247" s="11">
        <v>0</v>
      </c>
      <c r="P247" s="11">
        <v>0</v>
      </c>
      <c r="Q247" s="60">
        <f>(Q246*($K$1/12))+Q246 + $Q$8</f>
        <v>314533.75224636728</v>
      </c>
      <c r="R247" s="60">
        <f>(R246*($K$1/12))+R246</f>
        <v>14083.914540411788</v>
      </c>
      <c r="S247" s="60">
        <f>(S246*($K$1/12))+S246</f>
        <v>12227.663163410956</v>
      </c>
      <c r="T247" s="60">
        <f>(T246*($K$1/12))+T246+$T$8</f>
        <v>1190971.3097380504</v>
      </c>
      <c r="U247" s="60">
        <f>(U246*$K$1/12) + U246</f>
        <v>148777.6424041416</v>
      </c>
      <c r="V247" s="60">
        <v>3100</v>
      </c>
      <c r="W247" s="60">
        <f>(W246*($K$1/12))+W246+$W$8</f>
        <v>103269.74004639777</v>
      </c>
      <c r="X247" s="11">
        <v>0</v>
      </c>
      <c r="Y247" s="60">
        <f>(Y246*($K$1/12))+Y246+$Y$8</f>
        <v>335021.61599356879</v>
      </c>
      <c r="Z247" s="60">
        <f>'Mortgage and Loans'!U209</f>
        <v>180000</v>
      </c>
      <c r="AA247" s="12">
        <f t="shared" si="293"/>
        <v>2323548.0669100895</v>
      </c>
      <c r="AB247" s="56">
        <f t="shared" si="301"/>
        <v>750</v>
      </c>
      <c r="AC247" s="56">
        <f t="shared" si="301"/>
        <v>750</v>
      </c>
      <c r="AD247" s="56">
        <f t="shared" si="301"/>
        <v>750</v>
      </c>
      <c r="AE247" s="56">
        <f t="shared" si="301"/>
        <v>750</v>
      </c>
      <c r="AF247" s="56">
        <f t="shared" si="300"/>
        <v>261.43961538461554</v>
      </c>
      <c r="AG247" s="56">
        <f t="shared" si="301"/>
        <v>750</v>
      </c>
      <c r="AH247" s="56">
        <f>'Mortgage and Loans'!AF204</f>
        <v>0</v>
      </c>
      <c r="AI247" s="56">
        <f>'Mortgage and Loans'!AQ204</f>
        <v>0</v>
      </c>
      <c r="AJ247" s="56">
        <f>'Mortgage and Loans'!BB204</f>
        <v>0</v>
      </c>
      <c r="AK247" s="56">
        <f>'Mortgage and Loans'!BM204</f>
        <v>0</v>
      </c>
      <c r="AL247" s="56">
        <f>'Mortgage and Loans'!T209</f>
        <v>0</v>
      </c>
      <c r="AM247" s="12">
        <f t="shared" si="12"/>
        <v>-4011.4396153846155</v>
      </c>
      <c r="AN247" s="75">
        <f t="shared" si="85"/>
        <v>2319536.6272947048</v>
      </c>
      <c r="AO247" s="86">
        <f>'Mortgage and Loans'!G210</f>
        <v>0</v>
      </c>
      <c r="AP247" s="79">
        <f>('Salary Tax Breakdown'!B$16/12)-Data!AO247</f>
        <v>3447.5</v>
      </c>
      <c r="AQ247" s="87"/>
      <c r="AR247" s="20">
        <f t="shared" si="263"/>
        <v>4011.4396153846155</v>
      </c>
      <c r="AS247" s="20">
        <v>750</v>
      </c>
      <c r="AT247" s="20">
        <v>0</v>
      </c>
      <c r="AU247" s="20">
        <f t="shared" si="264"/>
        <v>4761.4396153846155</v>
      </c>
      <c r="AV247" s="20">
        <f t="shared" si="265"/>
        <v>4761.4396153846155</v>
      </c>
      <c r="AW247" s="51">
        <f t="shared" si="294"/>
        <v>0</v>
      </c>
      <c r="AX247" s="51">
        <f t="shared" si="14"/>
        <v>0</v>
      </c>
      <c r="AY247" s="51">
        <f t="shared" si="15"/>
        <v>0</v>
      </c>
      <c r="AZ247" s="51">
        <f t="shared" si="16"/>
        <v>0</v>
      </c>
      <c r="BA247" s="51">
        <f t="shared" si="17"/>
        <v>0</v>
      </c>
      <c r="BB247" s="51">
        <f t="shared" si="18"/>
        <v>0</v>
      </c>
      <c r="BC247" s="51">
        <f t="shared" si="19"/>
        <v>0</v>
      </c>
      <c r="BD247" s="51">
        <f t="shared" si="20"/>
        <v>0</v>
      </c>
      <c r="BE247" s="51">
        <f t="shared" si="21"/>
        <v>0</v>
      </c>
      <c r="BF247" s="51">
        <f t="shared" si="22"/>
        <v>0</v>
      </c>
      <c r="BG247" s="51">
        <f t="shared" si="23"/>
        <v>0</v>
      </c>
      <c r="BH247" s="51">
        <f t="shared" si="24"/>
        <v>0</v>
      </c>
      <c r="BI247" s="51">
        <f t="shared" si="266"/>
        <v>0</v>
      </c>
      <c r="BJ247" s="51">
        <f t="shared" si="267"/>
        <v>0</v>
      </c>
      <c r="BK247" s="51">
        <f t="shared" si="268"/>
        <v>0</v>
      </c>
      <c r="BL247" s="51">
        <f t="shared" si="269"/>
        <v>0</v>
      </c>
      <c r="BM247" s="51">
        <f t="shared" si="270"/>
        <v>0</v>
      </c>
      <c r="BN247" s="51">
        <f t="shared" si="271"/>
        <v>0</v>
      </c>
      <c r="BO247" s="51">
        <f t="shared" si="272"/>
        <v>0</v>
      </c>
      <c r="BP247" s="51">
        <f t="shared" si="273"/>
        <v>0</v>
      </c>
      <c r="BQ247" s="51">
        <f t="shared" si="274"/>
        <v>0</v>
      </c>
      <c r="BR247" s="51">
        <f t="shared" si="275"/>
        <v>0</v>
      </c>
      <c r="BS247" s="51">
        <f t="shared" si="276"/>
        <v>0</v>
      </c>
      <c r="BT247" s="51">
        <f t="shared" si="277"/>
        <v>0</v>
      </c>
      <c r="BU247" s="20">
        <f t="shared" si="278"/>
        <v>4761.4396153846155</v>
      </c>
      <c r="BV247" s="20">
        <f t="shared" si="279"/>
        <v>4761.4396153846164</v>
      </c>
      <c r="BW247" s="20">
        <f t="shared" si="280"/>
        <v>57137.275384615386</v>
      </c>
      <c r="BX247" s="20">
        <f t="shared" si="281"/>
        <v>57137.275384615386</v>
      </c>
      <c r="BY247" s="20">
        <f t="shared" si="282"/>
        <v>57137.275384615394</v>
      </c>
      <c r="BZ247" s="21">
        <f t="shared" si="283"/>
        <v>57137.275384615386</v>
      </c>
      <c r="CA247" s="19">
        <f t="shared" si="297"/>
        <v>1428431.8846153847</v>
      </c>
      <c r="CB247" s="20">
        <f t="shared" si="284"/>
        <v>1428431.8846153847</v>
      </c>
      <c r="CC247" s="20">
        <f t="shared" si="285"/>
        <v>1428431.8846153843</v>
      </c>
      <c r="CD247" s="20">
        <f t="shared" si="298"/>
        <v>0</v>
      </c>
      <c r="CE247" s="20">
        <f t="shared" si="302"/>
        <v>1400000</v>
      </c>
      <c r="CF247" s="20">
        <f t="shared" si="295"/>
        <v>2118885.6381323487</v>
      </c>
      <c r="CG247" s="20">
        <f t="shared" si="286"/>
        <v>84755.425525293947</v>
      </c>
      <c r="CH247" s="20">
        <f t="shared" si="296"/>
        <v>7062.9521271078293</v>
      </c>
      <c r="CI247" s="20">
        <f t="shared" si="287"/>
        <v>2107830.2215127046</v>
      </c>
      <c r="CJ247" s="24">
        <f t="shared" si="288"/>
        <v>1.4833648429115494</v>
      </c>
      <c r="CK247" s="24">
        <f t="shared" si="289"/>
        <v>5.254412978665848E-3</v>
      </c>
      <c r="CL247" s="24">
        <f t="shared" si="290"/>
        <v>1.584362201608118E-2</v>
      </c>
      <c r="CM247" s="25">
        <f t="shared" si="291"/>
        <v>6.4846817800356268E-2</v>
      </c>
      <c r="CN247" s="17"/>
      <c r="CO247" s="17"/>
      <c r="CP247" s="17"/>
      <c r="CQ247" s="17"/>
      <c r="CR247" s="17"/>
      <c r="CS247" s="17"/>
      <c r="CT247" s="17"/>
      <c r="CU247" s="17"/>
      <c r="CV247" s="17"/>
      <c r="CW247" s="30">
        <v>0</v>
      </c>
      <c r="CX247" s="17"/>
      <c r="CY247" s="17"/>
      <c r="CZ247" s="17"/>
      <c r="DA247" s="17"/>
      <c r="DB247" s="17"/>
    </row>
    <row r="248" spans="1:106" ht="15.75" thickBot="1" x14ac:dyDescent="0.3">
      <c r="A248" s="5">
        <f t="shared" si="299"/>
        <v>44</v>
      </c>
      <c r="B248" s="5">
        <f t="shared" si="299"/>
        <v>42</v>
      </c>
      <c r="C248" s="1"/>
      <c r="D248" s="4"/>
      <c r="E248" s="30"/>
      <c r="F248" s="30"/>
      <c r="G248" s="30">
        <f t="shared" si="262"/>
        <v>0</v>
      </c>
      <c r="H248" s="30"/>
      <c r="I248" s="10">
        <v>0</v>
      </c>
      <c r="J248" s="60">
        <v>9000</v>
      </c>
      <c r="K248" s="11">
        <v>550</v>
      </c>
      <c r="L248" s="60">
        <f t="shared" si="72"/>
        <v>11721.575254180614</v>
      </c>
      <c r="M248" s="11">
        <v>305</v>
      </c>
      <c r="N248" s="60">
        <v>0</v>
      </c>
      <c r="O248" s="11">
        <v>0</v>
      </c>
      <c r="P248" s="11">
        <v>0</v>
      </c>
      <c r="Q248" s="60">
        <f>(Q247*($K$1/12))+Q247 + $Q$8</f>
        <v>316695.47673770174</v>
      </c>
      <c r="R248" s="60">
        <f>(R247*($K$1/12))+R247</f>
        <v>14160.202410839018</v>
      </c>
      <c r="S248" s="60">
        <f>(S247*($K$1/12))+S247</f>
        <v>12293.896338879433</v>
      </c>
      <c r="T248" s="60">
        <f>(T247*($K$1/12))+T247+$T$8</f>
        <v>1198922.4043324648</v>
      </c>
      <c r="U248" s="60">
        <f>(U247*$K$1/12) + U247</f>
        <v>149583.52130049738</v>
      </c>
      <c r="V248" s="60">
        <v>3100</v>
      </c>
      <c r="W248" s="60">
        <f>(W247*($K$1/12))+W247+$W$8</f>
        <v>103829.11780498242</v>
      </c>
      <c r="X248" s="11">
        <v>0</v>
      </c>
      <c r="Y248" s="60">
        <f>(Y247*($K$1/12))+Y247+$Y$8</f>
        <v>334536.31641353393</v>
      </c>
      <c r="Z248" s="60">
        <f>'Mortgage and Loans'!U210</f>
        <v>180000</v>
      </c>
      <c r="AA248" s="12">
        <f t="shared" si="293"/>
        <v>2334697.5105930795</v>
      </c>
      <c r="AB248" s="56">
        <f t="shared" si="301"/>
        <v>750</v>
      </c>
      <c r="AC248" s="56">
        <f t="shared" si="301"/>
        <v>750</v>
      </c>
      <c r="AD248" s="56">
        <f t="shared" si="301"/>
        <v>750</v>
      </c>
      <c r="AE248" s="56">
        <f t="shared" si="301"/>
        <v>750</v>
      </c>
      <c r="AF248" s="56">
        <f t="shared" si="300"/>
        <v>261.43961538461554</v>
      </c>
      <c r="AG248" s="56">
        <f t="shared" si="301"/>
        <v>750</v>
      </c>
      <c r="AH248" s="56">
        <f>'Mortgage and Loans'!AF205</f>
        <v>0</v>
      </c>
      <c r="AI248" s="56">
        <f>'Mortgage and Loans'!AQ205</f>
        <v>0</v>
      </c>
      <c r="AJ248" s="56">
        <f>'Mortgage and Loans'!BB205</f>
        <v>0</v>
      </c>
      <c r="AK248" s="56">
        <f>'Mortgage and Loans'!BM205</f>
        <v>0</v>
      </c>
      <c r="AL248" s="56">
        <f>'Mortgage and Loans'!T210</f>
        <v>0</v>
      </c>
      <c r="AM248" s="12">
        <f t="shared" si="12"/>
        <v>-4011.4396153846155</v>
      </c>
      <c r="AN248" s="75">
        <f t="shared" si="85"/>
        <v>2330686.0709776948</v>
      </c>
      <c r="AO248" s="86">
        <f>'Mortgage and Loans'!G211</f>
        <v>0</v>
      </c>
      <c r="AP248" s="79">
        <f>('Salary Tax Breakdown'!B$16/12)-Data!AO248</f>
        <v>3447.5</v>
      </c>
      <c r="AQ248" s="87"/>
      <c r="AR248" s="20">
        <f t="shared" si="263"/>
        <v>4011.4396153846155</v>
      </c>
      <c r="AS248" s="20">
        <v>750</v>
      </c>
      <c r="AT248" s="20">
        <v>0</v>
      </c>
      <c r="AU248" s="20">
        <f t="shared" si="264"/>
        <v>4761.4396153846155</v>
      </c>
      <c r="AV248" s="20">
        <f t="shared" si="265"/>
        <v>4761.4396153846155</v>
      </c>
      <c r="AW248" s="51">
        <f t="shared" si="294"/>
        <v>0</v>
      </c>
      <c r="AX248" s="51">
        <f t="shared" si="14"/>
        <v>0</v>
      </c>
      <c r="AY248" s="51">
        <f t="shared" si="15"/>
        <v>0</v>
      </c>
      <c r="AZ248" s="51">
        <f t="shared" si="16"/>
        <v>0</v>
      </c>
      <c r="BA248" s="51">
        <f t="shared" si="17"/>
        <v>0</v>
      </c>
      <c r="BB248" s="51">
        <f t="shared" si="18"/>
        <v>0</v>
      </c>
      <c r="BC248" s="51">
        <f t="shared" si="19"/>
        <v>0</v>
      </c>
      <c r="BD248" s="51">
        <f t="shared" si="20"/>
        <v>0</v>
      </c>
      <c r="BE248" s="51">
        <f t="shared" si="21"/>
        <v>0</v>
      </c>
      <c r="BF248" s="51">
        <f t="shared" si="22"/>
        <v>0</v>
      </c>
      <c r="BG248" s="51">
        <f t="shared" si="23"/>
        <v>0</v>
      </c>
      <c r="BH248" s="51">
        <f t="shared" si="24"/>
        <v>0</v>
      </c>
      <c r="BI248" s="51">
        <f t="shared" si="266"/>
        <v>0</v>
      </c>
      <c r="BJ248" s="51">
        <f t="shared" si="267"/>
        <v>0</v>
      </c>
      <c r="BK248" s="51">
        <f t="shared" si="268"/>
        <v>0</v>
      </c>
      <c r="BL248" s="51">
        <f t="shared" si="269"/>
        <v>0</v>
      </c>
      <c r="BM248" s="51">
        <f t="shared" si="270"/>
        <v>0</v>
      </c>
      <c r="BN248" s="51">
        <f t="shared" si="271"/>
        <v>0</v>
      </c>
      <c r="BO248" s="51">
        <f t="shared" si="272"/>
        <v>0</v>
      </c>
      <c r="BP248" s="51">
        <f t="shared" si="273"/>
        <v>0</v>
      </c>
      <c r="BQ248" s="51">
        <f t="shared" si="274"/>
        <v>0</v>
      </c>
      <c r="BR248" s="51">
        <f t="shared" si="275"/>
        <v>0</v>
      </c>
      <c r="BS248" s="51">
        <f t="shared" si="276"/>
        <v>0</v>
      </c>
      <c r="BT248" s="51">
        <f t="shared" si="277"/>
        <v>0</v>
      </c>
      <c r="BU248" s="20">
        <f t="shared" si="278"/>
        <v>4761.4396153846155</v>
      </c>
      <c r="BV248" s="20">
        <f t="shared" si="279"/>
        <v>4761.4396153846164</v>
      </c>
      <c r="BW248" s="20">
        <f t="shared" si="280"/>
        <v>57137.275384615386</v>
      </c>
      <c r="BX248" s="20">
        <f t="shared" si="281"/>
        <v>57137.275384615386</v>
      </c>
      <c r="BY248" s="20">
        <f t="shared" si="282"/>
        <v>57137.275384615394</v>
      </c>
      <c r="BZ248" s="21">
        <f t="shared" si="283"/>
        <v>57137.275384615386</v>
      </c>
      <c r="CA248" s="19">
        <f t="shared" si="297"/>
        <v>1428431.8846153847</v>
      </c>
      <c r="CB248" s="20">
        <f t="shared" si="284"/>
        <v>1428431.8846153847</v>
      </c>
      <c r="CC248" s="20">
        <f t="shared" si="285"/>
        <v>1428431.8846153843</v>
      </c>
      <c r="CD248" s="20">
        <f t="shared" si="298"/>
        <v>0</v>
      </c>
      <c r="CE248" s="20">
        <f t="shared" si="302"/>
        <v>1400000</v>
      </c>
      <c r="CF248" s="20">
        <f t="shared" si="295"/>
        <v>2130020.9353388986</v>
      </c>
      <c r="CG248" s="20">
        <f t="shared" si="286"/>
        <v>85200.837413555942</v>
      </c>
      <c r="CH248" s="20">
        <f t="shared" si="296"/>
        <v>7100.0697844629949</v>
      </c>
      <c r="CI248" s="20">
        <f t="shared" si="287"/>
        <v>2118905.6352125648</v>
      </c>
      <c r="CJ248" s="24">
        <f t="shared" si="288"/>
        <v>1.4911603124235928</v>
      </c>
      <c r="CK248" s="24">
        <f t="shared" si="289"/>
        <v>5.2552610703260512E-3</v>
      </c>
      <c r="CL248" s="24">
        <f t="shared" si="290"/>
        <v>1.5846206207439536E-2</v>
      </c>
      <c r="CM248" s="25">
        <f t="shared" si="291"/>
        <v>6.4857905017729672E-2</v>
      </c>
      <c r="CN248" s="17"/>
      <c r="CO248" s="17"/>
      <c r="CP248" s="17"/>
      <c r="CQ248" s="17"/>
      <c r="CR248" s="17"/>
      <c r="CS248" s="17"/>
      <c r="CT248" s="17"/>
      <c r="CU248" s="17"/>
      <c r="CV248" s="17"/>
      <c r="CW248" s="30">
        <v>0</v>
      </c>
      <c r="CX248" s="17"/>
      <c r="CY248" s="17"/>
      <c r="CZ248" s="17"/>
      <c r="DA248" s="17"/>
      <c r="DB248" s="17"/>
    </row>
    <row r="249" spans="1:106" ht="15.75" thickBot="1" x14ac:dyDescent="0.3">
      <c r="A249" s="5">
        <f t="shared" si="299"/>
        <v>44</v>
      </c>
      <c r="B249" s="5">
        <f t="shared" si="299"/>
        <v>42</v>
      </c>
      <c r="C249" s="1"/>
      <c r="D249" s="4"/>
      <c r="E249" s="30"/>
      <c r="F249" s="30"/>
      <c r="G249" s="30">
        <f t="shared" si="262"/>
        <v>0</v>
      </c>
      <c r="H249" s="30"/>
      <c r="I249" s="10">
        <v>0</v>
      </c>
      <c r="J249" s="60">
        <v>9000</v>
      </c>
      <c r="K249" s="11">
        <v>550</v>
      </c>
      <c r="L249" s="60">
        <f t="shared" si="72"/>
        <v>11735.738824279415</v>
      </c>
      <c r="M249" s="11">
        <v>305</v>
      </c>
      <c r="N249" s="60">
        <v>0</v>
      </c>
      <c r="O249" s="11">
        <v>0</v>
      </c>
      <c r="P249" s="11">
        <v>0</v>
      </c>
      <c r="Q249" s="60">
        <f>(Q248*($K$1/12))+Q248 + $Q$8</f>
        <v>318868.91057003097</v>
      </c>
      <c r="R249" s="60">
        <f>(R248*($K$1/12))+R248</f>
        <v>14236.903507231062</v>
      </c>
      <c r="S249" s="60">
        <f>(S248*($K$1/12))+S248</f>
        <v>12360.488277381697</v>
      </c>
      <c r="T249" s="60">
        <f>(T248*($K$1/12))+T248+$T$8</f>
        <v>1206916.5673559322</v>
      </c>
      <c r="U249" s="60">
        <f>(U248*$K$1/12) + U248</f>
        <v>150393.76537420839</v>
      </c>
      <c r="V249" s="60">
        <v>3100</v>
      </c>
      <c r="W249" s="60">
        <f>(W248*($K$1/12))+W248+$W$8</f>
        <v>104391.52552642608</v>
      </c>
      <c r="X249" s="11">
        <v>0</v>
      </c>
      <c r="Y249" s="60">
        <f>(Y248*($K$1/12))+Y248+$Y$8</f>
        <v>334048.38812744059</v>
      </c>
      <c r="Z249" s="60">
        <f>'Mortgage and Loans'!U211</f>
        <v>180000</v>
      </c>
      <c r="AA249" s="12">
        <f t="shared" si="293"/>
        <v>2345907.28756293</v>
      </c>
      <c r="AB249" s="56">
        <f t="shared" si="301"/>
        <v>750</v>
      </c>
      <c r="AC249" s="56">
        <f t="shared" si="301"/>
        <v>750</v>
      </c>
      <c r="AD249" s="56">
        <f t="shared" si="301"/>
        <v>750</v>
      </c>
      <c r="AE249" s="56">
        <f t="shared" si="301"/>
        <v>750</v>
      </c>
      <c r="AF249" s="56">
        <f t="shared" si="300"/>
        <v>261.43961538461554</v>
      </c>
      <c r="AG249" s="56">
        <f t="shared" si="301"/>
        <v>750</v>
      </c>
      <c r="AH249" s="56">
        <f>'Mortgage and Loans'!AF206</f>
        <v>0</v>
      </c>
      <c r="AI249" s="56">
        <f>'Mortgage and Loans'!AQ206</f>
        <v>0</v>
      </c>
      <c r="AJ249" s="56">
        <f>'Mortgage and Loans'!BB206</f>
        <v>0</v>
      </c>
      <c r="AK249" s="56">
        <f>'Mortgage and Loans'!BM206</f>
        <v>0</v>
      </c>
      <c r="AL249" s="56">
        <f>'Mortgage and Loans'!T211</f>
        <v>0</v>
      </c>
      <c r="AM249" s="12">
        <f t="shared" si="12"/>
        <v>-4011.4396153846155</v>
      </c>
      <c r="AN249" s="75">
        <f t="shared" si="85"/>
        <v>2341895.8479475453</v>
      </c>
      <c r="AO249" s="86">
        <f>'Mortgage and Loans'!G212</f>
        <v>0</v>
      </c>
      <c r="AP249" s="79">
        <f>('Salary Tax Breakdown'!B$16/12)-Data!AO249</f>
        <v>3447.5</v>
      </c>
      <c r="AQ249" s="87"/>
      <c r="AR249" s="20">
        <f t="shared" si="263"/>
        <v>4011.4396153846155</v>
      </c>
      <c r="AS249" s="20">
        <v>750</v>
      </c>
      <c r="AT249" s="20">
        <v>0</v>
      </c>
      <c r="AU249" s="20">
        <f t="shared" si="264"/>
        <v>4761.4396153846155</v>
      </c>
      <c r="AV249" s="20">
        <f t="shared" si="265"/>
        <v>4761.4396153846155</v>
      </c>
      <c r="AW249" s="51">
        <f t="shared" si="294"/>
        <v>0</v>
      </c>
      <c r="AX249" s="51">
        <f t="shared" si="14"/>
        <v>0</v>
      </c>
      <c r="AY249" s="51">
        <f t="shared" si="15"/>
        <v>0</v>
      </c>
      <c r="AZ249" s="51">
        <f t="shared" si="16"/>
        <v>0</v>
      </c>
      <c r="BA249" s="51">
        <f t="shared" si="17"/>
        <v>0</v>
      </c>
      <c r="BB249" s="51">
        <f t="shared" si="18"/>
        <v>0</v>
      </c>
      <c r="BC249" s="51">
        <f t="shared" si="19"/>
        <v>0</v>
      </c>
      <c r="BD249" s="51">
        <f t="shared" si="20"/>
        <v>0</v>
      </c>
      <c r="BE249" s="51">
        <f t="shared" si="21"/>
        <v>0</v>
      </c>
      <c r="BF249" s="51">
        <f t="shared" si="22"/>
        <v>0</v>
      </c>
      <c r="BG249" s="51">
        <f t="shared" si="23"/>
        <v>0</v>
      </c>
      <c r="BH249" s="51">
        <f t="shared" si="24"/>
        <v>0</v>
      </c>
      <c r="BI249" s="51">
        <f t="shared" si="266"/>
        <v>0</v>
      </c>
      <c r="BJ249" s="51">
        <f t="shared" si="267"/>
        <v>0</v>
      </c>
      <c r="BK249" s="51">
        <f t="shared" si="268"/>
        <v>0</v>
      </c>
      <c r="BL249" s="51">
        <f t="shared" si="269"/>
        <v>0</v>
      </c>
      <c r="BM249" s="51">
        <f t="shared" si="270"/>
        <v>0</v>
      </c>
      <c r="BN249" s="51">
        <f t="shared" si="271"/>
        <v>0</v>
      </c>
      <c r="BO249" s="51">
        <f t="shared" si="272"/>
        <v>0</v>
      </c>
      <c r="BP249" s="51">
        <f t="shared" si="273"/>
        <v>0</v>
      </c>
      <c r="BQ249" s="51">
        <f t="shared" si="274"/>
        <v>0</v>
      </c>
      <c r="BR249" s="51">
        <f t="shared" si="275"/>
        <v>0</v>
      </c>
      <c r="BS249" s="51">
        <f t="shared" si="276"/>
        <v>0</v>
      </c>
      <c r="BT249" s="51">
        <f t="shared" si="277"/>
        <v>0</v>
      </c>
      <c r="BU249" s="20">
        <f t="shared" si="278"/>
        <v>4761.4396153846155</v>
      </c>
      <c r="BV249" s="20">
        <f t="shared" si="279"/>
        <v>4761.4396153846164</v>
      </c>
      <c r="BW249" s="20">
        <f t="shared" si="280"/>
        <v>57137.275384615386</v>
      </c>
      <c r="BX249" s="20">
        <f t="shared" si="281"/>
        <v>57137.275384615386</v>
      </c>
      <c r="BY249" s="20">
        <f t="shared" si="282"/>
        <v>57137.275384615394</v>
      </c>
      <c r="BZ249" s="21">
        <f t="shared" si="283"/>
        <v>57137.275384615386</v>
      </c>
      <c r="CA249" s="19">
        <f t="shared" si="297"/>
        <v>1428431.8846153847</v>
      </c>
      <c r="CB249" s="20">
        <f t="shared" si="284"/>
        <v>1428431.8846153847</v>
      </c>
      <c r="CC249" s="20">
        <f t="shared" si="285"/>
        <v>1428431.8846153843</v>
      </c>
      <c r="CD249" s="20">
        <f t="shared" si="298"/>
        <v>0</v>
      </c>
      <c r="CE249" s="20">
        <f t="shared" si="302"/>
        <v>1400000</v>
      </c>
      <c r="CF249" s="20">
        <f t="shared" si="295"/>
        <v>2141216.548738651</v>
      </c>
      <c r="CG249" s="20">
        <f t="shared" si="286"/>
        <v>85648.661949546047</v>
      </c>
      <c r="CH249" s="20">
        <f t="shared" si="296"/>
        <v>7137.3884957955042</v>
      </c>
      <c r="CI249" s="20">
        <f t="shared" si="287"/>
        <v>2130041.0407366329</v>
      </c>
      <c r="CJ249" s="24">
        <f t="shared" si="288"/>
        <v>1.4989980073954934</v>
      </c>
      <c r="CK249" s="24">
        <f t="shared" si="289"/>
        <v>5.2561048645144558E-3</v>
      </c>
      <c r="CL249" s="24">
        <f t="shared" si="290"/>
        <v>1.5848777312837313E-2</v>
      </c>
      <c r="CM249" s="25">
        <f t="shared" si="291"/>
        <v>6.4868936264233318E-2</v>
      </c>
      <c r="CN249" s="17"/>
      <c r="CO249" s="17"/>
      <c r="CP249" s="17"/>
      <c r="CQ249" s="17"/>
      <c r="CR249" s="17"/>
      <c r="CS249" s="17"/>
      <c r="CT249" s="17"/>
      <c r="CU249" s="17"/>
      <c r="CV249" s="17"/>
      <c r="CW249" s="30">
        <v>0</v>
      </c>
      <c r="CX249" s="17"/>
      <c r="CY249" s="17"/>
      <c r="CZ249" s="17"/>
      <c r="DA249" s="17"/>
      <c r="DB249" s="17"/>
    </row>
    <row r="250" spans="1:106" ht="15.75" thickBot="1" x14ac:dyDescent="0.3">
      <c r="A250" s="5">
        <f t="shared" si="299"/>
        <v>44</v>
      </c>
      <c r="B250" s="5">
        <f t="shared" si="299"/>
        <v>42</v>
      </c>
      <c r="C250" s="1"/>
      <c r="D250" s="4"/>
      <c r="E250" s="30"/>
      <c r="F250" s="30"/>
      <c r="G250" s="30">
        <f t="shared" si="262"/>
        <v>0</v>
      </c>
      <c r="H250" s="30"/>
      <c r="I250" s="10">
        <v>0</v>
      </c>
      <c r="J250" s="60">
        <v>9000</v>
      </c>
      <c r="K250" s="11">
        <v>550</v>
      </c>
      <c r="L250" s="60">
        <f t="shared" si="72"/>
        <v>11749.919508692084</v>
      </c>
      <c r="M250" s="11">
        <v>305</v>
      </c>
      <c r="N250" s="60">
        <v>0</v>
      </c>
      <c r="O250" s="11">
        <v>0</v>
      </c>
      <c r="P250" s="11">
        <v>0</v>
      </c>
      <c r="Q250" s="60">
        <f>(Q249*($K$1/12))+Q249 + $Q$8</f>
        <v>321054.11716895195</v>
      </c>
      <c r="R250" s="60">
        <f>(R249*($K$1/12))+R249</f>
        <v>14314.02006789523</v>
      </c>
      <c r="S250" s="60">
        <f>(S249*($K$1/12))+S249</f>
        <v>12427.440922217515</v>
      </c>
      <c r="T250" s="60">
        <f>(T249*($K$1/12))+T249+$T$8</f>
        <v>1214954.0320957769</v>
      </c>
      <c r="U250" s="60">
        <f>(U249*$K$1/12) + U249</f>
        <v>151208.39826998537</v>
      </c>
      <c r="V250" s="60">
        <v>3100</v>
      </c>
      <c r="W250" s="60">
        <f>(W249*($K$1/12))+W249+$W$8</f>
        <v>104956.97962302755</v>
      </c>
      <c r="X250" s="11">
        <v>0</v>
      </c>
      <c r="Y250" s="60">
        <f>(Y249*($K$1/12))+Y249+$Y$8</f>
        <v>333557.81689646421</v>
      </c>
      <c r="Z250" s="60">
        <f>'Mortgage and Loans'!U212</f>
        <v>180000</v>
      </c>
      <c r="AA250" s="12">
        <f t="shared" si="293"/>
        <v>2357177.7245530109</v>
      </c>
      <c r="AB250" s="56">
        <f t="shared" si="301"/>
        <v>750</v>
      </c>
      <c r="AC250" s="56">
        <f t="shared" si="301"/>
        <v>750</v>
      </c>
      <c r="AD250" s="56">
        <f t="shared" si="301"/>
        <v>750</v>
      </c>
      <c r="AE250" s="56">
        <f t="shared" si="301"/>
        <v>750</v>
      </c>
      <c r="AF250" s="56">
        <f t="shared" si="300"/>
        <v>261.43961538461554</v>
      </c>
      <c r="AG250" s="56">
        <f t="shared" si="301"/>
        <v>750</v>
      </c>
      <c r="AH250" s="56">
        <f>'Mortgage and Loans'!AF207</f>
        <v>0</v>
      </c>
      <c r="AI250" s="56">
        <f>'Mortgage and Loans'!AQ207</f>
        <v>0</v>
      </c>
      <c r="AJ250" s="56">
        <f>'Mortgage and Loans'!BB207</f>
        <v>0</v>
      </c>
      <c r="AK250" s="56">
        <f>'Mortgage and Loans'!BM207</f>
        <v>0</v>
      </c>
      <c r="AL250" s="56">
        <f>'Mortgage and Loans'!T212</f>
        <v>0</v>
      </c>
      <c r="AM250" s="12">
        <f t="shared" si="12"/>
        <v>-4011.4396153846155</v>
      </c>
      <c r="AN250" s="75">
        <f t="shared" si="85"/>
        <v>2353166.2849376262</v>
      </c>
      <c r="AO250" s="86">
        <f>'Mortgage and Loans'!G213</f>
        <v>0</v>
      </c>
      <c r="AP250" s="79">
        <f>('Salary Tax Breakdown'!B$16/12)-Data!AO250</f>
        <v>3447.5</v>
      </c>
      <c r="AQ250" s="87"/>
      <c r="AR250" s="20">
        <f t="shared" si="263"/>
        <v>4011.4396153846155</v>
      </c>
      <c r="AS250" s="20">
        <v>750</v>
      </c>
      <c r="AT250" s="20">
        <v>0</v>
      </c>
      <c r="AU250" s="20">
        <f t="shared" si="264"/>
        <v>4761.4396153846155</v>
      </c>
      <c r="AV250" s="20">
        <f t="shared" si="265"/>
        <v>4761.4396153846155</v>
      </c>
      <c r="AW250" s="51">
        <f t="shared" si="294"/>
        <v>0</v>
      </c>
      <c r="AX250" s="51">
        <f t="shared" si="14"/>
        <v>0</v>
      </c>
      <c r="AY250" s="51">
        <f t="shared" si="15"/>
        <v>0</v>
      </c>
      <c r="AZ250" s="51">
        <f t="shared" si="16"/>
        <v>0</v>
      </c>
      <c r="BA250" s="51">
        <f t="shared" si="17"/>
        <v>0</v>
      </c>
      <c r="BB250" s="51">
        <f t="shared" si="18"/>
        <v>0</v>
      </c>
      <c r="BC250" s="51">
        <f t="shared" si="19"/>
        <v>0</v>
      </c>
      <c r="BD250" s="51">
        <f t="shared" si="20"/>
        <v>0</v>
      </c>
      <c r="BE250" s="51">
        <f t="shared" si="21"/>
        <v>0</v>
      </c>
      <c r="BF250" s="51">
        <f t="shared" si="22"/>
        <v>0</v>
      </c>
      <c r="BG250" s="51">
        <f t="shared" si="23"/>
        <v>0</v>
      </c>
      <c r="BH250" s="51">
        <f t="shared" si="24"/>
        <v>0</v>
      </c>
      <c r="BI250" s="51">
        <f t="shared" si="266"/>
        <v>0</v>
      </c>
      <c r="BJ250" s="51">
        <f t="shared" si="267"/>
        <v>0</v>
      </c>
      <c r="BK250" s="51">
        <f t="shared" si="268"/>
        <v>0</v>
      </c>
      <c r="BL250" s="51">
        <f t="shared" si="269"/>
        <v>0</v>
      </c>
      <c r="BM250" s="51">
        <f t="shared" si="270"/>
        <v>0</v>
      </c>
      <c r="BN250" s="51">
        <f t="shared" si="271"/>
        <v>0</v>
      </c>
      <c r="BO250" s="51">
        <f t="shared" si="272"/>
        <v>0</v>
      </c>
      <c r="BP250" s="51">
        <f t="shared" si="273"/>
        <v>0</v>
      </c>
      <c r="BQ250" s="51">
        <f t="shared" si="274"/>
        <v>0</v>
      </c>
      <c r="BR250" s="51">
        <f t="shared" si="275"/>
        <v>0</v>
      </c>
      <c r="BS250" s="51">
        <f t="shared" si="276"/>
        <v>0</v>
      </c>
      <c r="BT250" s="51">
        <f t="shared" si="277"/>
        <v>0</v>
      </c>
      <c r="BU250" s="20">
        <f t="shared" si="278"/>
        <v>4761.4396153846155</v>
      </c>
      <c r="BV250" s="20">
        <f t="shared" si="279"/>
        <v>4761.4396153846164</v>
      </c>
      <c r="BW250" s="20">
        <f t="shared" si="280"/>
        <v>57137.275384615386</v>
      </c>
      <c r="BX250" s="20">
        <f t="shared" si="281"/>
        <v>57137.275384615386</v>
      </c>
      <c r="BY250" s="20">
        <f t="shared" si="282"/>
        <v>57137.275384615394</v>
      </c>
      <c r="BZ250" s="21">
        <f t="shared" si="283"/>
        <v>57137.275384615386</v>
      </c>
      <c r="CA250" s="19">
        <f t="shared" si="297"/>
        <v>1428431.8846153847</v>
      </c>
      <c r="CB250" s="20">
        <f t="shared" si="284"/>
        <v>1428431.8846153847</v>
      </c>
      <c r="CC250" s="20">
        <f t="shared" si="285"/>
        <v>1428431.8846153843</v>
      </c>
      <c r="CD250" s="20">
        <f t="shared" si="298"/>
        <v>0</v>
      </c>
      <c r="CE250" s="20">
        <f t="shared" si="302"/>
        <v>1400000</v>
      </c>
      <c r="CF250" s="20">
        <f t="shared" si="295"/>
        <v>2152472.805044319</v>
      </c>
      <c r="CG250" s="20">
        <f t="shared" si="286"/>
        <v>86098.912201772764</v>
      </c>
      <c r="CH250" s="20">
        <f t="shared" si="296"/>
        <v>7174.90935014773</v>
      </c>
      <c r="CI250" s="20">
        <f t="shared" si="287"/>
        <v>2141236.7630406227</v>
      </c>
      <c r="CJ250" s="24">
        <f t="shared" si="288"/>
        <v>1.5068781565484919</v>
      </c>
      <c r="CK250" s="24">
        <f t="shared" si="289"/>
        <v>5.256944381594136E-3</v>
      </c>
      <c r="CL250" s="24">
        <f t="shared" si="290"/>
        <v>1.5851335394191035E-2</v>
      </c>
      <c r="CM250" s="25">
        <f t="shared" si="291"/>
        <v>6.4879911802889517E-2</v>
      </c>
      <c r="CN250" s="17"/>
      <c r="CO250" s="17"/>
      <c r="CP250" s="17"/>
      <c r="CQ250" s="17"/>
      <c r="CR250" s="17"/>
      <c r="CS250" s="17"/>
      <c r="CT250" s="17"/>
      <c r="CU250" s="17"/>
      <c r="CV250" s="17"/>
      <c r="CW250" s="30">
        <v>0</v>
      </c>
      <c r="CX250" s="17"/>
      <c r="CY250" s="17"/>
      <c r="CZ250" s="17"/>
      <c r="DA250" s="17"/>
      <c r="DB250" s="17"/>
    </row>
    <row r="251" spans="1:106" ht="15.75" thickBot="1" x14ac:dyDescent="0.3">
      <c r="A251" s="5">
        <f t="shared" si="299"/>
        <v>44</v>
      </c>
      <c r="B251" s="5">
        <f t="shared" si="299"/>
        <v>42</v>
      </c>
      <c r="C251" s="1"/>
      <c r="D251" s="4"/>
      <c r="E251" s="30"/>
      <c r="F251" s="30"/>
      <c r="G251" s="30">
        <f t="shared" ref="G251:G314" si="303">IF(F251=0,IF(F515=1,1,0),0)</f>
        <v>0</v>
      </c>
      <c r="H251" s="30"/>
      <c r="I251" s="10">
        <v>0</v>
      </c>
      <c r="J251" s="60">
        <v>9000</v>
      </c>
      <c r="K251" s="11">
        <v>550</v>
      </c>
      <c r="L251" s="60">
        <f t="shared" si="72"/>
        <v>11764.11732809842</v>
      </c>
      <c r="M251" s="11">
        <v>305</v>
      </c>
      <c r="N251" s="60">
        <v>0</v>
      </c>
      <c r="O251" s="11">
        <v>0</v>
      </c>
      <c r="P251" s="11">
        <v>0</v>
      </c>
      <c r="Q251" s="60">
        <f>(Q250*($K$1/12))+Q250 + $Q$8</f>
        <v>323251.16030361713</v>
      </c>
      <c r="R251" s="60">
        <f>(R250*($K$1/12))+R250</f>
        <v>14391.554343262995</v>
      </c>
      <c r="S251" s="60">
        <f>(S250*($K$1/12))+S250</f>
        <v>12494.75622721286</v>
      </c>
      <c r="T251" s="60">
        <f>(T250*($K$1/12))+T250+$T$8</f>
        <v>1223035.0331029624</v>
      </c>
      <c r="U251" s="60">
        <f>(U250*$K$1/12) + U250</f>
        <v>152027.44376061446</v>
      </c>
      <c r="V251" s="60">
        <v>3100</v>
      </c>
      <c r="W251" s="60">
        <f>(W250*($K$1/12))+W250+$W$8</f>
        <v>105525.49659598562</v>
      </c>
      <c r="X251" s="11">
        <v>0</v>
      </c>
      <c r="Y251" s="60">
        <f>(Y250*($K$1/12))+Y250+$Y$8</f>
        <v>333064.58840465342</v>
      </c>
      <c r="Z251" s="60">
        <f>'Mortgage and Loans'!U213</f>
        <v>180000</v>
      </c>
      <c r="AA251" s="12">
        <f t="shared" si="293"/>
        <v>2368509.1500664074</v>
      </c>
      <c r="AB251" s="56">
        <f t="shared" si="301"/>
        <v>750</v>
      </c>
      <c r="AC251" s="56">
        <f t="shared" si="301"/>
        <v>750</v>
      </c>
      <c r="AD251" s="56">
        <f t="shared" si="301"/>
        <v>750</v>
      </c>
      <c r="AE251" s="56">
        <f t="shared" si="301"/>
        <v>750</v>
      </c>
      <c r="AF251" s="56">
        <f t="shared" si="300"/>
        <v>261.43961538461554</v>
      </c>
      <c r="AG251" s="56">
        <f t="shared" si="301"/>
        <v>750</v>
      </c>
      <c r="AH251" s="56">
        <f>'Mortgage and Loans'!AF208</f>
        <v>0</v>
      </c>
      <c r="AI251" s="56">
        <f>'Mortgage and Loans'!AQ208</f>
        <v>0</v>
      </c>
      <c r="AJ251" s="56">
        <f>'Mortgage and Loans'!BB208</f>
        <v>0</v>
      </c>
      <c r="AK251" s="56">
        <f>'Mortgage and Loans'!BM208</f>
        <v>0</v>
      </c>
      <c r="AL251" s="56">
        <f>'Mortgage and Loans'!T213</f>
        <v>0</v>
      </c>
      <c r="AM251" s="12">
        <f t="shared" si="12"/>
        <v>-4011.4396153846155</v>
      </c>
      <c r="AN251" s="75">
        <f t="shared" si="85"/>
        <v>2364497.7104510227</v>
      </c>
      <c r="AO251" s="86">
        <f>'Mortgage and Loans'!G214</f>
        <v>0</v>
      </c>
      <c r="AP251" s="79">
        <f>('Salary Tax Breakdown'!B$16/12)-Data!AO251</f>
        <v>3447.5</v>
      </c>
      <c r="AQ251" s="87"/>
      <c r="AR251" s="20">
        <f t="shared" si="263"/>
        <v>4011.4396153846155</v>
      </c>
      <c r="AS251" s="20">
        <v>750</v>
      </c>
      <c r="AT251" s="20">
        <v>0</v>
      </c>
      <c r="AU251" s="20">
        <f t="shared" si="264"/>
        <v>4761.4396153846155</v>
      </c>
      <c r="AV251" s="20">
        <f t="shared" si="265"/>
        <v>4761.4396153846155</v>
      </c>
      <c r="AW251" s="51">
        <f t="shared" si="294"/>
        <v>0</v>
      </c>
      <c r="AX251" s="51">
        <f t="shared" si="14"/>
        <v>0</v>
      </c>
      <c r="AY251" s="51">
        <f t="shared" si="15"/>
        <v>0</v>
      </c>
      <c r="AZ251" s="51">
        <f t="shared" si="16"/>
        <v>0</v>
      </c>
      <c r="BA251" s="51">
        <f t="shared" si="17"/>
        <v>0</v>
      </c>
      <c r="BB251" s="51">
        <f t="shared" si="18"/>
        <v>0</v>
      </c>
      <c r="BC251" s="51">
        <f t="shared" si="19"/>
        <v>0</v>
      </c>
      <c r="BD251" s="51">
        <f t="shared" si="20"/>
        <v>0</v>
      </c>
      <c r="BE251" s="51">
        <f t="shared" si="21"/>
        <v>0</v>
      </c>
      <c r="BF251" s="51">
        <f t="shared" si="22"/>
        <v>0</v>
      </c>
      <c r="BG251" s="51">
        <f t="shared" si="23"/>
        <v>0</v>
      </c>
      <c r="BH251" s="51">
        <f t="shared" si="24"/>
        <v>0</v>
      </c>
      <c r="BI251" s="51">
        <f t="shared" si="266"/>
        <v>0</v>
      </c>
      <c r="BJ251" s="51">
        <f t="shared" si="267"/>
        <v>0</v>
      </c>
      <c r="BK251" s="51">
        <f t="shared" si="268"/>
        <v>0</v>
      </c>
      <c r="BL251" s="51">
        <f t="shared" si="269"/>
        <v>0</v>
      </c>
      <c r="BM251" s="51">
        <f t="shared" si="270"/>
        <v>0</v>
      </c>
      <c r="BN251" s="51">
        <f t="shared" si="271"/>
        <v>0</v>
      </c>
      <c r="BO251" s="51">
        <f t="shared" si="272"/>
        <v>0</v>
      </c>
      <c r="BP251" s="51">
        <f t="shared" si="273"/>
        <v>0</v>
      </c>
      <c r="BQ251" s="51">
        <f t="shared" si="274"/>
        <v>0</v>
      </c>
      <c r="BR251" s="51">
        <f t="shared" si="275"/>
        <v>0</v>
      </c>
      <c r="BS251" s="51">
        <f t="shared" si="276"/>
        <v>0</v>
      </c>
      <c r="BT251" s="51">
        <f t="shared" si="277"/>
        <v>0</v>
      </c>
      <c r="BU251" s="20">
        <f t="shared" si="278"/>
        <v>4761.4396153846155</v>
      </c>
      <c r="BV251" s="20">
        <f t="shared" si="279"/>
        <v>4761.4396153846164</v>
      </c>
      <c r="BW251" s="20">
        <f t="shared" si="280"/>
        <v>57137.275384615386</v>
      </c>
      <c r="BX251" s="20">
        <f t="shared" si="281"/>
        <v>57137.275384615386</v>
      </c>
      <c r="BY251" s="20">
        <f t="shared" si="282"/>
        <v>57137.275384615394</v>
      </c>
      <c r="BZ251" s="21">
        <f t="shared" si="283"/>
        <v>57137.275384615386</v>
      </c>
      <c r="CA251" s="19">
        <f t="shared" si="297"/>
        <v>1428431.8846153847</v>
      </c>
      <c r="CB251" s="20">
        <f t="shared" si="284"/>
        <v>1428431.8846153847</v>
      </c>
      <c r="CC251" s="20">
        <f t="shared" si="285"/>
        <v>1428431.8846153843</v>
      </c>
      <c r="CD251" s="20">
        <f t="shared" si="298"/>
        <v>0</v>
      </c>
      <c r="CE251" s="20">
        <f t="shared" si="302"/>
        <v>1400000</v>
      </c>
      <c r="CF251" s="20">
        <f t="shared" si="295"/>
        <v>2163790.0327383089</v>
      </c>
      <c r="CG251" s="20">
        <f t="shared" si="286"/>
        <v>86551.601309532358</v>
      </c>
      <c r="CH251" s="20">
        <f t="shared" si="296"/>
        <v>7212.6334424610295</v>
      </c>
      <c r="CI251" s="20">
        <f t="shared" si="287"/>
        <v>2152493.1288404264</v>
      </c>
      <c r="CJ251" s="24">
        <f t="shared" si="288"/>
        <v>1.5148009898427355</v>
      </c>
      <c r="CK251" s="24">
        <f t="shared" si="289"/>
        <v>5.2577796418463241E-3</v>
      </c>
      <c r="CL251" s="24">
        <f t="shared" si="290"/>
        <v>1.5853880513168508E-2</v>
      </c>
      <c r="CM251" s="25">
        <f t="shared" si="291"/>
        <v>6.4890831895687381E-2</v>
      </c>
      <c r="CN251" s="17"/>
      <c r="CO251" s="17"/>
      <c r="CP251" s="17"/>
      <c r="CQ251" s="17"/>
      <c r="CR251" s="17"/>
      <c r="CS251" s="17"/>
      <c r="CT251" s="17"/>
      <c r="CU251" s="17"/>
      <c r="CV251" s="17"/>
      <c r="CW251" s="30">
        <v>0</v>
      </c>
      <c r="CX251" s="17"/>
      <c r="CY251" s="17"/>
      <c r="CZ251" s="17"/>
      <c r="DA251" s="17"/>
      <c r="DB251" s="17"/>
    </row>
    <row r="252" spans="1:106" ht="15.75" thickBot="1" x14ac:dyDescent="0.3">
      <c r="A252" s="5">
        <f t="shared" si="299"/>
        <v>44</v>
      </c>
      <c r="B252" s="5">
        <f t="shared" si="299"/>
        <v>42</v>
      </c>
      <c r="C252" s="1"/>
      <c r="D252" s="4"/>
      <c r="E252" s="30"/>
      <c r="F252" s="30"/>
      <c r="G252" s="30">
        <f t="shared" si="303"/>
        <v>0</v>
      </c>
      <c r="H252" s="30"/>
      <c r="I252" s="10">
        <v>0</v>
      </c>
      <c r="J252" s="60">
        <v>9000</v>
      </c>
      <c r="K252" s="11">
        <v>550</v>
      </c>
      <c r="L252" s="60">
        <f t="shared" si="72"/>
        <v>11778.332303203206</v>
      </c>
      <c r="M252" s="11">
        <v>305</v>
      </c>
      <c r="N252" s="60">
        <v>0</v>
      </c>
      <c r="O252" s="11">
        <v>0</v>
      </c>
      <c r="P252" s="11">
        <v>0</v>
      </c>
      <c r="Q252" s="60">
        <f>(Q251*($K$1/12))+Q251 + $Q$8</f>
        <v>325460.10408859508</v>
      </c>
      <c r="R252" s="60">
        <f>(R251*($K$1/12))+R251</f>
        <v>14469.508595955669</v>
      </c>
      <c r="S252" s="60">
        <f>(S251*($K$1/12))+S251</f>
        <v>12562.43615677693</v>
      </c>
      <c r="T252" s="60">
        <f>(T251*($K$1/12))+T251+$T$8</f>
        <v>1231159.8061989369</v>
      </c>
      <c r="U252" s="60">
        <f>(U251*$K$1/12) + U251</f>
        <v>152850.92574765111</v>
      </c>
      <c r="V252" s="60">
        <v>3100</v>
      </c>
      <c r="W252" s="60">
        <f>(W251*($K$1/12))+W251+$W$8</f>
        <v>106097.09303588055</v>
      </c>
      <c r="X252" s="11">
        <v>0</v>
      </c>
      <c r="Y252" s="60">
        <f>(Y251*($K$1/12))+Y251+$Y$8</f>
        <v>332568.68825851195</v>
      </c>
      <c r="Z252" s="60">
        <f>'Mortgage and Loans'!U214</f>
        <v>180000</v>
      </c>
      <c r="AA252" s="12">
        <f t="shared" si="293"/>
        <v>2379901.8943855111</v>
      </c>
      <c r="AB252" s="56">
        <f t="shared" si="301"/>
        <v>750</v>
      </c>
      <c r="AC252" s="56">
        <f t="shared" si="301"/>
        <v>750</v>
      </c>
      <c r="AD252" s="56">
        <f t="shared" si="301"/>
        <v>750</v>
      </c>
      <c r="AE252" s="56">
        <f t="shared" si="301"/>
        <v>750</v>
      </c>
      <c r="AF252" s="56">
        <f t="shared" si="300"/>
        <v>261.43961538461554</v>
      </c>
      <c r="AG252" s="56">
        <f t="shared" si="301"/>
        <v>750</v>
      </c>
      <c r="AH252" s="56">
        <f>'Mortgage and Loans'!AF209</f>
        <v>0</v>
      </c>
      <c r="AI252" s="56">
        <f>'Mortgage and Loans'!AQ209</f>
        <v>0</v>
      </c>
      <c r="AJ252" s="56">
        <f>'Mortgage and Loans'!BB209</f>
        <v>0</v>
      </c>
      <c r="AK252" s="56">
        <f>'Mortgage and Loans'!BM209</f>
        <v>0</v>
      </c>
      <c r="AL252" s="56">
        <f>'Mortgage and Loans'!T214</f>
        <v>0</v>
      </c>
      <c r="AM252" s="12">
        <f t="shared" si="12"/>
        <v>-4011.4396153846155</v>
      </c>
      <c r="AN252" s="75">
        <f t="shared" si="85"/>
        <v>2375890.4547701264</v>
      </c>
      <c r="AO252" s="86">
        <f>'Mortgage and Loans'!G215</f>
        <v>0</v>
      </c>
      <c r="AP252" s="79">
        <f>('Salary Tax Breakdown'!B$16/12)-Data!AO252</f>
        <v>3447.5</v>
      </c>
      <c r="AQ252" s="87"/>
      <c r="AR252" s="20">
        <f t="shared" si="263"/>
        <v>4011.4396153846155</v>
      </c>
      <c r="AS252" s="20">
        <v>750</v>
      </c>
      <c r="AT252" s="20">
        <v>0</v>
      </c>
      <c r="AU252" s="20">
        <f t="shared" si="264"/>
        <v>4761.4396153846155</v>
      </c>
      <c r="AV252" s="20">
        <f t="shared" si="265"/>
        <v>4761.4396153846155</v>
      </c>
      <c r="AW252" s="51">
        <f t="shared" si="294"/>
        <v>0</v>
      </c>
      <c r="AX252" s="51">
        <f t="shared" si="14"/>
        <v>0</v>
      </c>
      <c r="AY252" s="51">
        <f t="shared" si="15"/>
        <v>0</v>
      </c>
      <c r="AZ252" s="51">
        <f t="shared" si="16"/>
        <v>0</v>
      </c>
      <c r="BA252" s="51">
        <f t="shared" si="17"/>
        <v>0</v>
      </c>
      <c r="BB252" s="51">
        <f t="shared" si="18"/>
        <v>0</v>
      </c>
      <c r="BC252" s="51">
        <f t="shared" si="19"/>
        <v>0</v>
      </c>
      <c r="BD252" s="51">
        <f t="shared" si="20"/>
        <v>0</v>
      </c>
      <c r="BE252" s="51">
        <f t="shared" si="21"/>
        <v>0</v>
      </c>
      <c r="BF252" s="51">
        <f t="shared" si="22"/>
        <v>0</v>
      </c>
      <c r="BG252" s="51">
        <f t="shared" si="23"/>
        <v>0</v>
      </c>
      <c r="BH252" s="51">
        <f t="shared" si="24"/>
        <v>0</v>
      </c>
      <c r="BI252" s="51">
        <f t="shared" si="266"/>
        <v>0</v>
      </c>
      <c r="BJ252" s="51">
        <f t="shared" si="267"/>
        <v>0</v>
      </c>
      <c r="BK252" s="51">
        <f t="shared" si="268"/>
        <v>0</v>
      </c>
      <c r="BL252" s="51">
        <f t="shared" si="269"/>
        <v>0</v>
      </c>
      <c r="BM252" s="51">
        <f t="shared" si="270"/>
        <v>0</v>
      </c>
      <c r="BN252" s="51">
        <f t="shared" si="271"/>
        <v>0</v>
      </c>
      <c r="BO252" s="51">
        <f t="shared" si="272"/>
        <v>0</v>
      </c>
      <c r="BP252" s="51">
        <f t="shared" si="273"/>
        <v>0</v>
      </c>
      <c r="BQ252" s="51">
        <f t="shared" si="274"/>
        <v>0</v>
      </c>
      <c r="BR252" s="51">
        <f t="shared" si="275"/>
        <v>0</v>
      </c>
      <c r="BS252" s="51">
        <f t="shared" si="276"/>
        <v>0</v>
      </c>
      <c r="BT252" s="51">
        <f t="shared" si="277"/>
        <v>0</v>
      </c>
      <c r="BU252" s="20">
        <f t="shared" si="278"/>
        <v>4761.4396153846155</v>
      </c>
      <c r="BV252" s="20">
        <f t="shared" si="279"/>
        <v>4761.4396153846164</v>
      </c>
      <c r="BW252" s="20">
        <f t="shared" si="280"/>
        <v>57137.275384615386</v>
      </c>
      <c r="BX252" s="20">
        <f t="shared" si="281"/>
        <v>57137.275384615386</v>
      </c>
      <c r="BY252" s="20">
        <f t="shared" si="282"/>
        <v>57137.275384615394</v>
      </c>
      <c r="BZ252" s="21">
        <f t="shared" si="283"/>
        <v>57137.275384615386</v>
      </c>
      <c r="CA252" s="19">
        <f t="shared" si="297"/>
        <v>1428431.8846153847</v>
      </c>
      <c r="CB252" s="20">
        <f t="shared" si="284"/>
        <v>1428431.8846153847</v>
      </c>
      <c r="CC252" s="20">
        <f t="shared" si="285"/>
        <v>1428431.8846153843</v>
      </c>
      <c r="CD252" s="20">
        <f t="shared" si="298"/>
        <v>0</v>
      </c>
      <c r="CE252" s="20">
        <f t="shared" si="302"/>
        <v>1400000</v>
      </c>
      <c r="CF252" s="20">
        <f t="shared" si="295"/>
        <v>2175168.5620823079</v>
      </c>
      <c r="CG252" s="20">
        <f t="shared" si="286"/>
        <v>87006.742483292313</v>
      </c>
      <c r="CH252" s="20">
        <f t="shared" si="296"/>
        <v>7250.5618736076931</v>
      </c>
      <c r="CI252" s="20">
        <f t="shared" si="287"/>
        <v>2163810.4666216453</v>
      </c>
      <c r="CJ252" s="24">
        <f t="shared" si="288"/>
        <v>1.5227667384839896</v>
      </c>
      <c r="CK252" s="24">
        <f t="shared" si="289"/>
        <v>5.2586106654716816E-3</v>
      </c>
      <c r="CL252" s="24">
        <f t="shared" si="290"/>
        <v>1.5856412731191233E-2</v>
      </c>
      <c r="CM252" s="25">
        <f t="shared" si="291"/>
        <v>6.4901696803586179E-2</v>
      </c>
      <c r="CN252" s="17"/>
      <c r="CO252" s="17"/>
      <c r="CP252" s="17"/>
      <c r="CQ252" s="17"/>
      <c r="CR252" s="17"/>
      <c r="CS252" s="17"/>
      <c r="CT252" s="17"/>
      <c r="CU252" s="17"/>
      <c r="CV252" s="17"/>
      <c r="CW252" s="30">
        <v>0</v>
      </c>
      <c r="CX252" s="17"/>
      <c r="CY252" s="17"/>
      <c r="CZ252" s="17"/>
      <c r="DA252" s="17"/>
      <c r="DB252" s="17"/>
    </row>
    <row r="253" spans="1:106" ht="15.75" thickBot="1" x14ac:dyDescent="0.3">
      <c r="A253" s="5">
        <f t="shared" si="299"/>
        <v>44</v>
      </c>
      <c r="B253" s="5">
        <f t="shared" si="299"/>
        <v>42</v>
      </c>
      <c r="C253" s="1"/>
      <c r="D253" s="4"/>
      <c r="E253" s="30"/>
      <c r="F253" s="30"/>
      <c r="G253" s="30">
        <f t="shared" si="303"/>
        <v>0</v>
      </c>
      <c r="H253" s="30"/>
      <c r="I253" s="10">
        <v>0</v>
      </c>
      <c r="J253" s="60">
        <v>9000</v>
      </c>
      <c r="K253" s="11">
        <v>550</v>
      </c>
      <c r="L253" s="60">
        <f t="shared" si="72"/>
        <v>11792.564454736243</v>
      </c>
      <c r="M253" s="11">
        <v>305</v>
      </c>
      <c r="N253" s="60">
        <v>0</v>
      </c>
      <c r="O253" s="11">
        <v>0</v>
      </c>
      <c r="P253" s="11">
        <v>0</v>
      </c>
      <c r="Q253" s="60">
        <f>(Q252*($K$1/12))+Q252 + $Q$8</f>
        <v>327681.01298574166</v>
      </c>
      <c r="R253" s="60">
        <f>(R252*($K$1/12))+R252</f>
        <v>14547.88510085043</v>
      </c>
      <c r="S253" s="60">
        <f>(S252*($K$1/12))+S252</f>
        <v>12630.482685959472</v>
      </c>
      <c r="T253" s="60">
        <f>(T252*($K$1/12))+T252+$T$8</f>
        <v>1239328.5884825145</v>
      </c>
      <c r="U253" s="60">
        <f>(U252*$K$1/12) + U252</f>
        <v>153678.86826211755</v>
      </c>
      <c r="V253" s="60">
        <v>3100</v>
      </c>
      <c r="W253" s="60">
        <f>(W252*($K$1/12))+W252+$W$8</f>
        <v>106671.78562315824</v>
      </c>
      <c r="X253" s="11">
        <v>0</v>
      </c>
      <c r="Y253" s="60">
        <f>(Y252*($K$1/12))+Y252+$Y$8</f>
        <v>332070.1019865789</v>
      </c>
      <c r="Z253" s="60">
        <f>'Mortgage and Loans'!U215</f>
        <v>180000</v>
      </c>
      <c r="AA253" s="12">
        <f t="shared" si="293"/>
        <v>2391356.2895816569</v>
      </c>
      <c r="AB253" s="56">
        <f t="shared" si="301"/>
        <v>750</v>
      </c>
      <c r="AC253" s="56">
        <f t="shared" si="301"/>
        <v>750</v>
      </c>
      <c r="AD253" s="56">
        <f t="shared" si="301"/>
        <v>750</v>
      </c>
      <c r="AE253" s="56">
        <f t="shared" si="301"/>
        <v>750</v>
      </c>
      <c r="AF253" s="56">
        <f t="shared" si="300"/>
        <v>261.43961538461554</v>
      </c>
      <c r="AG253" s="56">
        <f t="shared" si="301"/>
        <v>750</v>
      </c>
      <c r="AH253" s="56">
        <f>'Mortgage and Loans'!AF210</f>
        <v>0</v>
      </c>
      <c r="AI253" s="56">
        <f>'Mortgage and Loans'!AQ210</f>
        <v>0</v>
      </c>
      <c r="AJ253" s="56">
        <f>'Mortgage and Loans'!BB210</f>
        <v>0</v>
      </c>
      <c r="AK253" s="56">
        <f>'Mortgage and Loans'!BM210</f>
        <v>0</v>
      </c>
      <c r="AL253" s="56">
        <f>'Mortgage and Loans'!T215</f>
        <v>0</v>
      </c>
      <c r="AM253" s="12">
        <f t="shared" si="12"/>
        <v>-4011.4396153846155</v>
      </c>
      <c r="AN253" s="75">
        <f t="shared" si="85"/>
        <v>2387344.8499662722</v>
      </c>
      <c r="AO253" s="86">
        <f>'Mortgage and Loans'!G216</f>
        <v>0</v>
      </c>
      <c r="AP253" s="79">
        <f>('Salary Tax Breakdown'!B$16/12)-Data!AO253</f>
        <v>3447.5</v>
      </c>
      <c r="AQ253" s="87"/>
      <c r="AR253" s="20">
        <f t="shared" ref="AR253:AR312" si="304">SUM(AB253:AG253)</f>
        <v>4011.4396153846155</v>
      </c>
      <c r="AS253" s="20">
        <v>750</v>
      </c>
      <c r="AT253" s="20">
        <v>0</v>
      </c>
      <c r="AU253" s="20">
        <f t="shared" ref="AU253:AU312" si="305">SUM(AR253:AT253)</f>
        <v>4761.4396153846155</v>
      </c>
      <c r="AV253" s="20">
        <f t="shared" ref="AV253:AV312" si="306">AU241</f>
        <v>4761.4396153846155</v>
      </c>
      <c r="AW253" s="51">
        <f t="shared" si="294"/>
        <v>0</v>
      </c>
      <c r="AX253" s="51">
        <f t="shared" si="14"/>
        <v>0</v>
      </c>
      <c r="AY253" s="51">
        <f t="shared" si="15"/>
        <v>0</v>
      </c>
      <c r="AZ253" s="51">
        <f t="shared" si="16"/>
        <v>0</v>
      </c>
      <c r="BA253" s="51">
        <f t="shared" si="17"/>
        <v>0</v>
      </c>
      <c r="BB253" s="51">
        <f t="shared" si="18"/>
        <v>0</v>
      </c>
      <c r="BC253" s="51">
        <f t="shared" si="19"/>
        <v>0</v>
      </c>
      <c r="BD253" s="51">
        <f t="shared" si="20"/>
        <v>0</v>
      </c>
      <c r="BE253" s="51">
        <f t="shared" si="21"/>
        <v>0</v>
      </c>
      <c r="BF253" s="51">
        <f t="shared" si="22"/>
        <v>0</v>
      </c>
      <c r="BG253" s="51">
        <f t="shared" si="23"/>
        <v>0</v>
      </c>
      <c r="BH253" s="51">
        <f t="shared" si="24"/>
        <v>0</v>
      </c>
      <c r="BI253" s="51">
        <f t="shared" ref="BI253:BI312" si="307">$AU253*AW253</f>
        <v>0</v>
      </c>
      <c r="BJ253" s="51">
        <f t="shared" ref="BJ253:BJ312" si="308">$AU253*AX253</f>
        <v>0</v>
      </c>
      <c r="BK253" s="51">
        <f t="shared" ref="BK253:BK312" si="309">$AU253*AY253</f>
        <v>0</v>
      </c>
      <c r="BL253" s="51">
        <f t="shared" ref="BL253:BL312" si="310">$AU253*AZ253</f>
        <v>0</v>
      </c>
      <c r="BM253" s="51">
        <f t="shared" ref="BM253:BM312" si="311">$AU253*BA253</f>
        <v>0</v>
      </c>
      <c r="BN253" s="51">
        <f t="shared" ref="BN253:BN312" si="312">$AU253*BB253</f>
        <v>0</v>
      </c>
      <c r="BO253" s="51">
        <f t="shared" ref="BO253:BO312" si="313">$AU253*BC253</f>
        <v>0</v>
      </c>
      <c r="BP253" s="51">
        <f t="shared" ref="BP253:BP312" si="314">$AU253*BD253</f>
        <v>0</v>
      </c>
      <c r="BQ253" s="51">
        <f t="shared" ref="BQ253:BQ312" si="315">$AU253*BE253</f>
        <v>0</v>
      </c>
      <c r="BR253" s="51">
        <f t="shared" ref="BR253:BR312" si="316">$AU253*BF253</f>
        <v>0</v>
      </c>
      <c r="BS253" s="51">
        <f t="shared" ref="BS253:BS312" si="317">$AU253*BG253</f>
        <v>0</v>
      </c>
      <c r="BT253" s="51">
        <f t="shared" ref="BT253:BT312" si="318">$AU253*BH253</f>
        <v>0</v>
      </c>
      <c r="BU253" s="20">
        <f t="shared" ref="BU253:BU312" si="319">AVERAGE(AU251:AU253)</f>
        <v>4761.4396153846155</v>
      </c>
      <c r="BV253" s="20">
        <f t="shared" ref="BV253:BV312" si="320">AVERAGE(AU242:AU253)</f>
        <v>4761.4396153846164</v>
      </c>
      <c r="BW253" s="20">
        <f t="shared" ref="BW253:BW312" si="321">AU253*12</f>
        <v>57137.275384615386</v>
      </c>
      <c r="BX253" s="20">
        <f t="shared" ref="BX253:BX312" si="322">BU253*12</f>
        <v>57137.275384615386</v>
      </c>
      <c r="BY253" s="20">
        <f t="shared" ref="BY253:BY312" si="323">BV253*12</f>
        <v>57137.275384615394</v>
      </c>
      <c r="BZ253" s="21">
        <f t="shared" ref="BZ253:BZ312" si="324">IF(BY253&gt;0,AVERAGE(BW253:BY253), IF(BX253&gt;0,AVERAGE(BW253:BX253), BW253))</f>
        <v>57137.275384615386</v>
      </c>
      <c r="CA253" s="19">
        <f t="shared" si="297"/>
        <v>1428431.8846153847</v>
      </c>
      <c r="CB253" s="20">
        <f t="shared" ref="CB253:CB312" si="325">AVERAGE(CA251:CA253)</f>
        <v>1428431.8846153847</v>
      </c>
      <c r="CC253" s="20">
        <f t="shared" ref="CC253:CC312" si="326">AVERAGE(CA242:CA253)</f>
        <v>1428431.8846153843</v>
      </c>
      <c r="CD253" s="20">
        <f t="shared" si="298"/>
        <v>0</v>
      </c>
      <c r="CE253" s="20">
        <f t="shared" si="302"/>
        <v>1400000</v>
      </c>
      <c r="CF253" s="20">
        <f t="shared" si="295"/>
        <v>2186608.7251269207</v>
      </c>
      <c r="CG253" s="20">
        <f t="shared" ref="CG253:CG312" si="327">CA$11*CF253</f>
        <v>87464.349005076831</v>
      </c>
      <c r="CH253" s="20">
        <f t="shared" si="296"/>
        <v>7288.6957504230695</v>
      </c>
      <c r="CI253" s="20">
        <f t="shared" ref="CI253:CI312" si="328">AVERAGE(CF251:CF253)</f>
        <v>2175189.106649179</v>
      </c>
      <c r="CJ253" s="24">
        <f t="shared" ref="CJ253:CJ312" si="329">CF253/CB253</f>
        <v>1.530775634930384</v>
      </c>
      <c r="CK253" s="24">
        <f t="shared" ref="CK253:CK312" si="330">(CF253-CF252)/CF252</f>
        <v>5.2594374725888305E-3</v>
      </c>
      <c r="CL253" s="24">
        <f t="shared" ref="CL253:CL312" si="331">(CF253-CF250)/CF250</f>
        <v>1.5858932109434416E-2</v>
      </c>
      <c r="CM253" s="25">
        <f t="shared" ref="CM253:CM312" si="332">(CF253-CF241)/CF241</f>
        <v>6.4912506786516791E-2</v>
      </c>
      <c r="CN253" s="17"/>
      <c r="CO253" s="17"/>
      <c r="CP253" s="17"/>
      <c r="CQ253" s="17"/>
      <c r="CR253" s="17"/>
      <c r="CS253" s="17"/>
      <c r="CT253" s="17"/>
      <c r="CU253" s="17"/>
      <c r="CV253" s="17"/>
      <c r="CW253" s="30">
        <v>0</v>
      </c>
      <c r="CX253" s="17"/>
      <c r="CY253" s="17"/>
      <c r="CZ253" s="17"/>
      <c r="DA253" s="17"/>
      <c r="DB253" s="17"/>
    </row>
    <row r="254" spans="1:106" ht="15.75" thickBot="1" x14ac:dyDescent="0.3">
      <c r="A254" s="5">
        <f t="shared" si="299"/>
        <v>44</v>
      </c>
      <c r="B254" s="5">
        <f t="shared" si="299"/>
        <v>43</v>
      </c>
      <c r="C254" s="1"/>
      <c r="D254" s="4"/>
      <c r="E254" s="30"/>
      <c r="F254" s="30"/>
      <c r="G254" s="30">
        <f t="shared" si="303"/>
        <v>0</v>
      </c>
      <c r="H254" s="30"/>
      <c r="I254" s="10">
        <v>0</v>
      </c>
      <c r="J254" s="60">
        <v>9000</v>
      </c>
      <c r="K254" s="11">
        <v>550</v>
      </c>
      <c r="L254" s="60">
        <f t="shared" si="72"/>
        <v>11806.813803452382</v>
      </c>
      <c r="M254" s="11">
        <v>305</v>
      </c>
      <c r="N254" s="60">
        <v>0</v>
      </c>
      <c r="O254" s="11">
        <v>0</v>
      </c>
      <c r="P254" s="11">
        <v>0</v>
      </c>
      <c r="Q254" s="60">
        <f>(Q253*($K$1/12))+Q253 + $Q$8</f>
        <v>329913.95180608111</v>
      </c>
      <c r="R254" s="60">
        <f>(R253*($K$1/12))+R253</f>
        <v>14626.686145146703</v>
      </c>
      <c r="S254" s="60">
        <f>(S253*($K$1/12))+S253</f>
        <v>12698.897800508419</v>
      </c>
      <c r="T254" s="60">
        <f>(T253*($K$1/12))+T253+$T$8</f>
        <v>1247541.6183367947</v>
      </c>
      <c r="U254" s="60">
        <f>(U253*$K$1/12) + U253</f>
        <v>154511.29546520402</v>
      </c>
      <c r="V254" s="60">
        <v>3100</v>
      </c>
      <c r="W254" s="60">
        <f>(W253*($K$1/12))+W253+$W$8</f>
        <v>107249.59112861702</v>
      </c>
      <c r="X254" s="11">
        <v>0</v>
      </c>
      <c r="Y254" s="60">
        <f>(Y253*($K$1/12))+Y253+$Y$8</f>
        <v>331568.81503900618</v>
      </c>
      <c r="Z254" s="60">
        <f>'Mortgage and Loans'!U216</f>
        <v>180000</v>
      </c>
      <c r="AA254" s="12">
        <f t="shared" si="293"/>
        <v>2402872.6695248103</v>
      </c>
      <c r="AB254" s="56">
        <f t="shared" si="301"/>
        <v>750</v>
      </c>
      <c r="AC254" s="56">
        <f t="shared" si="301"/>
        <v>750</v>
      </c>
      <c r="AD254" s="56">
        <f t="shared" si="301"/>
        <v>750</v>
      </c>
      <c r="AE254" s="56">
        <f t="shared" si="301"/>
        <v>750</v>
      </c>
      <c r="AF254" s="56">
        <f t="shared" si="300"/>
        <v>261.43961538461554</v>
      </c>
      <c r="AG254" s="56">
        <f t="shared" si="301"/>
        <v>750</v>
      </c>
      <c r="AH254" s="56">
        <f>'Mortgage and Loans'!AF211</f>
        <v>0</v>
      </c>
      <c r="AI254" s="56">
        <f>'Mortgage and Loans'!AQ211</f>
        <v>0</v>
      </c>
      <c r="AJ254" s="56">
        <f>'Mortgage and Loans'!BB211</f>
        <v>0</v>
      </c>
      <c r="AK254" s="56">
        <f>'Mortgage and Loans'!BM211</f>
        <v>0</v>
      </c>
      <c r="AL254" s="56">
        <f>'Mortgage and Loans'!T216</f>
        <v>0</v>
      </c>
      <c r="AM254" s="12">
        <f t="shared" si="12"/>
        <v>-4011.4396153846155</v>
      </c>
      <c r="AN254" s="75">
        <f t="shared" si="85"/>
        <v>2398861.2299094256</v>
      </c>
      <c r="AO254" s="86">
        <f>'Mortgage and Loans'!G217</f>
        <v>0</v>
      </c>
      <c r="AP254" s="79">
        <f>('Salary Tax Breakdown'!B$16/12)-Data!AO254</f>
        <v>3447.5</v>
      </c>
      <c r="AQ254" s="87"/>
      <c r="AR254" s="20">
        <f t="shared" si="304"/>
        <v>4011.4396153846155</v>
      </c>
      <c r="AS254" s="20">
        <v>750</v>
      </c>
      <c r="AT254" s="20">
        <v>0</v>
      </c>
      <c r="AU254" s="20">
        <f t="shared" si="305"/>
        <v>4761.4396153846155</v>
      </c>
      <c r="AV254" s="20">
        <f t="shared" si="306"/>
        <v>4761.4396153846155</v>
      </c>
      <c r="AW254" s="51">
        <f t="shared" si="294"/>
        <v>0</v>
      </c>
      <c r="AX254" s="51">
        <f t="shared" si="14"/>
        <v>0</v>
      </c>
      <c r="AY254" s="51">
        <f t="shared" si="15"/>
        <v>0</v>
      </c>
      <c r="AZ254" s="51">
        <f t="shared" si="16"/>
        <v>0</v>
      </c>
      <c r="BA254" s="51">
        <f t="shared" si="17"/>
        <v>0</v>
      </c>
      <c r="BB254" s="51">
        <f t="shared" si="18"/>
        <v>0</v>
      </c>
      <c r="BC254" s="51">
        <f t="shared" si="19"/>
        <v>0</v>
      </c>
      <c r="BD254" s="51">
        <f t="shared" si="20"/>
        <v>0</v>
      </c>
      <c r="BE254" s="51">
        <f t="shared" si="21"/>
        <v>0</v>
      </c>
      <c r="BF254" s="51">
        <f t="shared" si="22"/>
        <v>0</v>
      </c>
      <c r="BG254" s="51">
        <f t="shared" si="23"/>
        <v>0</v>
      </c>
      <c r="BH254" s="51">
        <f t="shared" si="24"/>
        <v>0</v>
      </c>
      <c r="BI254" s="51">
        <f t="shared" si="307"/>
        <v>0</v>
      </c>
      <c r="BJ254" s="51">
        <f t="shared" si="308"/>
        <v>0</v>
      </c>
      <c r="BK254" s="51">
        <f t="shared" si="309"/>
        <v>0</v>
      </c>
      <c r="BL254" s="51">
        <f t="shared" si="310"/>
        <v>0</v>
      </c>
      <c r="BM254" s="51">
        <f t="shared" si="311"/>
        <v>0</v>
      </c>
      <c r="BN254" s="51">
        <f t="shared" si="312"/>
        <v>0</v>
      </c>
      <c r="BO254" s="51">
        <f t="shared" si="313"/>
        <v>0</v>
      </c>
      <c r="BP254" s="51">
        <f t="shared" si="314"/>
        <v>0</v>
      </c>
      <c r="BQ254" s="51">
        <f t="shared" si="315"/>
        <v>0</v>
      </c>
      <c r="BR254" s="51">
        <f t="shared" si="316"/>
        <v>0</v>
      </c>
      <c r="BS254" s="51">
        <f t="shared" si="317"/>
        <v>0</v>
      </c>
      <c r="BT254" s="51">
        <f t="shared" si="318"/>
        <v>0</v>
      </c>
      <c r="BU254" s="20">
        <f t="shared" si="319"/>
        <v>4761.4396153846155</v>
      </c>
      <c r="BV254" s="20">
        <f t="shared" si="320"/>
        <v>4761.4396153846164</v>
      </c>
      <c r="BW254" s="20">
        <f t="shared" si="321"/>
        <v>57137.275384615386</v>
      </c>
      <c r="BX254" s="20">
        <f t="shared" si="322"/>
        <v>57137.275384615386</v>
      </c>
      <c r="BY254" s="20">
        <f t="shared" si="323"/>
        <v>57137.275384615394</v>
      </c>
      <c r="BZ254" s="21">
        <f t="shared" si="324"/>
        <v>57137.275384615386</v>
      </c>
      <c r="CA254" s="19">
        <f t="shared" si="297"/>
        <v>1428431.8846153847</v>
      </c>
      <c r="CB254" s="20">
        <f t="shared" si="325"/>
        <v>1428431.8846153847</v>
      </c>
      <c r="CC254" s="20">
        <f t="shared" si="326"/>
        <v>1428431.8846153843</v>
      </c>
      <c r="CD254" s="20">
        <f t="shared" si="298"/>
        <v>0</v>
      </c>
      <c r="CE254" s="20">
        <f t="shared" si="302"/>
        <v>1400000</v>
      </c>
      <c r="CF254" s="20">
        <f t="shared" si="295"/>
        <v>2198110.8557213582</v>
      </c>
      <c r="CG254" s="20">
        <f t="shared" si="327"/>
        <v>87924.434228854327</v>
      </c>
      <c r="CH254" s="20">
        <f t="shared" si="296"/>
        <v>7327.0361857378603</v>
      </c>
      <c r="CI254" s="20">
        <f t="shared" si="328"/>
        <v>2186629.3809768623</v>
      </c>
      <c r="CJ254" s="24">
        <f t="shared" si="329"/>
        <v>1.5388279128991964</v>
      </c>
      <c r="CK254" s="24">
        <f t="shared" si="330"/>
        <v>5.2602600832345262E-3</v>
      </c>
      <c r="CL254" s="24">
        <f t="shared" si="331"/>
        <v>1.586143870882694E-2</v>
      </c>
      <c r="CM254" s="25">
        <f t="shared" si="332"/>
        <v>6.4923262103382548E-2</v>
      </c>
      <c r="CN254" s="17"/>
      <c r="CO254" s="17"/>
      <c r="CP254" s="17"/>
      <c r="CQ254" s="17"/>
      <c r="CR254" s="17"/>
      <c r="CS254" s="17"/>
      <c r="CT254" s="17"/>
      <c r="CU254" s="17"/>
      <c r="CV254" s="17"/>
      <c r="CW254" s="30">
        <v>0</v>
      </c>
      <c r="CX254" s="17"/>
      <c r="CY254" s="17"/>
      <c r="CZ254" s="17"/>
      <c r="DA254" s="17"/>
      <c r="DB254" s="17"/>
    </row>
    <row r="255" spans="1:106" ht="15.75" thickBot="1" x14ac:dyDescent="0.3">
      <c r="A255" s="5">
        <f t="shared" si="299"/>
        <v>44</v>
      </c>
      <c r="B255" s="5">
        <f t="shared" si="299"/>
        <v>43</v>
      </c>
      <c r="C255" s="1"/>
      <c r="D255" s="4"/>
      <c r="E255" s="30"/>
      <c r="F255" s="30"/>
      <c r="G255" s="30">
        <f t="shared" si="303"/>
        <v>0</v>
      </c>
      <c r="H255" s="30"/>
      <c r="I255" s="10">
        <v>0</v>
      </c>
      <c r="J255" s="60">
        <v>9000</v>
      </c>
      <c r="K255" s="11">
        <v>550</v>
      </c>
      <c r="L255" s="60">
        <f t="shared" si="72"/>
        <v>11821.080370131553</v>
      </c>
      <c r="M255" s="11">
        <v>305</v>
      </c>
      <c r="N255" s="60">
        <v>0</v>
      </c>
      <c r="O255" s="11">
        <v>0</v>
      </c>
      <c r="P255" s="11">
        <v>0</v>
      </c>
      <c r="Q255" s="60">
        <f>(Q254*($K$1/12))+Q254 + $Q$8</f>
        <v>332158.98571169737</v>
      </c>
      <c r="R255" s="60">
        <f>(R254*($K$1/12))+R254</f>
        <v>14705.914028432915</v>
      </c>
      <c r="S255" s="60">
        <f>(S254*($K$1/12))+S254</f>
        <v>12767.683496927839</v>
      </c>
      <c r="T255" s="60">
        <f>(T254*($K$1/12))+T254+$T$8</f>
        <v>1255799.135436119</v>
      </c>
      <c r="U255" s="60">
        <f>(U254*$K$1/12) + U254</f>
        <v>155348.23164897389</v>
      </c>
      <c r="V255" s="60">
        <v>3100</v>
      </c>
      <c r="W255" s="60">
        <f>(W254*($K$1/12))+W254+$W$8</f>
        <v>107830.52641389702</v>
      </c>
      <c r="X255" s="11">
        <v>0</v>
      </c>
      <c r="Y255" s="60">
        <f>(Y254*($K$1/12))+Y254+$Y$8</f>
        <v>331064.81278713414</v>
      </c>
      <c r="Z255" s="60">
        <f>'Mortgage and Loans'!U217</f>
        <v>180000</v>
      </c>
      <c r="AA255" s="12">
        <f t="shared" si="293"/>
        <v>2414451.3698933139</v>
      </c>
      <c r="AB255" s="56">
        <f t="shared" si="301"/>
        <v>750</v>
      </c>
      <c r="AC255" s="56">
        <f t="shared" si="301"/>
        <v>750</v>
      </c>
      <c r="AD255" s="56">
        <f t="shared" si="301"/>
        <v>750</v>
      </c>
      <c r="AE255" s="56">
        <f t="shared" si="301"/>
        <v>750</v>
      </c>
      <c r="AF255" s="56">
        <f t="shared" si="300"/>
        <v>261.43961538461554</v>
      </c>
      <c r="AG255" s="56">
        <f t="shared" si="301"/>
        <v>750</v>
      </c>
      <c r="AH255" s="56">
        <f>'Mortgage and Loans'!AF212</f>
        <v>0</v>
      </c>
      <c r="AI255" s="56">
        <f>'Mortgage and Loans'!AQ212</f>
        <v>0</v>
      </c>
      <c r="AJ255" s="56">
        <f>'Mortgage and Loans'!BB212</f>
        <v>0</v>
      </c>
      <c r="AK255" s="56">
        <f>'Mortgage and Loans'!BM212</f>
        <v>0</v>
      </c>
      <c r="AL255" s="56">
        <f>'Mortgage and Loans'!T217</f>
        <v>0</v>
      </c>
      <c r="AM255" s="12">
        <f t="shared" si="12"/>
        <v>-4011.4396153846155</v>
      </c>
      <c r="AN255" s="75">
        <f t="shared" si="85"/>
        <v>2410439.9302779292</v>
      </c>
      <c r="AO255" s="86">
        <f>'Mortgage and Loans'!G218</f>
        <v>0</v>
      </c>
      <c r="AP255" s="79">
        <f>('Salary Tax Breakdown'!B$16/12)-Data!AO255</f>
        <v>3447.5</v>
      </c>
      <c r="AQ255" s="87"/>
      <c r="AR255" s="20">
        <f t="shared" si="304"/>
        <v>4011.4396153846155</v>
      </c>
      <c r="AS255" s="20">
        <v>750</v>
      </c>
      <c r="AT255" s="20">
        <v>0</v>
      </c>
      <c r="AU255" s="20">
        <f t="shared" si="305"/>
        <v>4761.4396153846155</v>
      </c>
      <c r="AV255" s="20">
        <f t="shared" si="306"/>
        <v>4761.4396153846155</v>
      </c>
      <c r="AW255" s="51">
        <f t="shared" si="294"/>
        <v>0</v>
      </c>
      <c r="AX255" s="51">
        <f t="shared" si="14"/>
        <v>0</v>
      </c>
      <c r="AY255" s="51">
        <f t="shared" si="15"/>
        <v>0</v>
      </c>
      <c r="AZ255" s="51">
        <f t="shared" si="16"/>
        <v>0</v>
      </c>
      <c r="BA255" s="51">
        <f t="shared" si="17"/>
        <v>0</v>
      </c>
      <c r="BB255" s="51">
        <f t="shared" si="18"/>
        <v>0</v>
      </c>
      <c r="BC255" s="51">
        <f t="shared" si="19"/>
        <v>0</v>
      </c>
      <c r="BD255" s="51">
        <f t="shared" si="20"/>
        <v>0</v>
      </c>
      <c r="BE255" s="51">
        <f t="shared" si="21"/>
        <v>0</v>
      </c>
      <c r="BF255" s="51">
        <f t="shared" si="22"/>
        <v>0</v>
      </c>
      <c r="BG255" s="51">
        <f t="shared" si="23"/>
        <v>0</v>
      </c>
      <c r="BH255" s="51">
        <f t="shared" si="24"/>
        <v>0</v>
      </c>
      <c r="BI255" s="51">
        <f t="shared" si="307"/>
        <v>0</v>
      </c>
      <c r="BJ255" s="51">
        <f t="shared" si="308"/>
        <v>0</v>
      </c>
      <c r="BK255" s="51">
        <f t="shared" si="309"/>
        <v>0</v>
      </c>
      <c r="BL255" s="51">
        <f t="shared" si="310"/>
        <v>0</v>
      </c>
      <c r="BM255" s="51">
        <f t="shared" si="311"/>
        <v>0</v>
      </c>
      <c r="BN255" s="51">
        <f t="shared" si="312"/>
        <v>0</v>
      </c>
      <c r="BO255" s="51">
        <f t="shared" si="313"/>
        <v>0</v>
      </c>
      <c r="BP255" s="51">
        <f t="shared" si="314"/>
        <v>0</v>
      </c>
      <c r="BQ255" s="51">
        <f t="shared" si="315"/>
        <v>0</v>
      </c>
      <c r="BR255" s="51">
        <f t="shared" si="316"/>
        <v>0</v>
      </c>
      <c r="BS255" s="51">
        <f t="shared" si="317"/>
        <v>0</v>
      </c>
      <c r="BT255" s="51">
        <f t="shared" si="318"/>
        <v>0</v>
      </c>
      <c r="BU255" s="20">
        <f t="shared" si="319"/>
        <v>4761.4396153846155</v>
      </c>
      <c r="BV255" s="20">
        <f t="shared" si="320"/>
        <v>4761.4396153846164</v>
      </c>
      <c r="BW255" s="20">
        <f t="shared" si="321"/>
        <v>57137.275384615386</v>
      </c>
      <c r="BX255" s="20">
        <f t="shared" si="322"/>
        <v>57137.275384615386</v>
      </c>
      <c r="BY255" s="20">
        <f t="shared" si="323"/>
        <v>57137.275384615394</v>
      </c>
      <c r="BZ255" s="21">
        <f t="shared" si="324"/>
        <v>57137.275384615386</v>
      </c>
      <c r="CA255" s="19">
        <f t="shared" si="297"/>
        <v>1428431.8846153847</v>
      </c>
      <c r="CB255" s="20">
        <f t="shared" si="325"/>
        <v>1428431.8846153847</v>
      </c>
      <c r="CC255" s="20">
        <f t="shared" si="326"/>
        <v>1428431.8846153843</v>
      </c>
      <c r="CD255" s="20">
        <f t="shared" si="298"/>
        <v>0</v>
      </c>
      <c r="CE255" s="20">
        <f t="shared" si="302"/>
        <v>1400000</v>
      </c>
      <c r="CF255" s="20">
        <f t="shared" si="295"/>
        <v>2209675.2895231824</v>
      </c>
      <c r="CG255" s="20">
        <f t="shared" si="327"/>
        <v>88387.011580927297</v>
      </c>
      <c r="CH255" s="20">
        <f t="shared" si="296"/>
        <v>7365.5842984106084</v>
      </c>
      <c r="CI255" s="20">
        <f t="shared" si="328"/>
        <v>2198131.6234571538</v>
      </c>
      <c r="CJ255" s="24">
        <f t="shared" si="329"/>
        <v>1.5469238073736733</v>
      </c>
      <c r="CK255" s="24">
        <f t="shared" si="330"/>
        <v>5.2610785173658157E-3</v>
      </c>
      <c r="CL255" s="24">
        <f t="shared" si="331"/>
        <v>1.5863932590052223E-2</v>
      </c>
      <c r="CM255" s="25">
        <f t="shared" si="332"/>
        <v>6.4933963012063153E-2</v>
      </c>
      <c r="CN255" s="17"/>
      <c r="CO255" s="17"/>
      <c r="CP255" s="17"/>
      <c r="CQ255" s="17"/>
      <c r="CR255" s="17"/>
      <c r="CS255" s="17"/>
      <c r="CT255" s="17"/>
      <c r="CU255" s="17"/>
      <c r="CV255" s="17"/>
      <c r="CW255" s="30">
        <v>0</v>
      </c>
      <c r="CX255" s="17"/>
      <c r="CY255" s="17"/>
      <c r="CZ255" s="17"/>
      <c r="DA255" s="17"/>
      <c r="DB255" s="17"/>
    </row>
    <row r="256" spans="1:106" ht="15.75" thickBot="1" x14ac:dyDescent="0.3">
      <c r="A256" s="5">
        <f t="shared" si="299"/>
        <v>45</v>
      </c>
      <c r="B256" s="5">
        <f t="shared" si="299"/>
        <v>43</v>
      </c>
      <c r="C256" s="1"/>
      <c r="D256" s="4"/>
      <c r="E256" s="30"/>
      <c r="F256" s="30"/>
      <c r="G256" s="30">
        <f t="shared" si="303"/>
        <v>0</v>
      </c>
      <c r="H256" s="30"/>
      <c r="I256" s="10">
        <v>0</v>
      </c>
      <c r="J256" s="60">
        <v>9000</v>
      </c>
      <c r="K256" s="11">
        <v>550</v>
      </c>
      <c r="L256" s="60">
        <f t="shared" si="72"/>
        <v>11835.364175578794</v>
      </c>
      <c r="M256" s="11">
        <v>305</v>
      </c>
      <c r="N256" s="60">
        <v>0</v>
      </c>
      <c r="O256" s="11">
        <v>0</v>
      </c>
      <c r="P256" s="11">
        <v>0</v>
      </c>
      <c r="Q256" s="60">
        <f>(Q255*($K$1/12))+Q255 + $Q$8</f>
        <v>334416.18021763576</v>
      </c>
      <c r="R256" s="60">
        <f>(R255*($K$1/12))+R255</f>
        <v>14785.571062753594</v>
      </c>
      <c r="S256" s="60">
        <f>(S255*($K$1/12))+S255</f>
        <v>12836.841782536198</v>
      </c>
      <c r="T256" s="60">
        <f>(T255*($K$1/12))+T255+$T$8</f>
        <v>1264101.3807530648</v>
      </c>
      <c r="U256" s="60">
        <f>(U255*$K$1/12) + U255</f>
        <v>156189.7012370725</v>
      </c>
      <c r="V256" s="60">
        <v>3100</v>
      </c>
      <c r="W256" s="60">
        <f>(W255*($K$1/12))+W255+$W$8</f>
        <v>108414.6084319723</v>
      </c>
      <c r="X256" s="11">
        <v>0</v>
      </c>
      <c r="Y256" s="60">
        <f>(Y255*($K$1/12))+Y255+$Y$8</f>
        <v>330558.08052306448</v>
      </c>
      <c r="Z256" s="60">
        <f>'Mortgage and Loans'!U218</f>
        <v>180000</v>
      </c>
      <c r="AA256" s="12">
        <f t="shared" si="293"/>
        <v>2426092.7281836784</v>
      </c>
      <c r="AB256" s="56">
        <f t="shared" si="301"/>
        <v>750</v>
      </c>
      <c r="AC256" s="56">
        <f t="shared" si="301"/>
        <v>750</v>
      </c>
      <c r="AD256" s="56">
        <f t="shared" si="301"/>
        <v>750</v>
      </c>
      <c r="AE256" s="56">
        <f t="shared" si="301"/>
        <v>750</v>
      </c>
      <c r="AF256" s="56">
        <f t="shared" si="300"/>
        <v>261.43961538461554</v>
      </c>
      <c r="AG256" s="56">
        <f t="shared" si="301"/>
        <v>750</v>
      </c>
      <c r="AH256" s="56">
        <f>'Mortgage and Loans'!AF213</f>
        <v>0</v>
      </c>
      <c r="AI256" s="56">
        <f>'Mortgage and Loans'!AQ213</f>
        <v>0</v>
      </c>
      <c r="AJ256" s="56">
        <f>'Mortgage and Loans'!BB213</f>
        <v>0</v>
      </c>
      <c r="AK256" s="56">
        <f>'Mortgage and Loans'!BM213</f>
        <v>0</v>
      </c>
      <c r="AL256" s="56">
        <f>'Mortgage and Loans'!T218</f>
        <v>0</v>
      </c>
      <c r="AM256" s="12">
        <f t="shared" si="12"/>
        <v>-4011.4396153846155</v>
      </c>
      <c r="AN256" s="75">
        <f t="shared" si="85"/>
        <v>2422081.2885682937</v>
      </c>
      <c r="AO256" s="86">
        <f>'Mortgage and Loans'!G219</f>
        <v>0</v>
      </c>
      <c r="AP256" s="79">
        <f>('Salary Tax Breakdown'!B$16/12)-Data!AO256</f>
        <v>3447.5</v>
      </c>
      <c r="AQ256" s="87"/>
      <c r="AR256" s="20">
        <f t="shared" si="304"/>
        <v>4011.4396153846155</v>
      </c>
      <c r="AS256" s="20">
        <v>750</v>
      </c>
      <c r="AT256" s="20">
        <v>0</v>
      </c>
      <c r="AU256" s="20">
        <f t="shared" si="305"/>
        <v>4761.4396153846155</v>
      </c>
      <c r="AV256" s="20">
        <f t="shared" si="306"/>
        <v>4761.4396153846155</v>
      </c>
      <c r="AW256" s="51">
        <f t="shared" si="294"/>
        <v>0</v>
      </c>
      <c r="AX256" s="51">
        <f t="shared" si="14"/>
        <v>0</v>
      </c>
      <c r="AY256" s="51">
        <f t="shared" si="15"/>
        <v>0</v>
      </c>
      <c r="AZ256" s="51">
        <f t="shared" si="16"/>
        <v>0</v>
      </c>
      <c r="BA256" s="51">
        <f t="shared" si="17"/>
        <v>0</v>
      </c>
      <c r="BB256" s="51">
        <f t="shared" si="18"/>
        <v>0</v>
      </c>
      <c r="BC256" s="51">
        <f t="shared" si="19"/>
        <v>0</v>
      </c>
      <c r="BD256" s="51">
        <f t="shared" si="20"/>
        <v>0</v>
      </c>
      <c r="BE256" s="51">
        <f t="shared" si="21"/>
        <v>0</v>
      </c>
      <c r="BF256" s="51">
        <f t="shared" si="22"/>
        <v>0</v>
      </c>
      <c r="BG256" s="51">
        <f t="shared" si="23"/>
        <v>0</v>
      </c>
      <c r="BH256" s="51">
        <f t="shared" si="24"/>
        <v>0</v>
      </c>
      <c r="BI256" s="51">
        <f t="shared" si="307"/>
        <v>0</v>
      </c>
      <c r="BJ256" s="51">
        <f t="shared" si="308"/>
        <v>0</v>
      </c>
      <c r="BK256" s="51">
        <f t="shared" si="309"/>
        <v>0</v>
      </c>
      <c r="BL256" s="51">
        <f t="shared" si="310"/>
        <v>0</v>
      </c>
      <c r="BM256" s="51">
        <f t="shared" si="311"/>
        <v>0</v>
      </c>
      <c r="BN256" s="51">
        <f t="shared" si="312"/>
        <v>0</v>
      </c>
      <c r="BO256" s="51">
        <f t="shared" si="313"/>
        <v>0</v>
      </c>
      <c r="BP256" s="51">
        <f t="shared" si="314"/>
        <v>0</v>
      </c>
      <c r="BQ256" s="51">
        <f t="shared" si="315"/>
        <v>0</v>
      </c>
      <c r="BR256" s="51">
        <f t="shared" si="316"/>
        <v>0</v>
      </c>
      <c r="BS256" s="51">
        <f t="shared" si="317"/>
        <v>0</v>
      </c>
      <c r="BT256" s="51">
        <f t="shared" si="318"/>
        <v>0</v>
      </c>
      <c r="BU256" s="20">
        <f t="shared" si="319"/>
        <v>4761.4396153846155</v>
      </c>
      <c r="BV256" s="20">
        <f t="shared" si="320"/>
        <v>4761.4396153846164</v>
      </c>
      <c r="BW256" s="20">
        <f t="shared" si="321"/>
        <v>57137.275384615386</v>
      </c>
      <c r="BX256" s="20">
        <f t="shared" si="322"/>
        <v>57137.275384615386</v>
      </c>
      <c r="BY256" s="20">
        <f t="shared" si="323"/>
        <v>57137.275384615394</v>
      </c>
      <c r="BZ256" s="21">
        <f t="shared" si="324"/>
        <v>57137.275384615386</v>
      </c>
      <c r="CA256" s="19">
        <f t="shared" si="297"/>
        <v>1428431.8846153847</v>
      </c>
      <c r="CB256" s="20">
        <f t="shared" si="325"/>
        <v>1428431.8846153847</v>
      </c>
      <c r="CC256" s="20">
        <f t="shared" si="326"/>
        <v>1428431.8846153843</v>
      </c>
      <c r="CD256" s="20">
        <f t="shared" si="298"/>
        <v>0</v>
      </c>
      <c r="CE256" s="20">
        <f t="shared" si="302"/>
        <v>1400000</v>
      </c>
      <c r="CF256" s="20">
        <f t="shared" si="295"/>
        <v>2221302.3640080998</v>
      </c>
      <c r="CG256" s="20">
        <f t="shared" si="327"/>
        <v>88852.094560323996</v>
      </c>
      <c r="CH256" s="20">
        <f t="shared" si="296"/>
        <v>7404.3412133603333</v>
      </c>
      <c r="CI256" s="20">
        <f t="shared" si="328"/>
        <v>2209696.16975088</v>
      </c>
      <c r="CJ256" s="24">
        <f t="shared" si="329"/>
        <v>1.5550635546098868</v>
      </c>
      <c r="CK256" s="24">
        <f t="shared" si="330"/>
        <v>5.2618927948577905E-3</v>
      </c>
      <c r="CL256" s="24">
        <f t="shared" si="331"/>
        <v>1.5866413813548311E-2</v>
      </c>
      <c r="CM256" s="25">
        <f t="shared" si="332"/>
        <v>6.4944609769414879E-2</v>
      </c>
      <c r="CN256" s="17"/>
      <c r="CO256" s="17"/>
      <c r="CP256" s="17"/>
      <c r="CQ256" s="17"/>
      <c r="CR256" s="17"/>
      <c r="CS256" s="17"/>
      <c r="CT256" s="17"/>
      <c r="CU256" s="17"/>
      <c r="CV256" s="17"/>
      <c r="CW256" s="30">
        <v>0</v>
      </c>
      <c r="CX256" s="17"/>
      <c r="CY256" s="17"/>
      <c r="CZ256" s="17"/>
      <c r="DA256" s="17"/>
      <c r="DB256" s="17"/>
    </row>
    <row r="257" spans="1:106" ht="15.75" thickBot="1" x14ac:dyDescent="0.3">
      <c r="A257" s="5">
        <f t="shared" si="299"/>
        <v>45</v>
      </c>
      <c r="B257" s="5">
        <f t="shared" si="299"/>
        <v>43</v>
      </c>
      <c r="C257" s="1"/>
      <c r="D257" s="4"/>
      <c r="E257" s="30"/>
      <c r="F257" s="30"/>
      <c r="G257" s="30">
        <f t="shared" si="303"/>
        <v>0</v>
      </c>
      <c r="H257" s="30"/>
      <c r="I257" s="10">
        <v>0</v>
      </c>
      <c r="J257" s="60">
        <v>9000</v>
      </c>
      <c r="K257" s="11">
        <v>550</v>
      </c>
      <c r="L257" s="60">
        <f t="shared" si="72"/>
        <v>11849.665240624285</v>
      </c>
      <c r="M257" s="11">
        <v>305</v>
      </c>
      <c r="N257" s="60">
        <v>0</v>
      </c>
      <c r="O257" s="11">
        <v>0</v>
      </c>
      <c r="P257" s="11">
        <v>0</v>
      </c>
      <c r="Q257" s="60">
        <f>(Q256*($K$1/12))+Q256 + $Q$8</f>
        <v>336685.6011938146</v>
      </c>
      <c r="R257" s="60">
        <f>(R256*($K$1/12))+R256</f>
        <v>14865.659572676843</v>
      </c>
      <c r="S257" s="60">
        <f>(S256*($K$1/12))+S256</f>
        <v>12906.374675524936</v>
      </c>
      <c r="T257" s="60">
        <f>(T256*($K$1/12))+T256+$T$8</f>
        <v>1272448.5965654771</v>
      </c>
      <c r="U257" s="60">
        <f>(U256*$K$1/12) + U256</f>
        <v>157035.72878543998</v>
      </c>
      <c r="V257" s="60">
        <v>3100</v>
      </c>
      <c r="W257" s="60">
        <f>(W256*($K$1/12))+W256+$W$8</f>
        <v>109001.85422764548</v>
      </c>
      <c r="X257" s="11">
        <v>0</v>
      </c>
      <c r="Y257" s="60">
        <f>(Y256*($K$1/12))+Y256+$Y$8</f>
        <v>330048.60345923109</v>
      </c>
      <c r="Z257" s="60">
        <f>'Mortgage and Loans'!U219</f>
        <v>180000</v>
      </c>
      <c r="AA257" s="12">
        <f t="shared" si="293"/>
        <v>2437797.0837204345</v>
      </c>
      <c r="AB257" s="56">
        <f t="shared" ref="AB257:AG288" si="333">$AC$1/5</f>
        <v>750</v>
      </c>
      <c r="AC257" s="56">
        <f t="shared" si="333"/>
        <v>750</v>
      </c>
      <c r="AD257" s="56">
        <f t="shared" si="333"/>
        <v>750</v>
      </c>
      <c r="AE257" s="56">
        <f t="shared" si="333"/>
        <v>750</v>
      </c>
      <c r="AF257" s="56">
        <f t="shared" si="300"/>
        <v>261.43961538461554</v>
      </c>
      <c r="AG257" s="56">
        <f t="shared" si="333"/>
        <v>750</v>
      </c>
      <c r="AH257" s="56">
        <f>'Mortgage and Loans'!AF214</f>
        <v>0</v>
      </c>
      <c r="AI257" s="56">
        <f>'Mortgage and Loans'!AQ214</f>
        <v>0</v>
      </c>
      <c r="AJ257" s="56">
        <f>'Mortgage and Loans'!BB214</f>
        <v>0</v>
      </c>
      <c r="AK257" s="56">
        <f>'Mortgage and Loans'!BM214</f>
        <v>0</v>
      </c>
      <c r="AL257" s="56">
        <f>'Mortgage and Loans'!T219</f>
        <v>0</v>
      </c>
      <c r="AM257" s="12">
        <f t="shared" si="12"/>
        <v>-4011.4396153846155</v>
      </c>
      <c r="AN257" s="75">
        <f t="shared" si="85"/>
        <v>2433785.6441050498</v>
      </c>
      <c r="AO257" s="86">
        <f>'Mortgage and Loans'!G220</f>
        <v>0</v>
      </c>
      <c r="AP257" s="79">
        <f>('Salary Tax Breakdown'!B$16/12)-Data!AO257</f>
        <v>3447.5</v>
      </c>
      <c r="AQ257" s="87"/>
      <c r="AR257" s="20">
        <f t="shared" si="304"/>
        <v>4011.4396153846155</v>
      </c>
      <c r="AS257" s="20">
        <v>750</v>
      </c>
      <c r="AT257" s="20">
        <v>0</v>
      </c>
      <c r="AU257" s="20">
        <f t="shared" si="305"/>
        <v>4761.4396153846155</v>
      </c>
      <c r="AV257" s="20">
        <f t="shared" si="306"/>
        <v>4761.4396153846155</v>
      </c>
      <c r="AW257" s="51">
        <f t="shared" si="294"/>
        <v>0</v>
      </c>
      <c r="AX257" s="51">
        <f t="shared" si="14"/>
        <v>0</v>
      </c>
      <c r="AY257" s="51">
        <f t="shared" si="15"/>
        <v>0</v>
      </c>
      <c r="AZ257" s="51">
        <f t="shared" si="16"/>
        <v>0</v>
      </c>
      <c r="BA257" s="51">
        <f t="shared" si="17"/>
        <v>0</v>
      </c>
      <c r="BB257" s="51">
        <f t="shared" si="18"/>
        <v>0</v>
      </c>
      <c r="BC257" s="51">
        <f t="shared" si="19"/>
        <v>0</v>
      </c>
      <c r="BD257" s="51">
        <f t="shared" si="20"/>
        <v>0</v>
      </c>
      <c r="BE257" s="51">
        <f t="shared" si="21"/>
        <v>0</v>
      </c>
      <c r="BF257" s="51">
        <f t="shared" si="22"/>
        <v>0</v>
      </c>
      <c r="BG257" s="51">
        <f t="shared" si="23"/>
        <v>0</v>
      </c>
      <c r="BH257" s="51">
        <f t="shared" si="24"/>
        <v>0</v>
      </c>
      <c r="BI257" s="51">
        <f t="shared" si="307"/>
        <v>0</v>
      </c>
      <c r="BJ257" s="51">
        <f t="shared" si="308"/>
        <v>0</v>
      </c>
      <c r="BK257" s="51">
        <f t="shared" si="309"/>
        <v>0</v>
      </c>
      <c r="BL257" s="51">
        <f t="shared" si="310"/>
        <v>0</v>
      </c>
      <c r="BM257" s="51">
        <f t="shared" si="311"/>
        <v>0</v>
      </c>
      <c r="BN257" s="51">
        <f t="shared" si="312"/>
        <v>0</v>
      </c>
      <c r="BO257" s="51">
        <f t="shared" si="313"/>
        <v>0</v>
      </c>
      <c r="BP257" s="51">
        <f t="shared" si="314"/>
        <v>0</v>
      </c>
      <c r="BQ257" s="51">
        <f t="shared" si="315"/>
        <v>0</v>
      </c>
      <c r="BR257" s="51">
        <f t="shared" si="316"/>
        <v>0</v>
      </c>
      <c r="BS257" s="51">
        <f t="shared" si="317"/>
        <v>0</v>
      </c>
      <c r="BT257" s="51">
        <f t="shared" si="318"/>
        <v>0</v>
      </c>
      <c r="BU257" s="20">
        <f t="shared" si="319"/>
        <v>4761.4396153846155</v>
      </c>
      <c r="BV257" s="20">
        <f t="shared" si="320"/>
        <v>4761.4396153846164</v>
      </c>
      <c r="BW257" s="20">
        <f t="shared" si="321"/>
        <v>57137.275384615386</v>
      </c>
      <c r="BX257" s="20">
        <f t="shared" si="322"/>
        <v>57137.275384615386</v>
      </c>
      <c r="BY257" s="20">
        <f t="shared" si="323"/>
        <v>57137.275384615394</v>
      </c>
      <c r="BZ257" s="21">
        <f t="shared" si="324"/>
        <v>57137.275384615386</v>
      </c>
      <c r="CA257" s="19">
        <f t="shared" si="297"/>
        <v>1428431.8846153847</v>
      </c>
      <c r="CB257" s="20">
        <f t="shared" si="325"/>
        <v>1428431.8846153847</v>
      </c>
      <c r="CC257" s="20">
        <f t="shared" si="326"/>
        <v>1428431.8846153843</v>
      </c>
      <c r="CD257" s="20">
        <f t="shared" si="298"/>
        <v>0</v>
      </c>
      <c r="CE257" s="20">
        <f t="shared" si="302"/>
        <v>1400000</v>
      </c>
      <c r="CF257" s="20">
        <f t="shared" si="295"/>
        <v>2232992.41847981</v>
      </c>
      <c r="CG257" s="20">
        <f t="shared" si="327"/>
        <v>89319.696739192397</v>
      </c>
      <c r="CH257" s="20">
        <f t="shared" si="296"/>
        <v>7443.3080615993667</v>
      </c>
      <c r="CI257" s="20">
        <f t="shared" si="328"/>
        <v>2221323.357337031</v>
      </c>
      <c r="CJ257" s="24">
        <f t="shared" si="329"/>
        <v>1.5632473921436294</v>
      </c>
      <c r="CK257" s="24">
        <f t="shared" si="330"/>
        <v>5.2627029355052741E-3</v>
      </c>
      <c r="CL257" s="24">
        <f t="shared" si="331"/>
        <v>1.5868882439509468E-2</v>
      </c>
      <c r="CM257" s="25">
        <f t="shared" si="332"/>
        <v>6.4955202631272926E-2</v>
      </c>
      <c r="CN257" s="17"/>
      <c r="CO257" s="17"/>
      <c r="CP257" s="17"/>
      <c r="CQ257" s="17"/>
      <c r="CR257" s="17"/>
      <c r="CS257" s="17"/>
      <c r="CT257" s="17"/>
      <c r="CU257" s="17"/>
      <c r="CV257" s="17"/>
      <c r="CW257" s="30">
        <v>0</v>
      </c>
      <c r="CX257" s="17"/>
      <c r="CY257" s="17"/>
      <c r="CZ257" s="17"/>
      <c r="DA257" s="17"/>
      <c r="DB257" s="17"/>
    </row>
    <row r="258" spans="1:106" ht="15.75" thickBot="1" x14ac:dyDescent="0.3">
      <c r="A258" s="5">
        <f t="shared" si="299"/>
        <v>45</v>
      </c>
      <c r="B258" s="5">
        <f t="shared" si="299"/>
        <v>43</v>
      </c>
      <c r="C258" s="1"/>
      <c r="D258" s="4"/>
      <c r="E258" s="30"/>
      <c r="F258" s="30"/>
      <c r="G258" s="30">
        <f t="shared" si="303"/>
        <v>0</v>
      </c>
      <c r="H258" s="30"/>
      <c r="I258" s="10">
        <v>0</v>
      </c>
      <c r="J258" s="60">
        <v>9000</v>
      </c>
      <c r="K258" s="11">
        <v>550</v>
      </c>
      <c r="L258" s="60">
        <f t="shared" si="72"/>
        <v>11863.983586123371</v>
      </c>
      <c r="M258" s="11">
        <v>305</v>
      </c>
      <c r="N258" s="60">
        <v>0</v>
      </c>
      <c r="O258" s="11">
        <v>0</v>
      </c>
      <c r="P258" s="11">
        <v>0</v>
      </c>
      <c r="Q258" s="60">
        <f>(Q257*($K$1/12))+Q257 + $Q$8</f>
        <v>338967.31486694777</v>
      </c>
      <c r="R258" s="60">
        <f>(R257*($K$1/12))+R257</f>
        <v>14946.181895362175</v>
      </c>
      <c r="S258" s="60">
        <f>(S257*($K$1/12))+S257</f>
        <v>12976.284205017362</v>
      </c>
      <c r="T258" s="60">
        <f>(T257*($K$1/12))+T257+$T$8</f>
        <v>1280841.02646354</v>
      </c>
      <c r="U258" s="60">
        <f>(U257*$K$1/12) + U257</f>
        <v>157886.33898302779</v>
      </c>
      <c r="V258" s="60">
        <v>3100</v>
      </c>
      <c r="W258" s="60">
        <f>(W257*($K$1/12))+W257+$W$8</f>
        <v>109592.28093804522</v>
      </c>
      <c r="X258" s="11">
        <v>0</v>
      </c>
      <c r="Y258" s="60">
        <f>(Y257*($K$1/12))+Y257+$Y$8</f>
        <v>329536.36672796862</v>
      </c>
      <c r="Z258" s="60">
        <f>'Mortgage and Loans'!U220</f>
        <v>180000</v>
      </c>
      <c r="AA258" s="12">
        <f t="shared" si="293"/>
        <v>2449564.7776660323</v>
      </c>
      <c r="AB258" s="56">
        <f t="shared" si="333"/>
        <v>750</v>
      </c>
      <c r="AC258" s="56">
        <f t="shared" si="333"/>
        <v>750</v>
      </c>
      <c r="AD258" s="56">
        <f t="shared" si="333"/>
        <v>750</v>
      </c>
      <c r="AE258" s="56">
        <f t="shared" si="333"/>
        <v>750</v>
      </c>
      <c r="AF258" s="56">
        <f t="shared" si="300"/>
        <v>261.43961538461554</v>
      </c>
      <c r="AG258" s="56">
        <f t="shared" si="333"/>
        <v>750</v>
      </c>
      <c r="AH258" s="56">
        <f>'Mortgage and Loans'!AF215</f>
        <v>0</v>
      </c>
      <c r="AI258" s="56">
        <f>'Mortgage and Loans'!AQ215</f>
        <v>0</v>
      </c>
      <c r="AJ258" s="56">
        <f>'Mortgage and Loans'!BB215</f>
        <v>0</v>
      </c>
      <c r="AK258" s="56">
        <f>'Mortgage and Loans'!BM215</f>
        <v>0</v>
      </c>
      <c r="AL258" s="56">
        <f>'Mortgage and Loans'!T220</f>
        <v>0</v>
      </c>
      <c r="AM258" s="12">
        <f t="shared" si="12"/>
        <v>-4011.4396153846155</v>
      </c>
      <c r="AN258" s="75">
        <f t="shared" si="85"/>
        <v>2445553.3380506476</v>
      </c>
      <c r="AO258" s="86">
        <f>'Mortgage and Loans'!G221</f>
        <v>0</v>
      </c>
      <c r="AP258" s="79">
        <f>('Salary Tax Breakdown'!B$16/12)-Data!AO258</f>
        <v>3447.5</v>
      </c>
      <c r="AQ258" s="87"/>
      <c r="AR258" s="20">
        <f t="shared" si="304"/>
        <v>4011.4396153846155</v>
      </c>
      <c r="AS258" s="20">
        <v>750</v>
      </c>
      <c r="AT258" s="20">
        <v>0</v>
      </c>
      <c r="AU258" s="20">
        <f t="shared" si="305"/>
        <v>4761.4396153846155</v>
      </c>
      <c r="AV258" s="20">
        <f t="shared" si="306"/>
        <v>4761.4396153846155</v>
      </c>
      <c r="AW258" s="51">
        <f t="shared" si="294"/>
        <v>0</v>
      </c>
      <c r="AX258" s="51">
        <f t="shared" si="14"/>
        <v>0</v>
      </c>
      <c r="AY258" s="51">
        <f t="shared" si="15"/>
        <v>0</v>
      </c>
      <c r="AZ258" s="51">
        <f t="shared" si="16"/>
        <v>0</v>
      </c>
      <c r="BA258" s="51">
        <f t="shared" si="17"/>
        <v>0</v>
      </c>
      <c r="BB258" s="51">
        <f t="shared" si="18"/>
        <v>0</v>
      </c>
      <c r="BC258" s="51">
        <f t="shared" si="19"/>
        <v>0</v>
      </c>
      <c r="BD258" s="51">
        <f t="shared" si="20"/>
        <v>0</v>
      </c>
      <c r="BE258" s="51">
        <f t="shared" si="21"/>
        <v>0</v>
      </c>
      <c r="BF258" s="51">
        <f t="shared" si="22"/>
        <v>0</v>
      </c>
      <c r="BG258" s="51">
        <f t="shared" si="23"/>
        <v>0</v>
      </c>
      <c r="BH258" s="51">
        <f t="shared" si="24"/>
        <v>0</v>
      </c>
      <c r="BI258" s="51">
        <f t="shared" si="307"/>
        <v>0</v>
      </c>
      <c r="BJ258" s="51">
        <f t="shared" si="308"/>
        <v>0</v>
      </c>
      <c r="BK258" s="51">
        <f t="shared" si="309"/>
        <v>0</v>
      </c>
      <c r="BL258" s="51">
        <f t="shared" si="310"/>
        <v>0</v>
      </c>
      <c r="BM258" s="51">
        <f t="shared" si="311"/>
        <v>0</v>
      </c>
      <c r="BN258" s="51">
        <f t="shared" si="312"/>
        <v>0</v>
      </c>
      <c r="BO258" s="51">
        <f t="shared" si="313"/>
        <v>0</v>
      </c>
      <c r="BP258" s="51">
        <f t="shared" si="314"/>
        <v>0</v>
      </c>
      <c r="BQ258" s="51">
        <f t="shared" si="315"/>
        <v>0</v>
      </c>
      <c r="BR258" s="51">
        <f t="shared" si="316"/>
        <v>0</v>
      </c>
      <c r="BS258" s="51">
        <f t="shared" si="317"/>
        <v>0</v>
      </c>
      <c r="BT258" s="51">
        <f t="shared" si="318"/>
        <v>0</v>
      </c>
      <c r="BU258" s="20">
        <f t="shared" si="319"/>
        <v>4761.4396153846155</v>
      </c>
      <c r="BV258" s="20">
        <f t="shared" si="320"/>
        <v>4761.4396153846164</v>
      </c>
      <c r="BW258" s="20">
        <f t="shared" si="321"/>
        <v>57137.275384615386</v>
      </c>
      <c r="BX258" s="20">
        <f t="shared" si="322"/>
        <v>57137.275384615386</v>
      </c>
      <c r="BY258" s="20">
        <f t="shared" si="323"/>
        <v>57137.275384615394</v>
      </c>
      <c r="BZ258" s="21">
        <f t="shared" si="324"/>
        <v>57137.275384615386</v>
      </c>
      <c r="CA258" s="19">
        <f t="shared" si="297"/>
        <v>1428431.8846153847</v>
      </c>
      <c r="CB258" s="20">
        <f t="shared" si="325"/>
        <v>1428431.8846153847</v>
      </c>
      <c r="CC258" s="20">
        <f t="shared" si="326"/>
        <v>1428431.8846153843</v>
      </c>
      <c r="CD258" s="20">
        <f t="shared" si="298"/>
        <v>0</v>
      </c>
      <c r="CE258" s="20">
        <f t="shared" si="302"/>
        <v>1400000</v>
      </c>
      <c r="CF258" s="20">
        <f t="shared" si="295"/>
        <v>2244745.7940799091</v>
      </c>
      <c r="CG258" s="20">
        <f t="shared" si="327"/>
        <v>89789.831763196373</v>
      </c>
      <c r="CH258" s="20">
        <f t="shared" si="296"/>
        <v>7482.4859802663641</v>
      </c>
      <c r="CI258" s="20">
        <f t="shared" si="328"/>
        <v>2233013.5255226064</v>
      </c>
      <c r="CJ258" s="24">
        <f t="shared" si="329"/>
        <v>1.571475558797347</v>
      </c>
      <c r="CK258" s="24">
        <f t="shared" si="330"/>
        <v>5.2635089590230815E-3</v>
      </c>
      <c r="CL258" s="24">
        <f t="shared" si="331"/>
        <v>1.5871338527885876E-2</v>
      </c>
      <c r="CM258" s="25">
        <f t="shared" si="332"/>
        <v>6.4965741852454503E-2</v>
      </c>
      <c r="CN258" s="17"/>
      <c r="CO258" s="17"/>
      <c r="CP258" s="17"/>
      <c r="CQ258" s="17"/>
      <c r="CR258" s="17"/>
      <c r="CS258" s="17"/>
      <c r="CT258" s="17"/>
      <c r="CU258" s="17"/>
      <c r="CV258" s="17"/>
      <c r="CW258" s="30">
        <v>0</v>
      </c>
      <c r="CX258" s="17"/>
      <c r="CY258" s="17"/>
      <c r="CZ258" s="17"/>
      <c r="DA258" s="17"/>
      <c r="DB258" s="17"/>
    </row>
    <row r="259" spans="1:106" ht="15.75" thickBot="1" x14ac:dyDescent="0.3">
      <c r="A259" s="5">
        <f t="shared" si="299"/>
        <v>45</v>
      </c>
      <c r="B259" s="5">
        <f t="shared" si="299"/>
        <v>43</v>
      </c>
      <c r="C259" s="1"/>
      <c r="D259" s="4"/>
      <c r="E259" s="30"/>
      <c r="F259" s="30"/>
      <c r="G259" s="30">
        <f t="shared" si="303"/>
        <v>0</v>
      </c>
      <c r="H259" s="30"/>
      <c r="I259" s="10">
        <v>0</v>
      </c>
      <c r="J259" s="60">
        <v>9000</v>
      </c>
      <c r="K259" s="11">
        <v>550</v>
      </c>
      <c r="L259" s="60">
        <f t="shared" si="72"/>
        <v>11878.319232956603</v>
      </c>
      <c r="M259" s="11">
        <v>305</v>
      </c>
      <c r="N259" s="60">
        <v>0</v>
      </c>
      <c r="O259" s="11">
        <v>0</v>
      </c>
      <c r="P259" s="11">
        <v>0</v>
      </c>
      <c r="Q259" s="60">
        <f>(Q258*($K$1/12))+Q258 + $Q$8</f>
        <v>341261.38782247709</v>
      </c>
      <c r="R259" s="60">
        <f>(R258*($K$1/12))+R258</f>
        <v>15027.14038062872</v>
      </c>
      <c r="S259" s="60">
        <f>(S258*($K$1/12))+S258</f>
        <v>13046.572411127872</v>
      </c>
      <c r="T259" s="60">
        <f>(T258*($K$1/12))+T258+$T$8</f>
        <v>1289278.9153568842</v>
      </c>
      <c r="U259" s="60">
        <f>(U258*$K$1/12) + U258</f>
        <v>158741.55665251918</v>
      </c>
      <c r="V259" s="60">
        <v>3100</v>
      </c>
      <c r="W259" s="60">
        <f>(W258*($K$1/12))+W258+$W$8</f>
        <v>110185.90579312631</v>
      </c>
      <c r="X259" s="11">
        <v>0</v>
      </c>
      <c r="Y259" s="60">
        <f>(Y258*($K$1/12))+Y258+$Y$8</f>
        <v>329021.35538107844</v>
      </c>
      <c r="Z259" s="60">
        <f>'Mortgage and Loans'!U221</f>
        <v>180000</v>
      </c>
      <c r="AA259" s="12">
        <f t="shared" si="293"/>
        <v>2461396.1530307983</v>
      </c>
      <c r="AB259" s="56">
        <f t="shared" si="333"/>
        <v>750</v>
      </c>
      <c r="AC259" s="56">
        <f t="shared" si="333"/>
        <v>750</v>
      </c>
      <c r="AD259" s="56">
        <f t="shared" si="333"/>
        <v>750</v>
      </c>
      <c r="AE259" s="56">
        <f t="shared" si="333"/>
        <v>750</v>
      </c>
      <c r="AF259" s="56">
        <f t="shared" si="300"/>
        <v>261.43961538461554</v>
      </c>
      <c r="AG259" s="56">
        <f t="shared" si="333"/>
        <v>750</v>
      </c>
      <c r="AH259" s="56">
        <f>'Mortgage and Loans'!AF216</f>
        <v>0</v>
      </c>
      <c r="AI259" s="56">
        <f>'Mortgage and Loans'!AQ216</f>
        <v>0</v>
      </c>
      <c r="AJ259" s="56">
        <f>'Mortgage and Loans'!BB216</f>
        <v>0</v>
      </c>
      <c r="AK259" s="56">
        <f>'Mortgage and Loans'!BM216</f>
        <v>0</v>
      </c>
      <c r="AL259" s="56">
        <f>'Mortgage and Loans'!T221</f>
        <v>0</v>
      </c>
      <c r="AM259" s="12">
        <f t="shared" si="12"/>
        <v>-4011.4396153846155</v>
      </c>
      <c r="AN259" s="75">
        <f t="shared" si="85"/>
        <v>2457384.7134154136</v>
      </c>
      <c r="AO259" s="86">
        <f>'Mortgage and Loans'!G222</f>
        <v>0</v>
      </c>
      <c r="AP259" s="79">
        <f>('Salary Tax Breakdown'!B$16/12)-Data!AO259</f>
        <v>3447.5</v>
      </c>
      <c r="AQ259" s="87"/>
      <c r="AR259" s="20">
        <f t="shared" si="304"/>
        <v>4011.4396153846155</v>
      </c>
      <c r="AS259" s="20">
        <v>750</v>
      </c>
      <c r="AT259" s="20">
        <v>0</v>
      </c>
      <c r="AU259" s="20">
        <f t="shared" si="305"/>
        <v>4761.4396153846155</v>
      </c>
      <c r="AV259" s="20">
        <f t="shared" si="306"/>
        <v>4761.4396153846155</v>
      </c>
      <c r="AW259" s="51">
        <f t="shared" si="294"/>
        <v>0</v>
      </c>
      <c r="AX259" s="51">
        <f t="shared" si="14"/>
        <v>0</v>
      </c>
      <c r="AY259" s="51">
        <f t="shared" si="15"/>
        <v>0</v>
      </c>
      <c r="AZ259" s="51">
        <f t="shared" si="16"/>
        <v>0</v>
      </c>
      <c r="BA259" s="51">
        <f t="shared" si="17"/>
        <v>0</v>
      </c>
      <c r="BB259" s="51">
        <f t="shared" si="18"/>
        <v>0</v>
      </c>
      <c r="BC259" s="51">
        <f t="shared" si="19"/>
        <v>0</v>
      </c>
      <c r="BD259" s="51">
        <f t="shared" si="20"/>
        <v>0</v>
      </c>
      <c r="BE259" s="51">
        <f t="shared" si="21"/>
        <v>0</v>
      </c>
      <c r="BF259" s="51">
        <f t="shared" si="22"/>
        <v>0</v>
      </c>
      <c r="BG259" s="51">
        <f t="shared" si="23"/>
        <v>0</v>
      </c>
      <c r="BH259" s="51">
        <f t="shared" si="24"/>
        <v>0</v>
      </c>
      <c r="BI259" s="51">
        <f t="shared" si="307"/>
        <v>0</v>
      </c>
      <c r="BJ259" s="51">
        <f t="shared" si="308"/>
        <v>0</v>
      </c>
      <c r="BK259" s="51">
        <f t="shared" si="309"/>
        <v>0</v>
      </c>
      <c r="BL259" s="51">
        <f t="shared" si="310"/>
        <v>0</v>
      </c>
      <c r="BM259" s="51">
        <f t="shared" si="311"/>
        <v>0</v>
      </c>
      <c r="BN259" s="51">
        <f t="shared" si="312"/>
        <v>0</v>
      </c>
      <c r="BO259" s="51">
        <f t="shared" si="313"/>
        <v>0</v>
      </c>
      <c r="BP259" s="51">
        <f t="shared" si="314"/>
        <v>0</v>
      </c>
      <c r="BQ259" s="51">
        <f t="shared" si="315"/>
        <v>0</v>
      </c>
      <c r="BR259" s="51">
        <f t="shared" si="316"/>
        <v>0</v>
      </c>
      <c r="BS259" s="51">
        <f t="shared" si="317"/>
        <v>0</v>
      </c>
      <c r="BT259" s="51">
        <f t="shared" si="318"/>
        <v>0</v>
      </c>
      <c r="BU259" s="20">
        <f t="shared" si="319"/>
        <v>4761.4396153846155</v>
      </c>
      <c r="BV259" s="20">
        <f t="shared" si="320"/>
        <v>4761.4396153846164</v>
      </c>
      <c r="BW259" s="20">
        <f t="shared" si="321"/>
        <v>57137.275384615386</v>
      </c>
      <c r="BX259" s="20">
        <f t="shared" si="322"/>
        <v>57137.275384615386</v>
      </c>
      <c r="BY259" s="20">
        <f t="shared" si="323"/>
        <v>57137.275384615394</v>
      </c>
      <c r="BZ259" s="21">
        <f t="shared" si="324"/>
        <v>57137.275384615386</v>
      </c>
      <c r="CA259" s="19">
        <f t="shared" si="297"/>
        <v>1428431.8846153847</v>
      </c>
      <c r="CB259" s="20">
        <f t="shared" si="325"/>
        <v>1428431.8846153847</v>
      </c>
      <c r="CC259" s="20">
        <f t="shared" si="326"/>
        <v>1428431.8846153843</v>
      </c>
      <c r="CD259" s="20">
        <f t="shared" si="298"/>
        <v>0</v>
      </c>
      <c r="CE259" s="20">
        <f t="shared" si="302"/>
        <v>1400000</v>
      </c>
      <c r="CF259" s="20">
        <f t="shared" si="295"/>
        <v>2256562.8337978418</v>
      </c>
      <c r="CG259" s="20">
        <f t="shared" si="327"/>
        <v>90262.513351913673</v>
      </c>
      <c r="CH259" s="20">
        <f t="shared" si="296"/>
        <v>7521.8761126594727</v>
      </c>
      <c r="CI259" s="20">
        <f t="shared" si="328"/>
        <v>2244767.0154525205</v>
      </c>
      <c r="CJ259" s="24">
        <f t="shared" si="329"/>
        <v>1.5797482946871051</v>
      </c>
      <c r="CK259" s="24">
        <f t="shared" si="330"/>
        <v>5.2643108850444877E-3</v>
      </c>
      <c r="CL259" s="24">
        <f t="shared" si="331"/>
        <v>1.5873782138384043E-2</v>
      </c>
      <c r="CM259" s="25">
        <f t="shared" si="332"/>
        <v>6.4976227686759952E-2</v>
      </c>
      <c r="CN259" s="17"/>
      <c r="CO259" s="17"/>
      <c r="CP259" s="17"/>
      <c r="CQ259" s="17"/>
      <c r="CR259" s="17"/>
      <c r="CS259" s="17"/>
      <c r="CT259" s="17"/>
      <c r="CU259" s="17"/>
      <c r="CV259" s="17"/>
      <c r="CW259" s="30">
        <v>0</v>
      </c>
      <c r="CX259" s="17"/>
      <c r="CY259" s="17"/>
      <c r="CZ259" s="17"/>
      <c r="DA259" s="17"/>
      <c r="DB259" s="17"/>
    </row>
    <row r="260" spans="1:106" ht="15.75" thickBot="1" x14ac:dyDescent="0.3">
      <c r="A260" s="5">
        <f t="shared" si="299"/>
        <v>45</v>
      </c>
      <c r="B260" s="5">
        <f t="shared" si="299"/>
        <v>43</v>
      </c>
      <c r="C260" s="1"/>
      <c r="D260" s="4"/>
      <c r="E260" s="30"/>
      <c r="F260" s="30"/>
      <c r="G260" s="30">
        <f t="shared" si="303"/>
        <v>0</v>
      </c>
      <c r="H260" s="30"/>
      <c r="I260" s="10">
        <v>0</v>
      </c>
      <c r="J260" s="60">
        <v>9000</v>
      </c>
      <c r="K260" s="11">
        <v>550</v>
      </c>
      <c r="L260" s="60">
        <f t="shared" si="72"/>
        <v>11892.672202029758</v>
      </c>
      <c r="M260" s="11">
        <v>305</v>
      </c>
      <c r="N260" s="60">
        <v>0</v>
      </c>
      <c r="O260" s="11">
        <v>0</v>
      </c>
      <c r="P260" s="11">
        <v>0</v>
      </c>
      <c r="Q260" s="60">
        <f>(Q259*($K$1/12))+Q259 + $Q$8</f>
        <v>343567.88700651552</v>
      </c>
      <c r="R260" s="60">
        <f>(R259*($K$1/12))+R259</f>
        <v>15108.537391023792</v>
      </c>
      <c r="S260" s="60">
        <f>(S259*($K$1/12))+S259</f>
        <v>13117.241345021481</v>
      </c>
      <c r="T260" s="60">
        <f>(T259*($K$1/12))+T259+$T$8</f>
        <v>1297762.5094817341</v>
      </c>
      <c r="U260" s="60">
        <f>(U259*$K$1/12) + U259</f>
        <v>159601.40675105367</v>
      </c>
      <c r="V260" s="60">
        <v>3100</v>
      </c>
      <c r="W260" s="60">
        <f>(W259*($K$1/12))+W259+$W$8</f>
        <v>110782.74611617241</v>
      </c>
      <c r="X260" s="11">
        <v>0</v>
      </c>
      <c r="Y260" s="60">
        <f>(Y259*($K$1/12))+Y259+$Y$8</f>
        <v>328503.55438939261</v>
      </c>
      <c r="Z260" s="60">
        <f>'Mortgage and Loans'!U222</f>
        <v>180000</v>
      </c>
      <c r="AA260" s="12">
        <f t="shared" si="293"/>
        <v>2473291.554682943</v>
      </c>
      <c r="AB260" s="56">
        <f t="shared" si="333"/>
        <v>750</v>
      </c>
      <c r="AC260" s="56">
        <f t="shared" si="333"/>
        <v>750</v>
      </c>
      <c r="AD260" s="56">
        <f t="shared" si="333"/>
        <v>750</v>
      </c>
      <c r="AE260" s="56">
        <f t="shared" si="333"/>
        <v>750</v>
      </c>
      <c r="AF260" s="56">
        <f t="shared" si="300"/>
        <v>261.43961538461554</v>
      </c>
      <c r="AG260" s="56">
        <f t="shared" si="333"/>
        <v>750</v>
      </c>
      <c r="AH260" s="56">
        <f>'Mortgage and Loans'!AF217</f>
        <v>0</v>
      </c>
      <c r="AI260" s="56">
        <f>'Mortgage and Loans'!AQ217</f>
        <v>0</v>
      </c>
      <c r="AJ260" s="56">
        <f>'Mortgage and Loans'!BB217</f>
        <v>0</v>
      </c>
      <c r="AK260" s="56">
        <f>'Mortgage and Loans'!BM217</f>
        <v>0</v>
      </c>
      <c r="AL260" s="56">
        <f>'Mortgage and Loans'!T222</f>
        <v>0</v>
      </c>
      <c r="AM260" s="12">
        <f t="shared" si="12"/>
        <v>-4011.4396153846155</v>
      </c>
      <c r="AN260" s="75">
        <f t="shared" si="85"/>
        <v>2469280.1150675584</v>
      </c>
      <c r="AO260" s="86">
        <f>'Mortgage and Loans'!G223</f>
        <v>0</v>
      </c>
      <c r="AP260" s="79">
        <f>('Salary Tax Breakdown'!B$16/12)-Data!AO260</f>
        <v>3447.5</v>
      </c>
      <c r="AQ260" s="87"/>
      <c r="AR260" s="20">
        <f t="shared" si="304"/>
        <v>4011.4396153846155</v>
      </c>
      <c r="AS260" s="20">
        <v>750</v>
      </c>
      <c r="AT260" s="20">
        <v>0</v>
      </c>
      <c r="AU260" s="20">
        <f t="shared" si="305"/>
        <v>4761.4396153846155</v>
      </c>
      <c r="AV260" s="20">
        <f t="shared" si="306"/>
        <v>4761.4396153846155</v>
      </c>
      <c r="AW260" s="51">
        <f t="shared" si="294"/>
        <v>0</v>
      </c>
      <c r="AX260" s="51">
        <f t="shared" si="14"/>
        <v>0</v>
      </c>
      <c r="AY260" s="51">
        <f t="shared" si="15"/>
        <v>0</v>
      </c>
      <c r="AZ260" s="51">
        <f t="shared" si="16"/>
        <v>0</v>
      </c>
      <c r="BA260" s="51">
        <f t="shared" si="17"/>
        <v>0</v>
      </c>
      <c r="BB260" s="51">
        <f t="shared" si="18"/>
        <v>0</v>
      </c>
      <c r="BC260" s="51">
        <f t="shared" si="19"/>
        <v>0</v>
      </c>
      <c r="BD260" s="51">
        <f t="shared" si="20"/>
        <v>0</v>
      </c>
      <c r="BE260" s="51">
        <f t="shared" si="21"/>
        <v>0</v>
      </c>
      <c r="BF260" s="51">
        <f t="shared" si="22"/>
        <v>0</v>
      </c>
      <c r="BG260" s="51">
        <f t="shared" si="23"/>
        <v>0</v>
      </c>
      <c r="BH260" s="51">
        <f t="shared" si="24"/>
        <v>0</v>
      </c>
      <c r="BI260" s="51">
        <f t="shared" si="307"/>
        <v>0</v>
      </c>
      <c r="BJ260" s="51">
        <f t="shared" si="308"/>
        <v>0</v>
      </c>
      <c r="BK260" s="51">
        <f t="shared" si="309"/>
        <v>0</v>
      </c>
      <c r="BL260" s="51">
        <f t="shared" si="310"/>
        <v>0</v>
      </c>
      <c r="BM260" s="51">
        <f t="shared" si="311"/>
        <v>0</v>
      </c>
      <c r="BN260" s="51">
        <f t="shared" si="312"/>
        <v>0</v>
      </c>
      <c r="BO260" s="51">
        <f t="shared" si="313"/>
        <v>0</v>
      </c>
      <c r="BP260" s="51">
        <f t="shared" si="314"/>
        <v>0</v>
      </c>
      <c r="BQ260" s="51">
        <f t="shared" si="315"/>
        <v>0</v>
      </c>
      <c r="BR260" s="51">
        <f t="shared" si="316"/>
        <v>0</v>
      </c>
      <c r="BS260" s="51">
        <f t="shared" si="317"/>
        <v>0</v>
      </c>
      <c r="BT260" s="51">
        <f t="shared" si="318"/>
        <v>0</v>
      </c>
      <c r="BU260" s="20">
        <f t="shared" si="319"/>
        <v>4761.4396153846155</v>
      </c>
      <c r="BV260" s="20">
        <f t="shared" si="320"/>
        <v>4761.4396153846164</v>
      </c>
      <c r="BW260" s="20">
        <f t="shared" si="321"/>
        <v>57137.275384615386</v>
      </c>
      <c r="BX260" s="20">
        <f t="shared" si="322"/>
        <v>57137.275384615386</v>
      </c>
      <c r="BY260" s="20">
        <f t="shared" si="323"/>
        <v>57137.275384615394</v>
      </c>
      <c r="BZ260" s="21">
        <f t="shared" si="324"/>
        <v>57137.275384615386</v>
      </c>
      <c r="CA260" s="19">
        <f t="shared" si="297"/>
        <v>1428431.8846153847</v>
      </c>
      <c r="CB260" s="20">
        <f t="shared" si="325"/>
        <v>1428431.8846153847</v>
      </c>
      <c r="CC260" s="20">
        <f t="shared" si="326"/>
        <v>1428431.8846153843</v>
      </c>
      <c r="CD260" s="20">
        <f t="shared" si="298"/>
        <v>0</v>
      </c>
      <c r="CE260" s="20">
        <f t="shared" si="302"/>
        <v>1400000</v>
      </c>
      <c r="CF260" s="20">
        <f t="shared" si="295"/>
        <v>2268443.8824809138</v>
      </c>
      <c r="CG260" s="20">
        <f t="shared" si="327"/>
        <v>90737.755299236553</v>
      </c>
      <c r="CH260" s="20">
        <f t="shared" si="296"/>
        <v>7561.479608269713</v>
      </c>
      <c r="CI260" s="20">
        <f t="shared" si="328"/>
        <v>2256584.1701195552</v>
      </c>
      <c r="CJ260" s="24">
        <f t="shared" si="329"/>
        <v>1.5880658412295998</v>
      </c>
      <c r="CK260" s="24">
        <f t="shared" si="330"/>
        <v>5.2651087331239627E-3</v>
      </c>
      <c r="CL260" s="24">
        <f t="shared" si="331"/>
        <v>1.5876213330468281E-2</v>
      </c>
      <c r="CM260" s="25">
        <f t="shared" si="332"/>
        <v>6.4986660386974704E-2</v>
      </c>
      <c r="CN260" s="17"/>
      <c r="CO260" s="17"/>
      <c r="CP260" s="17"/>
      <c r="CQ260" s="17"/>
      <c r="CR260" s="17"/>
      <c r="CS260" s="17"/>
      <c r="CT260" s="17"/>
      <c r="CU260" s="17"/>
      <c r="CV260" s="17"/>
      <c r="CW260" s="30">
        <v>0</v>
      </c>
      <c r="CX260" s="17"/>
      <c r="CY260" s="17"/>
      <c r="CZ260" s="17"/>
      <c r="DA260" s="17"/>
      <c r="DB260" s="17"/>
    </row>
    <row r="261" spans="1:106" ht="15.75" thickBot="1" x14ac:dyDescent="0.3">
      <c r="A261" s="5">
        <f t="shared" si="299"/>
        <v>45</v>
      </c>
      <c r="B261" s="5">
        <f t="shared" si="299"/>
        <v>43</v>
      </c>
      <c r="C261" s="1"/>
      <c r="D261" s="4"/>
      <c r="E261" s="30"/>
      <c r="F261" s="30"/>
      <c r="G261" s="30">
        <f t="shared" si="303"/>
        <v>0</v>
      </c>
      <c r="H261" s="30"/>
      <c r="I261" s="10">
        <v>0</v>
      </c>
      <c r="J261" s="60">
        <v>9000</v>
      </c>
      <c r="K261" s="11">
        <v>550</v>
      </c>
      <c r="L261" s="60">
        <f t="shared" si="72"/>
        <v>11907.042514273877</v>
      </c>
      <c r="M261" s="11">
        <v>305</v>
      </c>
      <c r="N261" s="60">
        <v>0</v>
      </c>
      <c r="O261" s="11">
        <v>0</v>
      </c>
      <c r="P261" s="11">
        <v>0</v>
      </c>
      <c r="Q261" s="60">
        <f>(Q260*($K$1/12))+Q260 + $Q$8</f>
        <v>345886.87972780078</v>
      </c>
      <c r="R261" s="60">
        <f>(R260*($K$1/12))+R260</f>
        <v>15190.375301891838</v>
      </c>
      <c r="S261" s="60">
        <f>(S260*($K$1/12))+S260</f>
        <v>13188.29306897368</v>
      </c>
      <c r="T261" s="60">
        <f>(T260*($K$1/12))+T260+$T$8</f>
        <v>1306292.0564080935</v>
      </c>
      <c r="U261" s="60">
        <f>(U260*$K$1/12) + U260</f>
        <v>160465.9143709552</v>
      </c>
      <c r="V261" s="60">
        <v>3100</v>
      </c>
      <c r="W261" s="60">
        <f>(W260*($K$1/12))+W260+$W$8</f>
        <v>111382.81932430167</v>
      </c>
      <c r="X261" s="11">
        <v>0</v>
      </c>
      <c r="Y261" s="60">
        <f>(Y260*($K$1/12))+Y260+$Y$8</f>
        <v>327982.94864233513</v>
      </c>
      <c r="Z261" s="60">
        <f>'Mortgage and Loans'!U223</f>
        <v>180000</v>
      </c>
      <c r="AA261" s="12">
        <f t="shared" si="293"/>
        <v>2485251.3293586262</v>
      </c>
      <c r="AB261" s="56">
        <f t="shared" si="333"/>
        <v>750</v>
      </c>
      <c r="AC261" s="56">
        <f t="shared" si="333"/>
        <v>750</v>
      </c>
      <c r="AD261" s="56">
        <f t="shared" si="333"/>
        <v>750</v>
      </c>
      <c r="AE261" s="56">
        <f t="shared" si="333"/>
        <v>750</v>
      </c>
      <c r="AF261" s="56">
        <f t="shared" si="300"/>
        <v>261.43961538461554</v>
      </c>
      <c r="AG261" s="56">
        <f t="shared" si="333"/>
        <v>750</v>
      </c>
      <c r="AH261" s="56">
        <f>'Mortgage and Loans'!AF218</f>
        <v>0</v>
      </c>
      <c r="AI261" s="56">
        <f>'Mortgage and Loans'!AQ218</f>
        <v>0</v>
      </c>
      <c r="AJ261" s="56">
        <f>'Mortgage and Loans'!BB218</f>
        <v>0</v>
      </c>
      <c r="AK261" s="56">
        <f>'Mortgage and Loans'!BM218</f>
        <v>0</v>
      </c>
      <c r="AL261" s="56">
        <f>'Mortgage and Loans'!T223</f>
        <v>0</v>
      </c>
      <c r="AM261" s="12">
        <f t="shared" si="12"/>
        <v>-4011.4396153846155</v>
      </c>
      <c r="AN261" s="75">
        <f t="shared" si="85"/>
        <v>2481239.8897432415</v>
      </c>
      <c r="AO261" s="86">
        <f>'Mortgage and Loans'!G224</f>
        <v>0</v>
      </c>
      <c r="AP261" s="79">
        <f>('Salary Tax Breakdown'!B$16/12)-Data!AO261</f>
        <v>3447.5</v>
      </c>
      <c r="AQ261" s="87"/>
      <c r="AR261" s="20">
        <f t="shared" si="304"/>
        <v>4011.4396153846155</v>
      </c>
      <c r="AS261" s="20">
        <v>750</v>
      </c>
      <c r="AT261" s="20">
        <v>0</v>
      </c>
      <c r="AU261" s="20">
        <f t="shared" si="305"/>
        <v>4761.4396153846155</v>
      </c>
      <c r="AV261" s="20">
        <f t="shared" si="306"/>
        <v>4761.4396153846155</v>
      </c>
      <c r="AW261" s="51">
        <f t="shared" si="294"/>
        <v>0</v>
      </c>
      <c r="AX261" s="51">
        <f t="shared" si="14"/>
        <v>0</v>
      </c>
      <c r="AY261" s="51">
        <f t="shared" si="15"/>
        <v>0</v>
      </c>
      <c r="AZ261" s="51">
        <f t="shared" si="16"/>
        <v>0</v>
      </c>
      <c r="BA261" s="51">
        <f t="shared" si="17"/>
        <v>0</v>
      </c>
      <c r="BB261" s="51">
        <f t="shared" si="18"/>
        <v>0</v>
      </c>
      <c r="BC261" s="51">
        <f t="shared" si="19"/>
        <v>0</v>
      </c>
      <c r="BD261" s="51">
        <f t="shared" si="20"/>
        <v>0</v>
      </c>
      <c r="BE261" s="51">
        <f t="shared" si="21"/>
        <v>0</v>
      </c>
      <c r="BF261" s="51">
        <f t="shared" si="22"/>
        <v>0</v>
      </c>
      <c r="BG261" s="51">
        <f t="shared" si="23"/>
        <v>0</v>
      </c>
      <c r="BH261" s="51">
        <f t="shared" si="24"/>
        <v>0</v>
      </c>
      <c r="BI261" s="51">
        <f t="shared" si="307"/>
        <v>0</v>
      </c>
      <c r="BJ261" s="51">
        <f t="shared" si="308"/>
        <v>0</v>
      </c>
      <c r="BK261" s="51">
        <f t="shared" si="309"/>
        <v>0</v>
      </c>
      <c r="BL261" s="51">
        <f t="shared" si="310"/>
        <v>0</v>
      </c>
      <c r="BM261" s="51">
        <f t="shared" si="311"/>
        <v>0</v>
      </c>
      <c r="BN261" s="51">
        <f t="shared" si="312"/>
        <v>0</v>
      </c>
      <c r="BO261" s="51">
        <f t="shared" si="313"/>
        <v>0</v>
      </c>
      <c r="BP261" s="51">
        <f t="shared" si="314"/>
        <v>0</v>
      </c>
      <c r="BQ261" s="51">
        <f t="shared" si="315"/>
        <v>0</v>
      </c>
      <c r="BR261" s="51">
        <f t="shared" si="316"/>
        <v>0</v>
      </c>
      <c r="BS261" s="51">
        <f t="shared" si="317"/>
        <v>0</v>
      </c>
      <c r="BT261" s="51">
        <f t="shared" si="318"/>
        <v>0</v>
      </c>
      <c r="BU261" s="20">
        <f t="shared" si="319"/>
        <v>4761.4396153846155</v>
      </c>
      <c r="BV261" s="20">
        <f t="shared" si="320"/>
        <v>4761.4396153846164</v>
      </c>
      <c r="BW261" s="20">
        <f t="shared" si="321"/>
        <v>57137.275384615386</v>
      </c>
      <c r="BX261" s="20">
        <f t="shared" si="322"/>
        <v>57137.275384615386</v>
      </c>
      <c r="BY261" s="20">
        <f t="shared" si="323"/>
        <v>57137.275384615394</v>
      </c>
      <c r="BZ261" s="21">
        <f t="shared" si="324"/>
        <v>57137.275384615386</v>
      </c>
      <c r="CA261" s="19">
        <f t="shared" si="297"/>
        <v>1428431.8846153847</v>
      </c>
      <c r="CB261" s="20">
        <f t="shared" si="325"/>
        <v>1428431.8846153847</v>
      </c>
      <c r="CC261" s="20">
        <f t="shared" si="326"/>
        <v>1428431.8846153843</v>
      </c>
      <c r="CD261" s="20">
        <f t="shared" si="298"/>
        <v>0</v>
      </c>
      <c r="CE261" s="20">
        <f t="shared" si="302"/>
        <v>1400000</v>
      </c>
      <c r="CF261" s="20">
        <f t="shared" si="295"/>
        <v>2280389.2868443513</v>
      </c>
      <c r="CG261" s="20">
        <f t="shared" si="327"/>
        <v>91215.571473774049</v>
      </c>
      <c r="CH261" s="20">
        <f t="shared" si="296"/>
        <v>7601.2976228145044</v>
      </c>
      <c r="CI261" s="20">
        <f t="shared" si="328"/>
        <v>2268465.3343743691</v>
      </c>
      <c r="CJ261" s="24">
        <f t="shared" si="329"/>
        <v>1.5964284411491991</v>
      </c>
      <c r="CK261" s="24">
        <f t="shared" si="330"/>
        <v>5.2659025227343535E-3</v>
      </c>
      <c r="CL261" s="24">
        <f t="shared" si="331"/>
        <v>1.5878632163359066E-2</v>
      </c>
      <c r="CM261" s="25">
        <f t="shared" si="332"/>
        <v>6.4997040204870599E-2</v>
      </c>
      <c r="CN261" s="17"/>
      <c r="CO261" s="17"/>
      <c r="CP261" s="17"/>
      <c r="CQ261" s="17"/>
      <c r="CR261" s="17"/>
      <c r="CS261" s="17"/>
      <c r="CT261" s="17"/>
      <c r="CU261" s="17"/>
      <c r="CV261" s="17"/>
      <c r="CW261" s="30">
        <v>0</v>
      </c>
      <c r="CX261" s="17"/>
      <c r="CY261" s="17"/>
      <c r="CZ261" s="17"/>
      <c r="DA261" s="17"/>
      <c r="DB261" s="17"/>
    </row>
    <row r="262" spans="1:106" ht="15.75" thickBot="1" x14ac:dyDescent="0.3">
      <c r="A262" s="5">
        <f t="shared" si="299"/>
        <v>45</v>
      </c>
      <c r="B262" s="5">
        <f t="shared" si="299"/>
        <v>43</v>
      </c>
      <c r="C262" s="1"/>
      <c r="D262" s="4"/>
      <c r="E262" s="30"/>
      <c r="F262" s="30"/>
      <c r="G262" s="30">
        <f t="shared" si="303"/>
        <v>0</v>
      </c>
      <c r="H262" s="30"/>
      <c r="I262" s="10">
        <v>0</v>
      </c>
      <c r="J262" s="60">
        <v>9000</v>
      </c>
      <c r="K262" s="11">
        <v>550</v>
      </c>
      <c r="L262" s="60">
        <f t="shared" si="72"/>
        <v>11921.430190645289</v>
      </c>
      <c r="M262" s="11">
        <v>305</v>
      </c>
      <c r="N262" s="60">
        <v>0</v>
      </c>
      <c r="O262" s="11">
        <v>0</v>
      </c>
      <c r="P262" s="11">
        <v>0</v>
      </c>
      <c r="Q262" s="60">
        <f>(Q261*($K$1/12))+Q261 + $Q$8</f>
        <v>348218.4336596597</v>
      </c>
      <c r="R262" s="60">
        <f>(R261*($K$1/12))+R261</f>
        <v>15272.656501443751</v>
      </c>
      <c r="S262" s="60">
        <f>(S261*($K$1/12))+S261</f>
        <v>13259.729656430622</v>
      </c>
      <c r="T262" s="60">
        <f>(T261*($K$1/12))+T261+$T$8</f>
        <v>1314867.8050469707</v>
      </c>
      <c r="U262" s="60">
        <f>(U261*$K$1/12) + U261</f>
        <v>161335.10474046454</v>
      </c>
      <c r="V262" s="60">
        <v>3100</v>
      </c>
      <c r="W262" s="60">
        <f>(W261*($K$1/12))+W261+$W$8</f>
        <v>111986.14292897498</v>
      </c>
      <c r="X262" s="11">
        <v>0</v>
      </c>
      <c r="Y262" s="60">
        <f>(Y261*($K$1/12))+Y261+$Y$8</f>
        <v>327459.52294748113</v>
      </c>
      <c r="Z262" s="60">
        <f>'Mortgage and Loans'!U224</f>
        <v>180000</v>
      </c>
      <c r="AA262" s="12">
        <f t="shared" si="293"/>
        <v>2497275.8256720705</v>
      </c>
      <c r="AB262" s="56">
        <f t="shared" si="333"/>
        <v>750</v>
      </c>
      <c r="AC262" s="56">
        <f t="shared" si="333"/>
        <v>750</v>
      </c>
      <c r="AD262" s="56">
        <f t="shared" si="333"/>
        <v>750</v>
      </c>
      <c r="AE262" s="56">
        <f t="shared" si="333"/>
        <v>750</v>
      </c>
      <c r="AF262" s="56">
        <f t="shared" si="300"/>
        <v>261.43961538461554</v>
      </c>
      <c r="AG262" s="56">
        <f t="shared" si="333"/>
        <v>750</v>
      </c>
      <c r="AH262" s="56">
        <f>'Mortgage and Loans'!AF219</f>
        <v>0</v>
      </c>
      <c r="AI262" s="56">
        <f>'Mortgage and Loans'!AQ219</f>
        <v>0</v>
      </c>
      <c r="AJ262" s="56">
        <f>'Mortgage and Loans'!BB219</f>
        <v>0</v>
      </c>
      <c r="AK262" s="56">
        <f>'Mortgage and Loans'!BM219</f>
        <v>0</v>
      </c>
      <c r="AL262" s="56">
        <f>'Mortgage and Loans'!T224</f>
        <v>0</v>
      </c>
      <c r="AM262" s="12">
        <f t="shared" si="12"/>
        <v>-4011.4396153846155</v>
      </c>
      <c r="AN262" s="75">
        <f t="shared" si="85"/>
        <v>2493264.3860566858</v>
      </c>
      <c r="AO262" s="86">
        <f>'Mortgage and Loans'!G225</f>
        <v>0</v>
      </c>
      <c r="AP262" s="79">
        <f>('Salary Tax Breakdown'!B$16/12)-Data!AO262</f>
        <v>3447.5</v>
      </c>
      <c r="AQ262" s="87"/>
      <c r="AR262" s="20">
        <f t="shared" si="304"/>
        <v>4011.4396153846155</v>
      </c>
      <c r="AS262" s="20">
        <v>750</v>
      </c>
      <c r="AT262" s="20">
        <v>0</v>
      </c>
      <c r="AU262" s="20">
        <f t="shared" si="305"/>
        <v>4761.4396153846155</v>
      </c>
      <c r="AV262" s="20">
        <f t="shared" si="306"/>
        <v>4761.4396153846155</v>
      </c>
      <c r="AW262" s="51">
        <f t="shared" si="294"/>
        <v>0</v>
      </c>
      <c r="AX262" s="51">
        <f t="shared" si="14"/>
        <v>0</v>
      </c>
      <c r="AY262" s="51">
        <f t="shared" si="15"/>
        <v>0</v>
      </c>
      <c r="AZ262" s="51">
        <f t="shared" si="16"/>
        <v>0</v>
      </c>
      <c r="BA262" s="51">
        <f t="shared" si="17"/>
        <v>0</v>
      </c>
      <c r="BB262" s="51">
        <f t="shared" si="18"/>
        <v>0</v>
      </c>
      <c r="BC262" s="51">
        <f t="shared" si="19"/>
        <v>0</v>
      </c>
      <c r="BD262" s="51">
        <f t="shared" si="20"/>
        <v>0</v>
      </c>
      <c r="BE262" s="51">
        <f t="shared" si="21"/>
        <v>0</v>
      </c>
      <c r="BF262" s="51">
        <f t="shared" si="22"/>
        <v>0</v>
      </c>
      <c r="BG262" s="51">
        <f t="shared" si="23"/>
        <v>0</v>
      </c>
      <c r="BH262" s="51">
        <f t="shared" si="24"/>
        <v>0</v>
      </c>
      <c r="BI262" s="51">
        <f t="shared" si="307"/>
        <v>0</v>
      </c>
      <c r="BJ262" s="51">
        <f t="shared" si="308"/>
        <v>0</v>
      </c>
      <c r="BK262" s="51">
        <f t="shared" si="309"/>
        <v>0</v>
      </c>
      <c r="BL262" s="51">
        <f t="shared" si="310"/>
        <v>0</v>
      </c>
      <c r="BM262" s="51">
        <f t="shared" si="311"/>
        <v>0</v>
      </c>
      <c r="BN262" s="51">
        <f t="shared" si="312"/>
        <v>0</v>
      </c>
      <c r="BO262" s="51">
        <f t="shared" si="313"/>
        <v>0</v>
      </c>
      <c r="BP262" s="51">
        <f t="shared" si="314"/>
        <v>0</v>
      </c>
      <c r="BQ262" s="51">
        <f t="shared" si="315"/>
        <v>0</v>
      </c>
      <c r="BR262" s="51">
        <f t="shared" si="316"/>
        <v>0</v>
      </c>
      <c r="BS262" s="51">
        <f t="shared" si="317"/>
        <v>0</v>
      </c>
      <c r="BT262" s="51">
        <f t="shared" si="318"/>
        <v>0</v>
      </c>
      <c r="BU262" s="20">
        <f t="shared" si="319"/>
        <v>4761.4396153846155</v>
      </c>
      <c r="BV262" s="20">
        <f t="shared" si="320"/>
        <v>4761.4396153846164</v>
      </c>
      <c r="BW262" s="20">
        <f t="shared" si="321"/>
        <v>57137.275384615386</v>
      </c>
      <c r="BX262" s="20">
        <f t="shared" si="322"/>
        <v>57137.275384615386</v>
      </c>
      <c r="BY262" s="20">
        <f t="shared" si="323"/>
        <v>57137.275384615394</v>
      </c>
      <c r="BZ262" s="21">
        <f t="shared" si="324"/>
        <v>57137.275384615386</v>
      </c>
      <c r="CA262" s="19">
        <f t="shared" si="297"/>
        <v>1428431.8846153847</v>
      </c>
      <c r="CB262" s="20">
        <f t="shared" si="325"/>
        <v>1428431.8846153847</v>
      </c>
      <c r="CC262" s="20">
        <f t="shared" si="326"/>
        <v>1428431.8846153843</v>
      </c>
      <c r="CD262" s="20">
        <f t="shared" si="298"/>
        <v>0</v>
      </c>
      <c r="CE262" s="20">
        <f t="shared" si="302"/>
        <v>1400000</v>
      </c>
      <c r="CF262" s="20">
        <f t="shared" si="295"/>
        <v>2292399.3954814253</v>
      </c>
      <c r="CG262" s="20">
        <f t="shared" si="327"/>
        <v>91695.975819257015</v>
      </c>
      <c r="CH262" s="20">
        <f t="shared" si="296"/>
        <v>7641.3313182714182</v>
      </c>
      <c r="CI262" s="20">
        <f t="shared" si="328"/>
        <v>2280410.8549355636</v>
      </c>
      <c r="CJ262" s="24">
        <f t="shared" si="329"/>
        <v>1.6048363384850304</v>
      </c>
      <c r="CK262" s="24">
        <f t="shared" si="330"/>
        <v>5.2666922732713933E-3</v>
      </c>
      <c r="CL262" s="24">
        <f t="shared" si="331"/>
        <v>1.5881038696037488E-2</v>
      </c>
      <c r="CM262" s="25">
        <f t="shared" si="332"/>
        <v>6.5007367391210907E-2</v>
      </c>
      <c r="CN262" s="17"/>
      <c r="CO262" s="17"/>
      <c r="CP262" s="17"/>
      <c r="CQ262" s="17"/>
      <c r="CR262" s="17"/>
      <c r="CS262" s="17"/>
      <c r="CT262" s="17"/>
      <c r="CU262" s="17"/>
      <c r="CV262" s="17"/>
      <c r="CW262" s="30">
        <v>0</v>
      </c>
      <c r="CX262" s="17"/>
      <c r="CY262" s="17"/>
      <c r="CZ262" s="17"/>
      <c r="DA262" s="17"/>
      <c r="DB262" s="17"/>
    </row>
    <row r="263" spans="1:106" ht="15.75" thickBot="1" x14ac:dyDescent="0.3">
      <c r="A263" s="5">
        <f t="shared" si="299"/>
        <v>45</v>
      </c>
      <c r="B263" s="5">
        <f t="shared" si="299"/>
        <v>43</v>
      </c>
      <c r="C263" s="1"/>
      <c r="D263" s="4"/>
      <c r="E263" s="30"/>
      <c r="F263" s="30"/>
      <c r="G263" s="30">
        <f t="shared" si="303"/>
        <v>0</v>
      </c>
      <c r="H263" s="30"/>
      <c r="I263" s="10">
        <v>0</v>
      </c>
      <c r="J263" s="60">
        <v>9000</v>
      </c>
      <c r="K263" s="11">
        <v>550</v>
      </c>
      <c r="L263" s="60">
        <f t="shared" si="72"/>
        <v>11935.835252125651</v>
      </c>
      <c r="M263" s="11">
        <v>305</v>
      </c>
      <c r="N263" s="60">
        <v>0</v>
      </c>
      <c r="O263" s="11">
        <v>0</v>
      </c>
      <c r="P263" s="11">
        <v>0</v>
      </c>
      <c r="Q263" s="60">
        <f>(Q262*($K$1/12))+Q262 + $Q$8</f>
        <v>350562.61684198288</v>
      </c>
      <c r="R263" s="60">
        <f>(R262*($K$1/12))+R262</f>
        <v>15355.383390826571</v>
      </c>
      <c r="S263" s="60">
        <f>(S262*($K$1/12))+S262</f>
        <v>13331.553192069621</v>
      </c>
      <c r="T263" s="60">
        <f>(T262*($K$1/12))+T262+$T$8</f>
        <v>1323490.0056576419</v>
      </c>
      <c r="U263" s="60">
        <f>(U262*$K$1/12) + U262</f>
        <v>162209.0032244754</v>
      </c>
      <c r="V263" s="60">
        <v>3100</v>
      </c>
      <c r="W263" s="60">
        <f>(W262*($K$1/12))+W262+$W$8</f>
        <v>112592.73453650693</v>
      </c>
      <c r="X263" s="11">
        <v>0</v>
      </c>
      <c r="Y263" s="60">
        <f>(Y262*($K$1/12))+Y262+$Y$8</f>
        <v>326933.26203011331</v>
      </c>
      <c r="Z263" s="60">
        <f>'Mortgage and Loans'!U225</f>
        <v>180000</v>
      </c>
      <c r="AA263" s="12">
        <f t="shared" si="293"/>
        <v>2509365.3941257424</v>
      </c>
      <c r="AB263" s="56">
        <f t="shared" si="333"/>
        <v>750</v>
      </c>
      <c r="AC263" s="56">
        <f t="shared" si="333"/>
        <v>750</v>
      </c>
      <c r="AD263" s="56">
        <f t="shared" si="333"/>
        <v>750</v>
      </c>
      <c r="AE263" s="56">
        <f t="shared" si="333"/>
        <v>750</v>
      </c>
      <c r="AF263" s="56">
        <f t="shared" si="300"/>
        <v>261.43961538461554</v>
      </c>
      <c r="AG263" s="56">
        <f t="shared" si="333"/>
        <v>750</v>
      </c>
      <c r="AH263" s="56">
        <f>'Mortgage and Loans'!AF220</f>
        <v>0</v>
      </c>
      <c r="AI263" s="56">
        <f>'Mortgage and Loans'!AQ220</f>
        <v>0</v>
      </c>
      <c r="AJ263" s="56">
        <f>'Mortgage and Loans'!BB220</f>
        <v>0</v>
      </c>
      <c r="AK263" s="56">
        <f>'Mortgage and Loans'!BM220</f>
        <v>0</v>
      </c>
      <c r="AL263" s="56">
        <f>'Mortgage and Loans'!T225</f>
        <v>0</v>
      </c>
      <c r="AM263" s="12">
        <f t="shared" si="12"/>
        <v>-4011.4396153846155</v>
      </c>
      <c r="AN263" s="75">
        <f t="shared" si="85"/>
        <v>2505353.9545103577</v>
      </c>
      <c r="AO263" s="86">
        <f>'Mortgage and Loans'!G226</f>
        <v>0</v>
      </c>
      <c r="AP263" s="79">
        <f>('Salary Tax Breakdown'!B$16/12)-Data!AO263</f>
        <v>3447.5</v>
      </c>
      <c r="AQ263" s="87"/>
      <c r="AR263" s="20">
        <f t="shared" si="304"/>
        <v>4011.4396153846155</v>
      </c>
      <c r="AS263" s="20">
        <v>750</v>
      </c>
      <c r="AT263" s="20">
        <v>0</v>
      </c>
      <c r="AU263" s="20">
        <f t="shared" si="305"/>
        <v>4761.4396153846155</v>
      </c>
      <c r="AV263" s="20">
        <f t="shared" si="306"/>
        <v>4761.4396153846155</v>
      </c>
      <c r="AW263" s="51">
        <f t="shared" si="294"/>
        <v>0</v>
      </c>
      <c r="AX263" s="51">
        <f t="shared" ref="AX263:AX312" si="334">IF(MONTH($D263)=2,1,0)</f>
        <v>0</v>
      </c>
      <c r="AY263" s="51">
        <f t="shared" ref="AY263:AY312" si="335">IF(MONTH($D263)=3,1,0)</f>
        <v>0</v>
      </c>
      <c r="AZ263" s="51">
        <f t="shared" ref="AZ263:AZ312" si="336">IF(MONTH($D263)=4,1,0)</f>
        <v>0</v>
      </c>
      <c r="BA263" s="51">
        <f t="shared" ref="BA263:BA312" si="337">IF(MONTH($D263)=5,1,0)</f>
        <v>0</v>
      </c>
      <c r="BB263" s="51">
        <f t="shared" ref="BB263:BB312" si="338">IF(MONTH($D263)=6,1,0)</f>
        <v>0</v>
      </c>
      <c r="BC263" s="51">
        <f t="shared" ref="BC263:BC312" si="339">IF(MONTH($D263)=7,1,0)</f>
        <v>0</v>
      </c>
      <c r="BD263" s="51">
        <f t="shared" ref="BD263:BD312" si="340">IF(MONTH($D263)=8,1,0)</f>
        <v>0</v>
      </c>
      <c r="BE263" s="51">
        <f t="shared" ref="BE263:BE312" si="341">IF(MONTH($D263)=9,1,0)</f>
        <v>0</v>
      </c>
      <c r="BF263" s="51">
        <f t="shared" ref="BF263:BF312" si="342">IF(MONTH($D263)=10,1,0)</f>
        <v>0</v>
      </c>
      <c r="BG263" s="51">
        <f t="shared" ref="BG263:BG312" si="343">IF(MONTH($D263)=11,1,0)</f>
        <v>0</v>
      </c>
      <c r="BH263" s="51">
        <f t="shared" ref="BH263:BH312" si="344">IF(MONTH($D263)=12,1,0)</f>
        <v>0</v>
      </c>
      <c r="BI263" s="51">
        <f t="shared" si="307"/>
        <v>0</v>
      </c>
      <c r="BJ263" s="51">
        <f t="shared" si="308"/>
        <v>0</v>
      </c>
      <c r="BK263" s="51">
        <f t="shared" si="309"/>
        <v>0</v>
      </c>
      <c r="BL263" s="51">
        <f t="shared" si="310"/>
        <v>0</v>
      </c>
      <c r="BM263" s="51">
        <f t="shared" si="311"/>
        <v>0</v>
      </c>
      <c r="BN263" s="51">
        <f t="shared" si="312"/>
        <v>0</v>
      </c>
      <c r="BO263" s="51">
        <f t="shared" si="313"/>
        <v>0</v>
      </c>
      <c r="BP263" s="51">
        <f t="shared" si="314"/>
        <v>0</v>
      </c>
      <c r="BQ263" s="51">
        <f t="shared" si="315"/>
        <v>0</v>
      </c>
      <c r="BR263" s="51">
        <f t="shared" si="316"/>
        <v>0</v>
      </c>
      <c r="BS263" s="51">
        <f t="shared" si="317"/>
        <v>0</v>
      </c>
      <c r="BT263" s="51">
        <f t="shared" si="318"/>
        <v>0</v>
      </c>
      <c r="BU263" s="20">
        <f t="shared" si="319"/>
        <v>4761.4396153846155</v>
      </c>
      <c r="BV263" s="20">
        <f t="shared" si="320"/>
        <v>4761.4396153846164</v>
      </c>
      <c r="BW263" s="20">
        <f t="shared" si="321"/>
        <v>57137.275384615386</v>
      </c>
      <c r="BX263" s="20">
        <f t="shared" si="322"/>
        <v>57137.275384615386</v>
      </c>
      <c r="BY263" s="20">
        <f t="shared" si="323"/>
        <v>57137.275384615394</v>
      </c>
      <c r="BZ263" s="21">
        <f t="shared" si="324"/>
        <v>57137.275384615386</v>
      </c>
      <c r="CA263" s="19">
        <f t="shared" si="297"/>
        <v>1428431.8846153847</v>
      </c>
      <c r="CB263" s="20">
        <f t="shared" si="325"/>
        <v>1428431.8846153847</v>
      </c>
      <c r="CC263" s="20">
        <f t="shared" si="326"/>
        <v>1428431.8846153843</v>
      </c>
      <c r="CD263" s="20">
        <f t="shared" si="298"/>
        <v>0</v>
      </c>
      <c r="CE263" s="20">
        <f t="shared" si="302"/>
        <v>1400000</v>
      </c>
      <c r="CF263" s="20">
        <f t="shared" si="295"/>
        <v>2304474.5588736166</v>
      </c>
      <c r="CG263" s="20">
        <f t="shared" si="327"/>
        <v>92178.982354944674</v>
      </c>
      <c r="CH263" s="20">
        <f t="shared" si="296"/>
        <v>7681.5818629120558</v>
      </c>
      <c r="CI263" s="20">
        <f t="shared" si="328"/>
        <v>2292421.0803997978</v>
      </c>
      <c r="CJ263" s="24">
        <f t="shared" si="329"/>
        <v>1.6132897785980971</v>
      </c>
      <c r="CK263" s="24">
        <f t="shared" si="330"/>
        <v>5.2674780040479771E-3</v>
      </c>
      <c r="CL263" s="24">
        <f t="shared" si="331"/>
        <v>1.5883432987241201E-2</v>
      </c>
      <c r="CM263" s="25">
        <f t="shared" si="332"/>
        <v>6.5017642195749167E-2</v>
      </c>
      <c r="CN263" s="17"/>
      <c r="CO263" s="17"/>
      <c r="CP263" s="17"/>
      <c r="CQ263" s="17"/>
      <c r="CR263" s="17"/>
      <c r="CS263" s="17"/>
      <c r="CT263" s="17"/>
      <c r="CU263" s="17"/>
      <c r="CV263" s="17"/>
      <c r="CW263" s="30">
        <v>0</v>
      </c>
      <c r="CX263" s="17"/>
      <c r="CY263" s="17"/>
      <c r="CZ263" s="17"/>
      <c r="DA263" s="17"/>
      <c r="DB263" s="17"/>
    </row>
    <row r="264" spans="1:106" ht="15.75" thickBot="1" x14ac:dyDescent="0.3">
      <c r="A264" s="5">
        <f t="shared" si="299"/>
        <v>45</v>
      </c>
      <c r="B264" s="5">
        <f t="shared" si="299"/>
        <v>43</v>
      </c>
      <c r="C264" s="1"/>
      <c r="D264" s="4"/>
      <c r="E264" s="30"/>
      <c r="F264" s="30"/>
      <c r="G264" s="30">
        <f t="shared" si="303"/>
        <v>0</v>
      </c>
      <c r="H264" s="30"/>
      <c r="I264" s="10">
        <v>0</v>
      </c>
      <c r="J264" s="60">
        <v>9000</v>
      </c>
      <c r="K264" s="11">
        <v>550</v>
      </c>
      <c r="L264" s="60">
        <f t="shared" si="72"/>
        <v>11950.257719721969</v>
      </c>
      <c r="M264" s="11">
        <v>305</v>
      </c>
      <c r="N264" s="60">
        <v>0</v>
      </c>
      <c r="O264" s="11">
        <v>0</v>
      </c>
      <c r="P264" s="11">
        <v>0</v>
      </c>
      <c r="Q264" s="60">
        <f>(Q263*($K$1/12))+Q263 + $Q$8</f>
        <v>352919.4976832103</v>
      </c>
      <c r="R264" s="60">
        <f>(R263*($K$1/12))+R263</f>
        <v>15438.55838419355</v>
      </c>
      <c r="S264" s="60">
        <f>(S263*($K$1/12))+S263</f>
        <v>13403.765771859998</v>
      </c>
      <c r="T264" s="60">
        <f>(T263*($K$1/12))+T263+$T$8</f>
        <v>1332158.9098549541</v>
      </c>
      <c r="U264" s="60">
        <f>(U263*$K$1/12) + U263</f>
        <v>163087.63532527463</v>
      </c>
      <c r="V264" s="60">
        <v>3100</v>
      </c>
      <c r="W264" s="60">
        <f>(W263*($K$1/12))+W263+$W$8</f>
        <v>113202.61184857968</v>
      </c>
      <c r="X264" s="11">
        <v>0</v>
      </c>
      <c r="Y264" s="60">
        <f>(Y263*($K$1/12))+Y263+$Y$8</f>
        <v>326404.15053277643</v>
      </c>
      <c r="Z264" s="60">
        <f>'Mortgage and Loans'!U226</f>
        <v>180000</v>
      </c>
      <c r="AA264" s="12">
        <f t="shared" si="293"/>
        <v>2521520.3871205705</v>
      </c>
      <c r="AB264" s="56">
        <f t="shared" si="333"/>
        <v>750</v>
      </c>
      <c r="AC264" s="56">
        <f t="shared" si="333"/>
        <v>750</v>
      </c>
      <c r="AD264" s="56">
        <f t="shared" si="333"/>
        <v>750</v>
      </c>
      <c r="AE264" s="56">
        <f t="shared" si="333"/>
        <v>750</v>
      </c>
      <c r="AF264" s="56">
        <f t="shared" si="300"/>
        <v>261.43961538461554</v>
      </c>
      <c r="AG264" s="56">
        <f t="shared" si="333"/>
        <v>750</v>
      </c>
      <c r="AH264" s="56">
        <f>'Mortgage and Loans'!AF221</f>
        <v>0</v>
      </c>
      <c r="AI264" s="56">
        <f>'Mortgage and Loans'!AQ221</f>
        <v>0</v>
      </c>
      <c r="AJ264" s="56">
        <f>'Mortgage and Loans'!BB221</f>
        <v>0</v>
      </c>
      <c r="AK264" s="56">
        <f>'Mortgage and Loans'!BM221</f>
        <v>0</v>
      </c>
      <c r="AL264" s="56">
        <f>'Mortgage and Loans'!T226</f>
        <v>0</v>
      </c>
      <c r="AM264" s="12">
        <f t="shared" si="12"/>
        <v>-4011.4396153846155</v>
      </c>
      <c r="AN264" s="75">
        <f t="shared" si="85"/>
        <v>2517508.9475051858</v>
      </c>
      <c r="AO264" s="86">
        <f>'Mortgage and Loans'!G227</f>
        <v>0</v>
      </c>
      <c r="AP264" s="79">
        <f>('Salary Tax Breakdown'!B$16/12)-Data!AO264</f>
        <v>3447.5</v>
      </c>
      <c r="AQ264" s="87"/>
      <c r="AR264" s="20">
        <f t="shared" si="304"/>
        <v>4011.4396153846155</v>
      </c>
      <c r="AS264" s="20">
        <v>750</v>
      </c>
      <c r="AT264" s="20">
        <v>0</v>
      </c>
      <c r="AU264" s="20">
        <f t="shared" si="305"/>
        <v>4761.4396153846155</v>
      </c>
      <c r="AV264" s="20">
        <f t="shared" si="306"/>
        <v>4761.4396153846155</v>
      </c>
      <c r="AW264" s="51">
        <f t="shared" si="294"/>
        <v>0</v>
      </c>
      <c r="AX264" s="51">
        <f t="shared" si="334"/>
        <v>0</v>
      </c>
      <c r="AY264" s="51">
        <f t="shared" si="335"/>
        <v>0</v>
      </c>
      <c r="AZ264" s="51">
        <f t="shared" si="336"/>
        <v>0</v>
      </c>
      <c r="BA264" s="51">
        <f t="shared" si="337"/>
        <v>0</v>
      </c>
      <c r="BB264" s="51">
        <f t="shared" si="338"/>
        <v>0</v>
      </c>
      <c r="BC264" s="51">
        <f t="shared" si="339"/>
        <v>0</v>
      </c>
      <c r="BD264" s="51">
        <f t="shared" si="340"/>
        <v>0</v>
      </c>
      <c r="BE264" s="51">
        <f t="shared" si="341"/>
        <v>0</v>
      </c>
      <c r="BF264" s="51">
        <f t="shared" si="342"/>
        <v>0</v>
      </c>
      <c r="BG264" s="51">
        <f t="shared" si="343"/>
        <v>0</v>
      </c>
      <c r="BH264" s="51">
        <f t="shared" si="344"/>
        <v>0</v>
      </c>
      <c r="BI264" s="51">
        <f t="shared" si="307"/>
        <v>0</v>
      </c>
      <c r="BJ264" s="51">
        <f t="shared" si="308"/>
        <v>0</v>
      </c>
      <c r="BK264" s="51">
        <f t="shared" si="309"/>
        <v>0</v>
      </c>
      <c r="BL264" s="51">
        <f t="shared" si="310"/>
        <v>0</v>
      </c>
      <c r="BM264" s="51">
        <f t="shared" si="311"/>
        <v>0</v>
      </c>
      <c r="BN264" s="51">
        <f t="shared" si="312"/>
        <v>0</v>
      </c>
      <c r="BO264" s="51">
        <f t="shared" si="313"/>
        <v>0</v>
      </c>
      <c r="BP264" s="51">
        <f t="shared" si="314"/>
        <v>0</v>
      </c>
      <c r="BQ264" s="51">
        <f t="shared" si="315"/>
        <v>0</v>
      </c>
      <c r="BR264" s="51">
        <f t="shared" si="316"/>
        <v>0</v>
      </c>
      <c r="BS264" s="51">
        <f t="shared" si="317"/>
        <v>0</v>
      </c>
      <c r="BT264" s="51">
        <f t="shared" si="318"/>
        <v>0</v>
      </c>
      <c r="BU264" s="20">
        <f t="shared" si="319"/>
        <v>4761.4396153846155</v>
      </c>
      <c r="BV264" s="20">
        <f t="shared" si="320"/>
        <v>4761.4396153846164</v>
      </c>
      <c r="BW264" s="20">
        <f t="shared" si="321"/>
        <v>57137.275384615386</v>
      </c>
      <c r="BX264" s="20">
        <f t="shared" si="322"/>
        <v>57137.275384615386</v>
      </c>
      <c r="BY264" s="20">
        <f t="shared" si="323"/>
        <v>57137.275384615394</v>
      </c>
      <c r="BZ264" s="21">
        <f t="shared" si="324"/>
        <v>57137.275384615386</v>
      </c>
      <c r="CA264" s="19">
        <f t="shared" si="297"/>
        <v>1428431.8846153847</v>
      </c>
      <c r="CB264" s="20">
        <f t="shared" si="325"/>
        <v>1428431.8846153847</v>
      </c>
      <c r="CC264" s="20">
        <f t="shared" si="326"/>
        <v>1428431.8846153843</v>
      </c>
      <c r="CD264" s="20">
        <f t="shared" si="298"/>
        <v>0</v>
      </c>
      <c r="CE264" s="20">
        <f t="shared" si="302"/>
        <v>1400000</v>
      </c>
      <c r="CF264" s="20">
        <f t="shared" si="295"/>
        <v>2316615.1294008484</v>
      </c>
      <c r="CG264" s="20">
        <f t="shared" si="327"/>
        <v>92664.605176033932</v>
      </c>
      <c r="CH264" s="20">
        <f t="shared" si="296"/>
        <v>7722.0504313361607</v>
      </c>
      <c r="CI264" s="20">
        <f t="shared" si="328"/>
        <v>2304496.3612519638</v>
      </c>
      <c r="CJ264" s="24">
        <f t="shared" si="329"/>
        <v>1.6217890081784425</v>
      </c>
      <c r="CK264" s="24">
        <f t="shared" si="330"/>
        <v>5.2682597342996341E-3</v>
      </c>
      <c r="CL264" s="24">
        <f t="shared" si="331"/>
        <v>1.5885815095468693E-2</v>
      </c>
      <c r="CM264" s="25">
        <f t="shared" si="332"/>
        <v>6.5027864867232402E-2</v>
      </c>
      <c r="CN264" s="17"/>
      <c r="CO264" s="17"/>
      <c r="CP264" s="17"/>
      <c r="CQ264" s="17"/>
      <c r="CR264" s="17"/>
      <c r="CS264" s="17"/>
      <c r="CT264" s="17"/>
      <c r="CU264" s="17"/>
      <c r="CV264" s="17"/>
      <c r="CW264" s="30">
        <v>0</v>
      </c>
      <c r="CX264" s="17"/>
      <c r="CY264" s="17"/>
      <c r="CZ264" s="17"/>
      <c r="DA264" s="17"/>
      <c r="DB264" s="17"/>
    </row>
    <row r="265" spans="1:106" ht="15.75" thickBot="1" x14ac:dyDescent="0.3">
      <c r="A265" s="5">
        <f t="shared" si="299"/>
        <v>45</v>
      </c>
      <c r="B265" s="5">
        <f t="shared" si="299"/>
        <v>43</v>
      </c>
      <c r="C265" s="1"/>
      <c r="D265" s="4"/>
      <c r="E265" s="30"/>
      <c r="F265" s="30"/>
      <c r="G265" s="30">
        <f t="shared" si="303"/>
        <v>0</v>
      </c>
      <c r="H265" s="30"/>
      <c r="I265" s="10">
        <v>0</v>
      </c>
      <c r="J265" s="60">
        <v>9000</v>
      </c>
      <c r="K265" s="11">
        <v>550</v>
      </c>
      <c r="L265" s="60">
        <f t="shared" si="72"/>
        <v>11964.697614466631</v>
      </c>
      <c r="M265" s="11">
        <v>305</v>
      </c>
      <c r="N265" s="60">
        <v>0</v>
      </c>
      <c r="O265" s="11">
        <v>0</v>
      </c>
      <c r="P265" s="11">
        <v>0</v>
      </c>
      <c r="Q265" s="60">
        <f>(Q264*($K$1/12))+Q264 + $Q$8</f>
        <v>355289.14496232767</v>
      </c>
      <c r="R265" s="60">
        <f>(R264*($K$1/12))+R264</f>
        <v>15522.183908774598</v>
      </c>
      <c r="S265" s="60">
        <f>(S264*($K$1/12))+S264</f>
        <v>13476.369503124241</v>
      </c>
      <c r="T265" s="60">
        <f>(T264*($K$1/12))+T264+$T$8</f>
        <v>1340874.7706166685</v>
      </c>
      <c r="U265" s="60">
        <f>(U264*$K$1/12) + U264</f>
        <v>163971.02668328653</v>
      </c>
      <c r="V265" s="60">
        <v>3100</v>
      </c>
      <c r="W265" s="60">
        <f>(W264*($K$1/12))+W264+$W$8</f>
        <v>113815.79266275949</v>
      </c>
      <c r="X265" s="11">
        <v>0</v>
      </c>
      <c r="Y265" s="60">
        <f>(Y264*($K$1/12))+Y264+$Y$8</f>
        <v>325872.17301482899</v>
      </c>
      <c r="Z265" s="60">
        <f>'Mortgage and Loans'!U227</f>
        <v>180000</v>
      </c>
      <c r="AA265" s="12">
        <f t="shared" si="293"/>
        <v>2533741.1589662367</v>
      </c>
      <c r="AB265" s="56">
        <f t="shared" si="333"/>
        <v>750</v>
      </c>
      <c r="AC265" s="56">
        <f t="shared" si="333"/>
        <v>750</v>
      </c>
      <c r="AD265" s="56">
        <f t="shared" si="333"/>
        <v>750</v>
      </c>
      <c r="AE265" s="56">
        <f t="shared" si="333"/>
        <v>750</v>
      </c>
      <c r="AF265" s="56">
        <f t="shared" si="300"/>
        <v>261.43961538461554</v>
      </c>
      <c r="AG265" s="56">
        <f t="shared" si="333"/>
        <v>750</v>
      </c>
      <c r="AH265" s="56">
        <f>'Mortgage and Loans'!AF222</f>
        <v>0</v>
      </c>
      <c r="AI265" s="56">
        <f>'Mortgage and Loans'!AQ222</f>
        <v>0</v>
      </c>
      <c r="AJ265" s="56">
        <f>'Mortgage and Loans'!BB222</f>
        <v>0</v>
      </c>
      <c r="AK265" s="56">
        <f>'Mortgage and Loans'!BM222</f>
        <v>0</v>
      </c>
      <c r="AL265" s="56">
        <f>'Mortgage and Loans'!T227</f>
        <v>0</v>
      </c>
      <c r="AM265" s="12">
        <f t="shared" si="12"/>
        <v>-4011.4396153846155</v>
      </c>
      <c r="AN265" s="75">
        <f t="shared" si="85"/>
        <v>2529729.7193508521</v>
      </c>
      <c r="AO265" s="86">
        <f>'Mortgage and Loans'!G228</f>
        <v>0</v>
      </c>
      <c r="AP265" s="79">
        <f>('Salary Tax Breakdown'!B$16/12)-Data!AO265</f>
        <v>3447.5</v>
      </c>
      <c r="AQ265" s="87"/>
      <c r="AR265" s="20">
        <f t="shared" si="304"/>
        <v>4011.4396153846155</v>
      </c>
      <c r="AS265" s="20">
        <v>750</v>
      </c>
      <c r="AT265" s="20">
        <v>0</v>
      </c>
      <c r="AU265" s="20">
        <f t="shared" si="305"/>
        <v>4761.4396153846155</v>
      </c>
      <c r="AV265" s="20">
        <f t="shared" si="306"/>
        <v>4761.4396153846155</v>
      </c>
      <c r="AW265" s="51">
        <f t="shared" si="294"/>
        <v>0</v>
      </c>
      <c r="AX265" s="51">
        <f t="shared" si="334"/>
        <v>0</v>
      </c>
      <c r="AY265" s="51">
        <f t="shared" si="335"/>
        <v>0</v>
      </c>
      <c r="AZ265" s="51">
        <f t="shared" si="336"/>
        <v>0</v>
      </c>
      <c r="BA265" s="51">
        <f t="shared" si="337"/>
        <v>0</v>
      </c>
      <c r="BB265" s="51">
        <f t="shared" si="338"/>
        <v>0</v>
      </c>
      <c r="BC265" s="51">
        <f t="shared" si="339"/>
        <v>0</v>
      </c>
      <c r="BD265" s="51">
        <f t="shared" si="340"/>
        <v>0</v>
      </c>
      <c r="BE265" s="51">
        <f t="shared" si="341"/>
        <v>0</v>
      </c>
      <c r="BF265" s="51">
        <f t="shared" si="342"/>
        <v>0</v>
      </c>
      <c r="BG265" s="51">
        <f t="shared" si="343"/>
        <v>0</v>
      </c>
      <c r="BH265" s="51">
        <f t="shared" si="344"/>
        <v>0</v>
      </c>
      <c r="BI265" s="51">
        <f t="shared" si="307"/>
        <v>0</v>
      </c>
      <c r="BJ265" s="51">
        <f t="shared" si="308"/>
        <v>0</v>
      </c>
      <c r="BK265" s="51">
        <f t="shared" si="309"/>
        <v>0</v>
      </c>
      <c r="BL265" s="51">
        <f t="shared" si="310"/>
        <v>0</v>
      </c>
      <c r="BM265" s="51">
        <f t="shared" si="311"/>
        <v>0</v>
      </c>
      <c r="BN265" s="51">
        <f t="shared" si="312"/>
        <v>0</v>
      </c>
      <c r="BO265" s="51">
        <f t="shared" si="313"/>
        <v>0</v>
      </c>
      <c r="BP265" s="51">
        <f t="shared" si="314"/>
        <v>0</v>
      </c>
      <c r="BQ265" s="51">
        <f t="shared" si="315"/>
        <v>0</v>
      </c>
      <c r="BR265" s="51">
        <f t="shared" si="316"/>
        <v>0</v>
      </c>
      <c r="BS265" s="51">
        <f t="shared" si="317"/>
        <v>0</v>
      </c>
      <c r="BT265" s="51">
        <f t="shared" si="318"/>
        <v>0</v>
      </c>
      <c r="BU265" s="20">
        <f t="shared" si="319"/>
        <v>4761.4396153846155</v>
      </c>
      <c r="BV265" s="20">
        <f t="shared" si="320"/>
        <v>4761.4396153846164</v>
      </c>
      <c r="BW265" s="20">
        <f t="shared" si="321"/>
        <v>57137.275384615386</v>
      </c>
      <c r="BX265" s="20">
        <f t="shared" si="322"/>
        <v>57137.275384615386</v>
      </c>
      <c r="BY265" s="20">
        <f t="shared" si="323"/>
        <v>57137.275384615394</v>
      </c>
      <c r="BZ265" s="21">
        <f t="shared" si="324"/>
        <v>57137.275384615386</v>
      </c>
      <c r="CA265" s="19">
        <f t="shared" si="297"/>
        <v>1428431.8846153847</v>
      </c>
      <c r="CB265" s="20">
        <f t="shared" si="325"/>
        <v>1428431.8846153847</v>
      </c>
      <c r="CC265" s="20">
        <f t="shared" si="326"/>
        <v>1428431.8846153843</v>
      </c>
      <c r="CD265" s="20">
        <f t="shared" si="298"/>
        <v>0</v>
      </c>
      <c r="CE265" s="20">
        <f t="shared" si="302"/>
        <v>1400000</v>
      </c>
      <c r="CF265" s="20">
        <f t="shared" si="295"/>
        <v>2328821.46135177</v>
      </c>
      <c r="CG265" s="20">
        <f t="shared" si="327"/>
        <v>93152.858454070796</v>
      </c>
      <c r="CH265" s="20">
        <f t="shared" si="296"/>
        <v>7762.7382045058994</v>
      </c>
      <c r="CI265" s="20">
        <f t="shared" si="328"/>
        <v>2316637.0498754117</v>
      </c>
      <c r="CJ265" s="24">
        <f t="shared" si="329"/>
        <v>1.6303342752523489</v>
      </c>
      <c r="CK265" s="24">
        <f t="shared" si="330"/>
        <v>5.269037483182853E-3</v>
      </c>
      <c r="CL265" s="24">
        <f t="shared" si="331"/>
        <v>1.5888185078977331E-2</v>
      </c>
      <c r="CM265" s="25">
        <f t="shared" si="332"/>
        <v>6.5038035653404144E-2</v>
      </c>
      <c r="CN265" s="17"/>
      <c r="CO265" s="17"/>
      <c r="CP265" s="17"/>
      <c r="CQ265" s="17"/>
      <c r="CR265" s="17"/>
      <c r="CS265" s="17"/>
      <c r="CT265" s="17"/>
      <c r="CU265" s="17"/>
      <c r="CV265" s="17"/>
      <c r="CW265" s="30">
        <v>0</v>
      </c>
      <c r="CX265" s="17"/>
      <c r="CY265" s="17"/>
      <c r="CZ265" s="17"/>
      <c r="DA265" s="17"/>
      <c r="DB265" s="17"/>
    </row>
    <row r="266" spans="1:106" ht="15.75" thickBot="1" x14ac:dyDescent="0.3">
      <c r="A266" s="5">
        <f t="shared" si="299"/>
        <v>45</v>
      </c>
      <c r="B266" s="5">
        <f t="shared" si="299"/>
        <v>44</v>
      </c>
      <c r="C266" s="1"/>
      <c r="D266" s="4"/>
      <c r="E266" s="30"/>
      <c r="F266" s="30"/>
      <c r="G266" s="30">
        <f t="shared" si="303"/>
        <v>0</v>
      </c>
      <c r="H266" s="30"/>
      <c r="I266" s="10">
        <v>0</v>
      </c>
      <c r="J266" s="60">
        <v>9000</v>
      </c>
      <c r="K266" s="11">
        <v>550</v>
      </c>
      <c r="L266" s="60">
        <f t="shared" si="72"/>
        <v>11979.154957417444</v>
      </c>
      <c r="M266" s="11">
        <v>305</v>
      </c>
      <c r="N266" s="60">
        <v>0</v>
      </c>
      <c r="O266" s="11">
        <v>0</v>
      </c>
      <c r="P266" s="11">
        <v>0</v>
      </c>
      <c r="Q266" s="60">
        <f>(Q265*($K$1/12))+Q265 + $Q$8</f>
        <v>357671.62783087359</v>
      </c>
      <c r="R266" s="60">
        <f>(R265*($K$1/12))+R265</f>
        <v>15606.262404947127</v>
      </c>
      <c r="S266" s="60">
        <f>(S265*($K$1/12))+S265</f>
        <v>13549.366504599497</v>
      </c>
      <c r="T266" s="60">
        <f>(T265*($K$1/12))+T265+$T$8</f>
        <v>1349637.8422908422</v>
      </c>
      <c r="U266" s="60">
        <f>(U265*$K$1/12) + U265</f>
        <v>164859.203077821</v>
      </c>
      <c r="V266" s="60">
        <v>3100</v>
      </c>
      <c r="W266" s="60">
        <f>(W265*($K$1/12))+W265+$W$8</f>
        <v>114432.2948730161</v>
      </c>
      <c r="X266" s="11">
        <v>0</v>
      </c>
      <c r="Y266" s="60">
        <f>(Y265*($K$1/12))+Y265+$Y$8</f>
        <v>325337.31395199266</v>
      </c>
      <c r="Z266" s="60">
        <f>'Mortgage and Loans'!U228</f>
        <v>180000</v>
      </c>
      <c r="AA266" s="12">
        <f t="shared" si="293"/>
        <v>2546028.0658915099</v>
      </c>
      <c r="AB266" s="56">
        <f t="shared" si="333"/>
        <v>750</v>
      </c>
      <c r="AC266" s="56">
        <f t="shared" si="333"/>
        <v>750</v>
      </c>
      <c r="AD266" s="56">
        <f t="shared" si="333"/>
        <v>750</v>
      </c>
      <c r="AE266" s="56">
        <f t="shared" si="333"/>
        <v>750</v>
      </c>
      <c r="AF266" s="56">
        <f t="shared" si="300"/>
        <v>261.43961538461554</v>
      </c>
      <c r="AG266" s="56">
        <f t="shared" si="333"/>
        <v>750</v>
      </c>
      <c r="AH266" s="56">
        <f>'Mortgage and Loans'!AF223</f>
        <v>0</v>
      </c>
      <c r="AI266" s="56">
        <f>'Mortgage and Loans'!AQ223</f>
        <v>0</v>
      </c>
      <c r="AJ266" s="56">
        <f>'Mortgage and Loans'!BB223</f>
        <v>0</v>
      </c>
      <c r="AK266" s="56">
        <f>'Mortgage and Loans'!BM223</f>
        <v>0</v>
      </c>
      <c r="AL266" s="56">
        <f>'Mortgage and Loans'!T228</f>
        <v>0</v>
      </c>
      <c r="AM266" s="12">
        <f t="shared" si="12"/>
        <v>-4011.4396153846155</v>
      </c>
      <c r="AN266" s="75">
        <f t="shared" si="85"/>
        <v>2542016.6262761252</v>
      </c>
      <c r="AO266" s="86">
        <f>'Mortgage and Loans'!G229</f>
        <v>0</v>
      </c>
      <c r="AP266" s="79">
        <f>('Salary Tax Breakdown'!B$16/12)-Data!AO266</f>
        <v>3447.5</v>
      </c>
      <c r="AQ266" s="87"/>
      <c r="AR266" s="20">
        <f t="shared" si="304"/>
        <v>4011.4396153846155</v>
      </c>
      <c r="AS266" s="20">
        <v>750</v>
      </c>
      <c r="AT266" s="20">
        <v>0</v>
      </c>
      <c r="AU266" s="20">
        <f t="shared" si="305"/>
        <v>4761.4396153846155</v>
      </c>
      <c r="AV266" s="20">
        <f t="shared" si="306"/>
        <v>4761.4396153846155</v>
      </c>
      <c r="AW266" s="51">
        <f t="shared" si="294"/>
        <v>0</v>
      </c>
      <c r="AX266" s="51">
        <f t="shared" si="334"/>
        <v>0</v>
      </c>
      <c r="AY266" s="51">
        <f t="shared" si="335"/>
        <v>0</v>
      </c>
      <c r="AZ266" s="51">
        <f t="shared" si="336"/>
        <v>0</v>
      </c>
      <c r="BA266" s="51">
        <f t="shared" si="337"/>
        <v>0</v>
      </c>
      <c r="BB266" s="51">
        <f t="shared" si="338"/>
        <v>0</v>
      </c>
      <c r="BC266" s="51">
        <f t="shared" si="339"/>
        <v>0</v>
      </c>
      <c r="BD266" s="51">
        <f t="shared" si="340"/>
        <v>0</v>
      </c>
      <c r="BE266" s="51">
        <f t="shared" si="341"/>
        <v>0</v>
      </c>
      <c r="BF266" s="51">
        <f t="shared" si="342"/>
        <v>0</v>
      </c>
      <c r="BG266" s="51">
        <f t="shared" si="343"/>
        <v>0</v>
      </c>
      <c r="BH266" s="51">
        <f t="shared" si="344"/>
        <v>0</v>
      </c>
      <c r="BI266" s="51">
        <f t="shared" si="307"/>
        <v>0</v>
      </c>
      <c r="BJ266" s="51">
        <f t="shared" si="308"/>
        <v>0</v>
      </c>
      <c r="BK266" s="51">
        <f t="shared" si="309"/>
        <v>0</v>
      </c>
      <c r="BL266" s="51">
        <f t="shared" si="310"/>
        <v>0</v>
      </c>
      <c r="BM266" s="51">
        <f t="shared" si="311"/>
        <v>0</v>
      </c>
      <c r="BN266" s="51">
        <f t="shared" si="312"/>
        <v>0</v>
      </c>
      <c r="BO266" s="51">
        <f t="shared" si="313"/>
        <v>0</v>
      </c>
      <c r="BP266" s="51">
        <f t="shared" si="314"/>
        <v>0</v>
      </c>
      <c r="BQ266" s="51">
        <f t="shared" si="315"/>
        <v>0</v>
      </c>
      <c r="BR266" s="51">
        <f t="shared" si="316"/>
        <v>0</v>
      </c>
      <c r="BS266" s="51">
        <f t="shared" si="317"/>
        <v>0</v>
      </c>
      <c r="BT266" s="51">
        <f t="shared" si="318"/>
        <v>0</v>
      </c>
      <c r="BU266" s="20">
        <f t="shared" si="319"/>
        <v>4761.4396153846155</v>
      </c>
      <c r="BV266" s="20">
        <f t="shared" si="320"/>
        <v>4761.4396153846164</v>
      </c>
      <c r="BW266" s="20">
        <f t="shared" si="321"/>
        <v>57137.275384615386</v>
      </c>
      <c r="BX266" s="20">
        <f t="shared" si="322"/>
        <v>57137.275384615386</v>
      </c>
      <c r="BY266" s="20">
        <f t="shared" si="323"/>
        <v>57137.275384615394</v>
      </c>
      <c r="BZ266" s="21">
        <f t="shared" si="324"/>
        <v>57137.275384615386</v>
      </c>
      <c r="CA266" s="19">
        <f t="shared" si="297"/>
        <v>1428431.8846153847</v>
      </c>
      <c r="CB266" s="20">
        <f t="shared" si="325"/>
        <v>1428431.8846153847</v>
      </c>
      <c r="CC266" s="20">
        <f t="shared" si="326"/>
        <v>1428431.8846153843</v>
      </c>
      <c r="CD266" s="20">
        <f t="shared" si="298"/>
        <v>0</v>
      </c>
      <c r="CE266" s="20">
        <f t="shared" si="302"/>
        <v>1400000</v>
      </c>
      <c r="CF266" s="20">
        <f t="shared" si="295"/>
        <v>2341093.9109340925</v>
      </c>
      <c r="CG266" s="20">
        <f t="shared" si="327"/>
        <v>93643.7564373637</v>
      </c>
      <c r="CH266" s="20">
        <f t="shared" si="296"/>
        <v>7803.6463697803083</v>
      </c>
      <c r="CI266" s="20">
        <f t="shared" si="328"/>
        <v>2328843.5005622371</v>
      </c>
      <c r="CJ266" s="24">
        <f t="shared" si="329"/>
        <v>1.6389258291895721</v>
      </c>
      <c r="CK266" s="24">
        <f t="shared" si="330"/>
        <v>5.2698112697737373E-3</v>
      </c>
      <c r="CL266" s="24">
        <f t="shared" si="331"/>
        <v>1.5890542995785857E-2</v>
      </c>
      <c r="CM266" s="25">
        <f t="shared" si="332"/>
        <v>6.5048154801005814E-2</v>
      </c>
      <c r="CN266" s="17"/>
      <c r="CO266" s="17"/>
      <c r="CP266" s="17"/>
      <c r="CQ266" s="17"/>
      <c r="CR266" s="17"/>
      <c r="CS266" s="17"/>
      <c r="CT266" s="17"/>
      <c r="CU266" s="17"/>
      <c r="CV266" s="17"/>
      <c r="CW266" s="30">
        <v>0</v>
      </c>
      <c r="CX266" s="17"/>
      <c r="CY266" s="17"/>
      <c r="CZ266" s="17"/>
      <c r="DA266" s="17"/>
      <c r="DB266" s="17"/>
    </row>
    <row r="267" spans="1:106" ht="15.75" thickBot="1" x14ac:dyDescent="0.3">
      <c r="A267" s="5">
        <f t="shared" si="299"/>
        <v>45</v>
      </c>
      <c r="B267" s="5">
        <f t="shared" si="299"/>
        <v>44</v>
      </c>
      <c r="C267" s="1"/>
      <c r="D267" s="4"/>
      <c r="E267" s="30"/>
      <c r="F267" s="30"/>
      <c r="G267" s="30">
        <f t="shared" si="303"/>
        <v>0</v>
      </c>
      <c r="H267" s="30"/>
      <c r="I267" s="10">
        <v>0</v>
      </c>
      <c r="J267" s="60">
        <v>9000</v>
      </c>
      <c r="K267" s="11">
        <v>550</v>
      </c>
      <c r="L267" s="60">
        <f t="shared" si="72"/>
        <v>11993.629769657657</v>
      </c>
      <c r="M267" s="11">
        <v>305</v>
      </c>
      <c r="N267" s="60">
        <v>0</v>
      </c>
      <c r="O267" s="11">
        <v>0</v>
      </c>
      <c r="P267" s="11">
        <v>0</v>
      </c>
      <c r="Q267" s="60">
        <f>(Q266*($K$1/12))+Q266 + $Q$8</f>
        <v>360067.0158149575</v>
      </c>
      <c r="R267" s="60">
        <f>(R266*($K$1/12))+R266</f>
        <v>15690.796326307258</v>
      </c>
      <c r="S267" s="60">
        <f>(S266*($K$1/12))+S266</f>
        <v>13622.75890649941</v>
      </c>
      <c r="T267" s="60">
        <f>(T266*($K$1/12))+T266+$T$8</f>
        <v>1358448.380603251</v>
      </c>
      <c r="U267" s="60">
        <f>(U266*$K$1/12) + U266</f>
        <v>165752.19042782587</v>
      </c>
      <c r="V267" s="60">
        <v>3100</v>
      </c>
      <c r="W267" s="60">
        <f>(W266*($K$1/12))+W266+$W$8</f>
        <v>115052.13647024494</v>
      </c>
      <c r="X267" s="11">
        <v>0</v>
      </c>
      <c r="Y267" s="60">
        <f>(Y266*($K$1/12))+Y266+$Y$8</f>
        <v>324799.55773589929</v>
      </c>
      <c r="Z267" s="60">
        <f>'Mortgage and Loans'!U229</f>
        <v>180000</v>
      </c>
      <c r="AA267" s="12">
        <f t="shared" si="293"/>
        <v>2558381.466054643</v>
      </c>
      <c r="AB267" s="56">
        <f t="shared" si="333"/>
        <v>750</v>
      </c>
      <c r="AC267" s="56">
        <f t="shared" si="333"/>
        <v>750</v>
      </c>
      <c r="AD267" s="56">
        <f t="shared" si="333"/>
        <v>750</v>
      </c>
      <c r="AE267" s="56">
        <f t="shared" si="333"/>
        <v>750</v>
      </c>
      <c r="AF267" s="56">
        <f t="shared" si="300"/>
        <v>261.43961538461554</v>
      </c>
      <c r="AG267" s="56">
        <f t="shared" si="333"/>
        <v>750</v>
      </c>
      <c r="AH267" s="56">
        <f>'Mortgage and Loans'!AF224</f>
        <v>0</v>
      </c>
      <c r="AI267" s="56">
        <f>'Mortgage and Loans'!AQ224</f>
        <v>0</v>
      </c>
      <c r="AJ267" s="56">
        <f>'Mortgage and Loans'!BB224</f>
        <v>0</v>
      </c>
      <c r="AK267" s="56">
        <f>'Mortgage and Loans'!BM224</f>
        <v>0</v>
      </c>
      <c r="AL267" s="56">
        <f>'Mortgage and Loans'!T229</f>
        <v>0</v>
      </c>
      <c r="AM267" s="12">
        <f t="shared" si="12"/>
        <v>-4011.4396153846155</v>
      </c>
      <c r="AN267" s="75">
        <f t="shared" si="85"/>
        <v>2554370.0264392584</v>
      </c>
      <c r="AO267" s="86">
        <f>'Mortgage and Loans'!G230</f>
        <v>0</v>
      </c>
      <c r="AP267" s="79">
        <f>('Salary Tax Breakdown'!B$16/12)-Data!AO267</f>
        <v>3447.5</v>
      </c>
      <c r="AQ267" s="87"/>
      <c r="AR267" s="20">
        <f t="shared" si="304"/>
        <v>4011.4396153846155</v>
      </c>
      <c r="AS267" s="20">
        <v>750</v>
      </c>
      <c r="AT267" s="20">
        <v>0</v>
      </c>
      <c r="AU267" s="20">
        <f t="shared" si="305"/>
        <v>4761.4396153846155</v>
      </c>
      <c r="AV267" s="20">
        <f t="shared" si="306"/>
        <v>4761.4396153846155</v>
      </c>
      <c r="AW267" s="51">
        <f t="shared" si="294"/>
        <v>0</v>
      </c>
      <c r="AX267" s="51">
        <f t="shared" si="334"/>
        <v>0</v>
      </c>
      <c r="AY267" s="51">
        <f t="shared" si="335"/>
        <v>0</v>
      </c>
      <c r="AZ267" s="51">
        <f t="shared" si="336"/>
        <v>0</v>
      </c>
      <c r="BA267" s="51">
        <f t="shared" si="337"/>
        <v>0</v>
      </c>
      <c r="BB267" s="51">
        <f t="shared" si="338"/>
        <v>0</v>
      </c>
      <c r="BC267" s="51">
        <f t="shared" si="339"/>
        <v>0</v>
      </c>
      <c r="BD267" s="51">
        <f t="shared" si="340"/>
        <v>0</v>
      </c>
      <c r="BE267" s="51">
        <f t="shared" si="341"/>
        <v>0</v>
      </c>
      <c r="BF267" s="51">
        <f t="shared" si="342"/>
        <v>0</v>
      </c>
      <c r="BG267" s="51">
        <f t="shared" si="343"/>
        <v>0</v>
      </c>
      <c r="BH267" s="51">
        <f t="shared" si="344"/>
        <v>0</v>
      </c>
      <c r="BI267" s="51">
        <f t="shared" si="307"/>
        <v>0</v>
      </c>
      <c r="BJ267" s="51">
        <f t="shared" si="308"/>
        <v>0</v>
      </c>
      <c r="BK267" s="51">
        <f t="shared" si="309"/>
        <v>0</v>
      </c>
      <c r="BL267" s="51">
        <f t="shared" si="310"/>
        <v>0</v>
      </c>
      <c r="BM267" s="51">
        <f t="shared" si="311"/>
        <v>0</v>
      </c>
      <c r="BN267" s="51">
        <f t="shared" si="312"/>
        <v>0</v>
      </c>
      <c r="BO267" s="51">
        <f t="shared" si="313"/>
        <v>0</v>
      </c>
      <c r="BP267" s="51">
        <f t="shared" si="314"/>
        <v>0</v>
      </c>
      <c r="BQ267" s="51">
        <f t="shared" si="315"/>
        <v>0</v>
      </c>
      <c r="BR267" s="51">
        <f t="shared" si="316"/>
        <v>0</v>
      </c>
      <c r="BS267" s="51">
        <f t="shared" si="317"/>
        <v>0</v>
      </c>
      <c r="BT267" s="51">
        <f t="shared" si="318"/>
        <v>0</v>
      </c>
      <c r="BU267" s="20">
        <f t="shared" si="319"/>
        <v>4761.4396153846155</v>
      </c>
      <c r="BV267" s="20">
        <f t="shared" si="320"/>
        <v>4761.4396153846164</v>
      </c>
      <c r="BW267" s="20">
        <f t="shared" si="321"/>
        <v>57137.275384615386</v>
      </c>
      <c r="BX267" s="20">
        <f t="shared" si="322"/>
        <v>57137.275384615386</v>
      </c>
      <c r="BY267" s="20">
        <f t="shared" si="323"/>
        <v>57137.275384615394</v>
      </c>
      <c r="BZ267" s="21">
        <f t="shared" si="324"/>
        <v>57137.275384615386</v>
      </c>
      <c r="CA267" s="19">
        <f t="shared" si="297"/>
        <v>1428431.8846153847</v>
      </c>
      <c r="CB267" s="20">
        <f t="shared" si="325"/>
        <v>1428431.8846153847</v>
      </c>
      <c r="CC267" s="20">
        <f t="shared" si="326"/>
        <v>1428431.8846153843</v>
      </c>
      <c r="CD267" s="20">
        <f t="shared" si="298"/>
        <v>0</v>
      </c>
      <c r="CE267" s="20">
        <f t="shared" si="302"/>
        <v>1400000</v>
      </c>
      <c r="CF267" s="20">
        <f t="shared" si="295"/>
        <v>2353432.8362849853</v>
      </c>
      <c r="CG267" s="20">
        <f t="shared" si="327"/>
        <v>94137.313451399415</v>
      </c>
      <c r="CH267" s="20">
        <f t="shared" si="296"/>
        <v>7844.7761209499513</v>
      </c>
      <c r="CI267" s="20">
        <f t="shared" si="328"/>
        <v>2341116.0695236158</v>
      </c>
      <c r="CJ267" s="24">
        <f t="shared" si="329"/>
        <v>1.6475639207106214</v>
      </c>
      <c r="CK267" s="24">
        <f t="shared" si="330"/>
        <v>5.2705811130701772E-3</v>
      </c>
      <c r="CL267" s="24">
        <f t="shared" si="331"/>
        <v>1.5892888903673498E-2</v>
      </c>
      <c r="CM267" s="25">
        <f t="shared" si="332"/>
        <v>6.5058222555778214E-2</v>
      </c>
      <c r="CN267" s="17"/>
      <c r="CO267" s="17"/>
      <c r="CP267" s="17"/>
      <c r="CQ267" s="17"/>
      <c r="CR267" s="17"/>
      <c r="CS267" s="17"/>
      <c r="CT267" s="17"/>
      <c r="CU267" s="17"/>
      <c r="CV267" s="17"/>
      <c r="CW267" s="30">
        <v>0</v>
      </c>
      <c r="CX267" s="17"/>
      <c r="CY267" s="17"/>
      <c r="CZ267" s="17"/>
      <c r="DA267" s="17"/>
      <c r="DB267" s="17"/>
    </row>
    <row r="268" spans="1:106" ht="15.75" thickBot="1" x14ac:dyDescent="0.3">
      <c r="A268" s="5">
        <f t="shared" si="299"/>
        <v>46</v>
      </c>
      <c r="B268" s="5">
        <f t="shared" si="299"/>
        <v>44</v>
      </c>
      <c r="C268" s="1"/>
      <c r="D268" s="4"/>
      <c r="E268" s="30"/>
      <c r="F268" s="30"/>
      <c r="G268" s="30">
        <f t="shared" si="303"/>
        <v>0</v>
      </c>
      <c r="H268" s="30"/>
      <c r="I268" s="10">
        <v>0</v>
      </c>
      <c r="J268" s="60">
        <v>9000</v>
      </c>
      <c r="K268" s="11">
        <v>550</v>
      </c>
      <c r="L268" s="60">
        <f t="shared" si="72"/>
        <v>12008.122072295992</v>
      </c>
      <c r="M268" s="11">
        <v>305</v>
      </c>
      <c r="N268" s="60">
        <v>0</v>
      </c>
      <c r="O268" s="11">
        <v>0</v>
      </c>
      <c r="P268" s="11">
        <v>0</v>
      </c>
      <c r="Q268" s="60">
        <f>(Q267*($K$1/12))+Q267 + $Q$8</f>
        <v>362475.3788172885</v>
      </c>
      <c r="R268" s="60">
        <f>(R267*($K$1/12))+R267</f>
        <v>15775.788139741422</v>
      </c>
      <c r="S268" s="60">
        <f>(S267*($K$1/12))+S267</f>
        <v>13696.548850576282</v>
      </c>
      <c r="T268" s="60">
        <f>(T267*($K$1/12))+T267+$T$8</f>
        <v>1367306.6426648521</v>
      </c>
      <c r="U268" s="60">
        <f>(U267*$K$1/12) + U267</f>
        <v>166650.01479264325</v>
      </c>
      <c r="V268" s="60">
        <v>3100</v>
      </c>
      <c r="W268" s="60">
        <f>(W267*($K$1/12))+W267+$W$8</f>
        <v>115675.33554279209</v>
      </c>
      <c r="X268" s="11">
        <v>0</v>
      </c>
      <c r="Y268" s="60">
        <f>(Y267*($K$1/12))+Y267+$Y$8</f>
        <v>324258.88867363543</v>
      </c>
      <c r="Z268" s="60">
        <f>'Mortgage and Loans'!U230</f>
        <v>180000</v>
      </c>
      <c r="AA268" s="12">
        <f t="shared" si="293"/>
        <v>2570801.719553825</v>
      </c>
      <c r="AB268" s="56">
        <f t="shared" si="333"/>
        <v>750</v>
      </c>
      <c r="AC268" s="56">
        <f t="shared" si="333"/>
        <v>750</v>
      </c>
      <c r="AD268" s="56">
        <f t="shared" si="333"/>
        <v>750</v>
      </c>
      <c r="AE268" s="56">
        <f t="shared" si="333"/>
        <v>750</v>
      </c>
      <c r="AF268" s="56">
        <f t="shared" si="300"/>
        <v>261.43961538461554</v>
      </c>
      <c r="AG268" s="56">
        <f t="shared" si="333"/>
        <v>750</v>
      </c>
      <c r="AH268" s="56">
        <f>'Mortgage and Loans'!AF225</f>
        <v>0</v>
      </c>
      <c r="AI268" s="56">
        <f>'Mortgage and Loans'!AQ225</f>
        <v>0</v>
      </c>
      <c r="AJ268" s="56">
        <f>'Mortgage and Loans'!BB225</f>
        <v>0</v>
      </c>
      <c r="AK268" s="56">
        <f>'Mortgage and Loans'!BM225</f>
        <v>0</v>
      </c>
      <c r="AL268" s="56">
        <f>'Mortgage and Loans'!T230</f>
        <v>0</v>
      </c>
      <c r="AM268" s="12">
        <f t="shared" ref="AM268:AM312" si="345">-SUM(AB268:AL268)</f>
        <v>-4011.4396153846155</v>
      </c>
      <c r="AN268" s="75">
        <f t="shared" si="85"/>
        <v>2566790.2799384403</v>
      </c>
      <c r="AO268" s="86">
        <f>'Mortgage and Loans'!G231</f>
        <v>0</v>
      </c>
      <c r="AP268" s="79">
        <f>('Salary Tax Breakdown'!B$16/12)-Data!AO268</f>
        <v>3447.5</v>
      </c>
      <c r="AQ268" s="87"/>
      <c r="AR268" s="20">
        <f t="shared" si="304"/>
        <v>4011.4396153846155</v>
      </c>
      <c r="AS268" s="20">
        <v>750</v>
      </c>
      <c r="AT268" s="20">
        <v>0</v>
      </c>
      <c r="AU268" s="20">
        <f t="shared" si="305"/>
        <v>4761.4396153846155</v>
      </c>
      <c r="AV268" s="20">
        <f t="shared" si="306"/>
        <v>4761.4396153846155</v>
      </c>
      <c r="AW268" s="51">
        <f t="shared" si="294"/>
        <v>0</v>
      </c>
      <c r="AX268" s="51">
        <f t="shared" si="334"/>
        <v>0</v>
      </c>
      <c r="AY268" s="51">
        <f t="shared" si="335"/>
        <v>0</v>
      </c>
      <c r="AZ268" s="51">
        <f t="shared" si="336"/>
        <v>0</v>
      </c>
      <c r="BA268" s="51">
        <f t="shared" si="337"/>
        <v>0</v>
      </c>
      <c r="BB268" s="51">
        <f t="shared" si="338"/>
        <v>0</v>
      </c>
      <c r="BC268" s="51">
        <f t="shared" si="339"/>
        <v>0</v>
      </c>
      <c r="BD268" s="51">
        <f t="shared" si="340"/>
        <v>0</v>
      </c>
      <c r="BE268" s="51">
        <f t="shared" si="341"/>
        <v>0</v>
      </c>
      <c r="BF268" s="51">
        <f t="shared" si="342"/>
        <v>0</v>
      </c>
      <c r="BG268" s="51">
        <f t="shared" si="343"/>
        <v>0</v>
      </c>
      <c r="BH268" s="51">
        <f t="shared" si="344"/>
        <v>0</v>
      </c>
      <c r="BI268" s="51">
        <f t="shared" si="307"/>
        <v>0</v>
      </c>
      <c r="BJ268" s="51">
        <f t="shared" si="308"/>
        <v>0</v>
      </c>
      <c r="BK268" s="51">
        <f t="shared" si="309"/>
        <v>0</v>
      </c>
      <c r="BL268" s="51">
        <f t="shared" si="310"/>
        <v>0</v>
      </c>
      <c r="BM268" s="51">
        <f t="shared" si="311"/>
        <v>0</v>
      </c>
      <c r="BN268" s="51">
        <f t="shared" si="312"/>
        <v>0</v>
      </c>
      <c r="BO268" s="51">
        <f t="shared" si="313"/>
        <v>0</v>
      </c>
      <c r="BP268" s="51">
        <f t="shared" si="314"/>
        <v>0</v>
      </c>
      <c r="BQ268" s="51">
        <f t="shared" si="315"/>
        <v>0</v>
      </c>
      <c r="BR268" s="51">
        <f t="shared" si="316"/>
        <v>0</v>
      </c>
      <c r="BS268" s="51">
        <f t="shared" si="317"/>
        <v>0</v>
      </c>
      <c r="BT268" s="51">
        <f t="shared" si="318"/>
        <v>0</v>
      </c>
      <c r="BU268" s="20">
        <f t="shared" si="319"/>
        <v>4761.4396153846155</v>
      </c>
      <c r="BV268" s="20">
        <f t="shared" si="320"/>
        <v>4761.4396153846164</v>
      </c>
      <c r="BW268" s="20">
        <f t="shared" si="321"/>
        <v>57137.275384615386</v>
      </c>
      <c r="BX268" s="20">
        <f t="shared" si="322"/>
        <v>57137.275384615386</v>
      </c>
      <c r="BY268" s="20">
        <f t="shared" si="323"/>
        <v>57137.275384615394</v>
      </c>
      <c r="BZ268" s="21">
        <f t="shared" si="324"/>
        <v>57137.275384615386</v>
      </c>
      <c r="CA268" s="19">
        <f t="shared" ref="CA268:CA312" si="346">$BZ268/CA$11</f>
        <v>1428431.8846153847</v>
      </c>
      <c r="CB268" s="20">
        <f t="shared" si="325"/>
        <v>1428431.8846153847</v>
      </c>
      <c r="CC268" s="20">
        <f t="shared" si="326"/>
        <v>1428431.8846153843</v>
      </c>
      <c r="CD268" s="20">
        <f t="shared" si="298"/>
        <v>0</v>
      </c>
      <c r="CE268" s="20">
        <f t="shared" si="302"/>
        <v>1400000</v>
      </c>
      <c r="CF268" s="20">
        <f t="shared" si="295"/>
        <v>2365838.5974815292</v>
      </c>
      <c r="CG268" s="20">
        <f t="shared" si="327"/>
        <v>94633.543899261174</v>
      </c>
      <c r="CH268" s="20">
        <f t="shared" si="296"/>
        <v>7886.1286582717648</v>
      </c>
      <c r="CI268" s="20">
        <f t="shared" si="328"/>
        <v>2353455.1149002025</v>
      </c>
      <c r="CJ268" s="24">
        <f t="shared" si="329"/>
        <v>1.6562488018940769</v>
      </c>
      <c r="CK268" s="24">
        <f t="shared" si="330"/>
        <v>5.2713470319922361E-3</v>
      </c>
      <c r="CL268" s="24">
        <f t="shared" si="331"/>
        <v>1.5895222860181205E-2</v>
      </c>
      <c r="CM268" s="25">
        <f t="shared" si="332"/>
        <v>6.5068239162465694E-2</v>
      </c>
      <c r="CN268" s="17"/>
      <c r="CO268" s="17"/>
      <c r="CP268" s="17"/>
      <c r="CQ268" s="17"/>
      <c r="CR268" s="17"/>
      <c r="CS268" s="17"/>
      <c r="CT268" s="17"/>
      <c r="CU268" s="17"/>
      <c r="CV268" s="17"/>
      <c r="CW268" s="30">
        <v>0</v>
      </c>
      <c r="CX268" s="17"/>
      <c r="CY268" s="17"/>
      <c r="CZ268" s="17"/>
      <c r="DA268" s="17"/>
      <c r="DB268" s="17"/>
    </row>
    <row r="269" spans="1:106" ht="15.75" thickBot="1" x14ac:dyDescent="0.3">
      <c r="A269" s="5">
        <f t="shared" si="299"/>
        <v>46</v>
      </c>
      <c r="B269" s="5">
        <f t="shared" si="299"/>
        <v>44</v>
      </c>
      <c r="C269" s="1"/>
      <c r="D269" s="4"/>
      <c r="E269" s="30"/>
      <c r="F269" s="30"/>
      <c r="G269" s="30">
        <f t="shared" si="303"/>
        <v>0</v>
      </c>
      <c r="H269" s="30"/>
      <c r="I269" s="10">
        <v>0</v>
      </c>
      <c r="J269" s="60">
        <v>9000</v>
      </c>
      <c r="K269" s="11">
        <v>550</v>
      </c>
      <c r="L269" s="60">
        <f t="shared" si="72"/>
        <v>12022.631886466681</v>
      </c>
      <c r="M269" s="11">
        <v>305</v>
      </c>
      <c r="N269" s="60">
        <v>0</v>
      </c>
      <c r="O269" s="11">
        <v>0</v>
      </c>
      <c r="P269" s="11">
        <v>0</v>
      </c>
      <c r="Q269" s="60">
        <f>(Q268*($K$1/12))+Q268 + $Q$8</f>
        <v>364896.78711921547</v>
      </c>
      <c r="R269" s="60">
        <f>(R268*($K$1/12))+R268</f>
        <v>15861.240325498355</v>
      </c>
      <c r="S269" s="60">
        <f>(S268*($K$1/12))+S268</f>
        <v>13770.73849018357</v>
      </c>
      <c r="T269" s="60">
        <f>(T268*($K$1/12))+T268+$T$8</f>
        <v>1376212.8869792868</v>
      </c>
      <c r="U269" s="60">
        <f>(U268*$K$1/12) + U268</f>
        <v>167552.70237277006</v>
      </c>
      <c r="V269" s="60">
        <v>3100</v>
      </c>
      <c r="W269" s="60">
        <f>(W268*($K$1/12))+W268+$W$8</f>
        <v>116301.91027698222</v>
      </c>
      <c r="X269" s="11">
        <v>0</v>
      </c>
      <c r="Y269" s="60">
        <f>(Y268*($K$1/12))+Y268+$Y$8</f>
        <v>323715.29098728427</v>
      </c>
      <c r="Z269" s="60">
        <f>'Mortgage and Loans'!U231</f>
        <v>180000</v>
      </c>
      <c r="AA269" s="12">
        <f t="shared" si="293"/>
        <v>2583289.1884376872</v>
      </c>
      <c r="AB269" s="56">
        <f t="shared" si="333"/>
        <v>750</v>
      </c>
      <c r="AC269" s="56">
        <f t="shared" si="333"/>
        <v>750</v>
      </c>
      <c r="AD269" s="56">
        <f t="shared" si="333"/>
        <v>750</v>
      </c>
      <c r="AE269" s="56">
        <f t="shared" si="333"/>
        <v>750</v>
      </c>
      <c r="AF269" s="56">
        <f t="shared" si="300"/>
        <v>261.43961538461554</v>
      </c>
      <c r="AG269" s="56">
        <f t="shared" si="333"/>
        <v>750</v>
      </c>
      <c r="AH269" s="56">
        <f>'Mortgage and Loans'!AF226</f>
        <v>0</v>
      </c>
      <c r="AI269" s="56">
        <f>'Mortgage and Loans'!AQ226</f>
        <v>0</v>
      </c>
      <c r="AJ269" s="56">
        <f>'Mortgage and Loans'!BB226</f>
        <v>0</v>
      </c>
      <c r="AK269" s="56">
        <f>'Mortgage and Loans'!BM226</f>
        <v>0</v>
      </c>
      <c r="AL269" s="56">
        <f>'Mortgage and Loans'!T231</f>
        <v>0</v>
      </c>
      <c r="AM269" s="12">
        <f t="shared" si="345"/>
        <v>-4011.4396153846155</v>
      </c>
      <c r="AN269" s="75">
        <f t="shared" si="85"/>
        <v>2579277.7488223026</v>
      </c>
      <c r="AO269" s="86">
        <f>'Mortgage and Loans'!G232</f>
        <v>0</v>
      </c>
      <c r="AP269" s="79">
        <f>('Salary Tax Breakdown'!B$16/12)-Data!AO269</f>
        <v>3447.5</v>
      </c>
      <c r="AQ269" s="87"/>
      <c r="AR269" s="20">
        <f t="shared" si="304"/>
        <v>4011.4396153846155</v>
      </c>
      <c r="AS269" s="20">
        <v>750</v>
      </c>
      <c r="AT269" s="20">
        <v>0</v>
      </c>
      <c r="AU269" s="20">
        <f t="shared" si="305"/>
        <v>4761.4396153846155</v>
      </c>
      <c r="AV269" s="20">
        <f t="shared" si="306"/>
        <v>4761.4396153846155</v>
      </c>
      <c r="AW269" s="51">
        <f t="shared" si="294"/>
        <v>0</v>
      </c>
      <c r="AX269" s="51">
        <f t="shared" si="334"/>
        <v>0</v>
      </c>
      <c r="AY269" s="51">
        <f t="shared" si="335"/>
        <v>0</v>
      </c>
      <c r="AZ269" s="51">
        <f t="shared" si="336"/>
        <v>0</v>
      </c>
      <c r="BA269" s="51">
        <f t="shared" si="337"/>
        <v>0</v>
      </c>
      <c r="BB269" s="51">
        <f t="shared" si="338"/>
        <v>0</v>
      </c>
      <c r="BC269" s="51">
        <f t="shared" si="339"/>
        <v>0</v>
      </c>
      <c r="BD269" s="51">
        <f t="shared" si="340"/>
        <v>0</v>
      </c>
      <c r="BE269" s="51">
        <f t="shared" si="341"/>
        <v>0</v>
      </c>
      <c r="BF269" s="51">
        <f t="shared" si="342"/>
        <v>0</v>
      </c>
      <c r="BG269" s="51">
        <f t="shared" si="343"/>
        <v>0</v>
      </c>
      <c r="BH269" s="51">
        <f t="shared" si="344"/>
        <v>0</v>
      </c>
      <c r="BI269" s="51">
        <f t="shared" si="307"/>
        <v>0</v>
      </c>
      <c r="BJ269" s="51">
        <f t="shared" si="308"/>
        <v>0</v>
      </c>
      <c r="BK269" s="51">
        <f t="shared" si="309"/>
        <v>0</v>
      </c>
      <c r="BL269" s="51">
        <f t="shared" si="310"/>
        <v>0</v>
      </c>
      <c r="BM269" s="51">
        <f t="shared" si="311"/>
        <v>0</v>
      </c>
      <c r="BN269" s="51">
        <f t="shared" si="312"/>
        <v>0</v>
      </c>
      <c r="BO269" s="51">
        <f t="shared" si="313"/>
        <v>0</v>
      </c>
      <c r="BP269" s="51">
        <f t="shared" si="314"/>
        <v>0</v>
      </c>
      <c r="BQ269" s="51">
        <f t="shared" si="315"/>
        <v>0</v>
      </c>
      <c r="BR269" s="51">
        <f t="shared" si="316"/>
        <v>0</v>
      </c>
      <c r="BS269" s="51">
        <f t="shared" si="317"/>
        <v>0</v>
      </c>
      <c r="BT269" s="51">
        <f t="shared" si="318"/>
        <v>0</v>
      </c>
      <c r="BU269" s="20">
        <f t="shared" si="319"/>
        <v>4761.4396153846155</v>
      </c>
      <c r="BV269" s="20">
        <f t="shared" si="320"/>
        <v>4761.4396153846164</v>
      </c>
      <c r="BW269" s="20">
        <f t="shared" si="321"/>
        <v>57137.275384615386</v>
      </c>
      <c r="BX269" s="20">
        <f t="shared" si="322"/>
        <v>57137.275384615386</v>
      </c>
      <c r="BY269" s="20">
        <f t="shared" si="323"/>
        <v>57137.275384615394</v>
      </c>
      <c r="BZ269" s="21">
        <f t="shared" si="324"/>
        <v>57137.275384615386</v>
      </c>
      <c r="CA269" s="19">
        <f t="shared" si="346"/>
        <v>1428431.8846153847</v>
      </c>
      <c r="CB269" s="20">
        <f t="shared" si="325"/>
        <v>1428431.8846153847</v>
      </c>
      <c r="CC269" s="20">
        <f t="shared" si="326"/>
        <v>1428431.8846153843</v>
      </c>
      <c r="CD269" s="20">
        <f t="shared" si="298"/>
        <v>0</v>
      </c>
      <c r="CE269" s="20">
        <f t="shared" si="302"/>
        <v>1400000</v>
      </c>
      <c r="CF269" s="20">
        <f t="shared" si="295"/>
        <v>2378311.5565512208</v>
      </c>
      <c r="CG269" s="20">
        <f t="shared" si="327"/>
        <v>95132.462262048837</v>
      </c>
      <c r="CH269" s="20">
        <f t="shared" si="296"/>
        <v>7927.7051885040701</v>
      </c>
      <c r="CI269" s="20">
        <f t="shared" si="328"/>
        <v>2365860.9967725785</v>
      </c>
      <c r="CJ269" s="24">
        <f t="shared" si="329"/>
        <v>1.6649807261839424</v>
      </c>
      <c r="CK269" s="24">
        <f t="shared" si="330"/>
        <v>5.2721090453800405E-3</v>
      </c>
      <c r="CL269" s="24">
        <f t="shared" si="331"/>
        <v>1.5897544922612084E-2</v>
      </c>
      <c r="CM269" s="25">
        <f t="shared" si="332"/>
        <v>6.5078204864816358E-2</v>
      </c>
      <c r="CN269" s="17"/>
      <c r="CO269" s="17"/>
      <c r="CP269" s="17"/>
      <c r="CQ269" s="17"/>
      <c r="CR269" s="17"/>
      <c r="CS269" s="17"/>
      <c r="CT269" s="17"/>
      <c r="CU269" s="17"/>
      <c r="CV269" s="17"/>
      <c r="CW269" s="30">
        <v>0</v>
      </c>
      <c r="CX269" s="17"/>
      <c r="CY269" s="17"/>
      <c r="CZ269" s="17"/>
      <c r="DA269" s="17"/>
      <c r="DB269" s="17"/>
    </row>
    <row r="270" spans="1:106" ht="15.75" thickBot="1" x14ac:dyDescent="0.3">
      <c r="A270" s="5">
        <f t="shared" si="299"/>
        <v>46</v>
      </c>
      <c r="B270" s="5">
        <f t="shared" si="299"/>
        <v>44</v>
      </c>
      <c r="C270" s="1"/>
      <c r="D270" s="4"/>
      <c r="E270" s="30"/>
      <c r="F270" s="30"/>
      <c r="G270" s="30">
        <f t="shared" si="303"/>
        <v>0</v>
      </c>
      <c r="H270" s="30"/>
      <c r="I270" s="10">
        <v>0</v>
      </c>
      <c r="J270" s="60">
        <v>9000</v>
      </c>
      <c r="K270" s="11">
        <v>550</v>
      </c>
      <c r="L270" s="60">
        <f t="shared" si="72"/>
        <v>12037.159233329494</v>
      </c>
      <c r="M270" s="11">
        <v>305</v>
      </c>
      <c r="N270" s="60">
        <v>0</v>
      </c>
      <c r="O270" s="11">
        <v>0</v>
      </c>
      <c r="P270" s="11">
        <v>0</v>
      </c>
      <c r="Q270" s="60">
        <f>(Q269*($K$1/12))+Q269 + $Q$8</f>
        <v>367331.31138277787</v>
      </c>
      <c r="R270" s="60">
        <f>(R269*($K$1/12))+R269</f>
        <v>15947.155377261472</v>
      </c>
      <c r="S270" s="60">
        <f>(S269*($K$1/12))+S269</f>
        <v>13845.329990338731</v>
      </c>
      <c r="T270" s="60">
        <f>(T269*($K$1/12))+T269+$T$8</f>
        <v>1385167.3734504245</v>
      </c>
      <c r="U270" s="60">
        <f>(U269*$K$1/12) + U269</f>
        <v>168460.27951062255</v>
      </c>
      <c r="V270" s="60">
        <v>3100</v>
      </c>
      <c r="W270" s="60">
        <f>(W269*($K$1/12))+W269+$W$8</f>
        <v>116931.87895764921</v>
      </c>
      <c r="X270" s="11">
        <v>0</v>
      </c>
      <c r="Y270" s="60">
        <f>(Y269*($K$1/12))+Y269+$Y$8</f>
        <v>323168.74881346541</v>
      </c>
      <c r="Z270" s="60">
        <f>'Mortgage and Loans'!U232</f>
        <v>180000</v>
      </c>
      <c r="AA270" s="12">
        <f t="shared" ref="AA270:AA333" si="347">SUM(I270:Z270)</f>
        <v>2595844.236715869</v>
      </c>
      <c r="AB270" s="56">
        <f t="shared" si="333"/>
        <v>750</v>
      </c>
      <c r="AC270" s="56">
        <f t="shared" si="333"/>
        <v>750</v>
      </c>
      <c r="AD270" s="56">
        <f t="shared" si="333"/>
        <v>750</v>
      </c>
      <c r="AE270" s="56">
        <f t="shared" si="333"/>
        <v>750</v>
      </c>
      <c r="AF270" s="56">
        <f t="shared" si="300"/>
        <v>261.43961538461554</v>
      </c>
      <c r="AG270" s="56">
        <f t="shared" si="333"/>
        <v>750</v>
      </c>
      <c r="AH270" s="56">
        <f>'Mortgage and Loans'!AF227</f>
        <v>0</v>
      </c>
      <c r="AI270" s="56">
        <f>'Mortgage and Loans'!AQ227</f>
        <v>0</v>
      </c>
      <c r="AJ270" s="56">
        <f>'Mortgage and Loans'!BB227</f>
        <v>0</v>
      </c>
      <c r="AK270" s="56">
        <f>'Mortgage and Loans'!BM227</f>
        <v>0</v>
      </c>
      <c r="AL270" s="56">
        <f>'Mortgage and Loans'!T232</f>
        <v>0</v>
      </c>
      <c r="AM270" s="12">
        <f t="shared" si="345"/>
        <v>-4011.4396153846155</v>
      </c>
      <c r="AN270" s="75">
        <f t="shared" si="85"/>
        <v>2591832.7971004844</v>
      </c>
      <c r="AO270" s="86">
        <f>'Mortgage and Loans'!G233</f>
        <v>0</v>
      </c>
      <c r="AP270" s="79">
        <f>('Salary Tax Breakdown'!B$16/12)-Data!AO270</f>
        <v>3447.5</v>
      </c>
      <c r="AQ270" s="87"/>
      <c r="AR270" s="20">
        <f t="shared" si="304"/>
        <v>4011.4396153846155</v>
      </c>
      <c r="AS270" s="20">
        <v>750</v>
      </c>
      <c r="AT270" s="20">
        <v>0</v>
      </c>
      <c r="AU270" s="20">
        <f t="shared" si="305"/>
        <v>4761.4396153846155</v>
      </c>
      <c r="AV270" s="20">
        <f t="shared" si="306"/>
        <v>4761.4396153846155</v>
      </c>
      <c r="AW270" s="51">
        <f t="shared" ref="AW270:AW314" si="348">IF(D270=0,0,IF(MONTH($D270)=1,1,0))</f>
        <v>0</v>
      </c>
      <c r="AX270" s="51">
        <f t="shared" si="334"/>
        <v>0</v>
      </c>
      <c r="AY270" s="51">
        <f t="shared" si="335"/>
        <v>0</v>
      </c>
      <c r="AZ270" s="51">
        <f t="shared" si="336"/>
        <v>0</v>
      </c>
      <c r="BA270" s="51">
        <f t="shared" si="337"/>
        <v>0</v>
      </c>
      <c r="BB270" s="51">
        <f t="shared" si="338"/>
        <v>0</v>
      </c>
      <c r="BC270" s="51">
        <f t="shared" si="339"/>
        <v>0</v>
      </c>
      <c r="BD270" s="51">
        <f t="shared" si="340"/>
        <v>0</v>
      </c>
      <c r="BE270" s="51">
        <f t="shared" si="341"/>
        <v>0</v>
      </c>
      <c r="BF270" s="51">
        <f t="shared" si="342"/>
        <v>0</v>
      </c>
      <c r="BG270" s="51">
        <f t="shared" si="343"/>
        <v>0</v>
      </c>
      <c r="BH270" s="51">
        <f t="shared" si="344"/>
        <v>0</v>
      </c>
      <c r="BI270" s="51">
        <f t="shared" si="307"/>
        <v>0</v>
      </c>
      <c r="BJ270" s="51">
        <f t="shared" si="308"/>
        <v>0</v>
      </c>
      <c r="BK270" s="51">
        <f t="shared" si="309"/>
        <v>0</v>
      </c>
      <c r="BL270" s="51">
        <f t="shared" si="310"/>
        <v>0</v>
      </c>
      <c r="BM270" s="51">
        <f t="shared" si="311"/>
        <v>0</v>
      </c>
      <c r="BN270" s="51">
        <f t="shared" si="312"/>
        <v>0</v>
      </c>
      <c r="BO270" s="51">
        <f t="shared" si="313"/>
        <v>0</v>
      </c>
      <c r="BP270" s="51">
        <f t="shared" si="314"/>
        <v>0</v>
      </c>
      <c r="BQ270" s="51">
        <f t="shared" si="315"/>
        <v>0</v>
      </c>
      <c r="BR270" s="51">
        <f t="shared" si="316"/>
        <v>0</v>
      </c>
      <c r="BS270" s="51">
        <f t="shared" si="317"/>
        <v>0</v>
      </c>
      <c r="BT270" s="51">
        <f t="shared" si="318"/>
        <v>0</v>
      </c>
      <c r="BU270" s="20">
        <f t="shared" si="319"/>
        <v>4761.4396153846155</v>
      </c>
      <c r="BV270" s="20">
        <f t="shared" si="320"/>
        <v>4761.4396153846164</v>
      </c>
      <c r="BW270" s="20">
        <f t="shared" si="321"/>
        <v>57137.275384615386</v>
      </c>
      <c r="BX270" s="20">
        <f t="shared" si="322"/>
        <v>57137.275384615386</v>
      </c>
      <c r="BY270" s="20">
        <f t="shared" si="323"/>
        <v>57137.275384615394</v>
      </c>
      <c r="BZ270" s="21">
        <f t="shared" si="324"/>
        <v>57137.275384615386</v>
      </c>
      <c r="CA270" s="19">
        <f t="shared" si="346"/>
        <v>1428431.8846153847</v>
      </c>
      <c r="CB270" s="20">
        <f t="shared" si="325"/>
        <v>1428431.8846153847</v>
      </c>
      <c r="CC270" s="20">
        <f t="shared" si="326"/>
        <v>1428431.8846153843</v>
      </c>
      <c r="CD270" s="20">
        <f t="shared" si="298"/>
        <v>0</v>
      </c>
      <c r="CE270" s="20">
        <f t="shared" si="302"/>
        <v>1400000</v>
      </c>
      <c r="CF270" s="20">
        <f t="shared" si="295"/>
        <v>2390852.0774825397</v>
      </c>
      <c r="CG270" s="20">
        <f t="shared" si="327"/>
        <v>95634.083099301584</v>
      </c>
      <c r="CH270" s="20">
        <f t="shared" si="296"/>
        <v>7969.5069249417984</v>
      </c>
      <c r="CI270" s="20">
        <f t="shared" si="328"/>
        <v>2378334.0771717634</v>
      </c>
      <c r="CJ270" s="24">
        <f t="shared" si="329"/>
        <v>1.6737599483970447</v>
      </c>
      <c r="CK270" s="24">
        <f t="shared" si="330"/>
        <v>5.2728671719965156E-3</v>
      </c>
      <c r="CL270" s="24">
        <f t="shared" si="331"/>
        <v>1.5899855148032434E-2</v>
      </c>
      <c r="CM270" s="25">
        <f t="shared" si="332"/>
        <v>6.508811990558494E-2</v>
      </c>
      <c r="CN270" s="17"/>
      <c r="CO270" s="17"/>
      <c r="CP270" s="17"/>
      <c r="CQ270" s="17"/>
      <c r="CR270" s="17"/>
      <c r="CS270" s="17"/>
      <c r="CT270" s="17"/>
      <c r="CU270" s="17"/>
      <c r="CV270" s="17"/>
      <c r="CW270" s="30">
        <v>0</v>
      </c>
      <c r="CX270" s="17"/>
      <c r="CY270" s="17"/>
      <c r="CZ270" s="17"/>
      <c r="DA270" s="17"/>
      <c r="DB270" s="17"/>
    </row>
    <row r="271" spans="1:106" ht="15.75" thickBot="1" x14ac:dyDescent="0.3">
      <c r="A271" s="5">
        <f t="shared" si="299"/>
        <v>46</v>
      </c>
      <c r="B271" s="5">
        <f t="shared" si="299"/>
        <v>44</v>
      </c>
      <c r="C271" s="1"/>
      <c r="D271" s="4"/>
      <c r="E271" s="30"/>
      <c r="F271" s="30"/>
      <c r="G271" s="30">
        <f t="shared" si="303"/>
        <v>0</v>
      </c>
      <c r="H271" s="30"/>
      <c r="I271" s="10">
        <v>0</v>
      </c>
      <c r="J271" s="60">
        <v>9000</v>
      </c>
      <c r="K271" s="11">
        <v>550</v>
      </c>
      <c r="L271" s="60">
        <f t="shared" si="72"/>
        <v>12051.704134069767</v>
      </c>
      <c r="M271" s="11">
        <v>305</v>
      </c>
      <c r="N271" s="60">
        <v>0</v>
      </c>
      <c r="O271" s="11">
        <v>0</v>
      </c>
      <c r="P271" s="11">
        <v>0</v>
      </c>
      <c r="Q271" s="60">
        <f>(Q270*($K$1/12))+Q270 + $Q$8</f>
        <v>369779.02265276795</v>
      </c>
      <c r="R271" s="60">
        <f>(R270*($K$1/12))+R270</f>
        <v>16033.535802221639</v>
      </c>
      <c r="S271" s="60">
        <f>(S270*($K$1/12))+S270</f>
        <v>13920.325527786399</v>
      </c>
      <c r="T271" s="60">
        <f>(T270*($K$1/12))+T270+$T$8</f>
        <v>1394170.3633899477</v>
      </c>
      <c r="U271" s="60">
        <f>(U270*$K$1/12) + U270</f>
        <v>169372.77269130509</v>
      </c>
      <c r="V271" s="60">
        <v>3100</v>
      </c>
      <c r="W271" s="60">
        <f>(W270*($K$1/12))+W270+$W$8</f>
        <v>117565.25996866981</v>
      </c>
      <c r="X271" s="11">
        <v>0</v>
      </c>
      <c r="Y271" s="60">
        <f>(Y270*($K$1/12))+Y270+$Y$8</f>
        <v>322619.24620287167</v>
      </c>
      <c r="Z271" s="60">
        <f>'Mortgage and Loans'!U233</f>
        <v>180000</v>
      </c>
      <c r="AA271" s="12">
        <f t="shared" si="347"/>
        <v>2608467.23036964</v>
      </c>
      <c r="AB271" s="56">
        <f t="shared" si="333"/>
        <v>750</v>
      </c>
      <c r="AC271" s="56">
        <f t="shared" si="333"/>
        <v>750</v>
      </c>
      <c r="AD271" s="56">
        <f t="shared" si="333"/>
        <v>750</v>
      </c>
      <c r="AE271" s="56">
        <f t="shared" si="333"/>
        <v>750</v>
      </c>
      <c r="AF271" s="56">
        <f t="shared" si="300"/>
        <v>261.43961538461554</v>
      </c>
      <c r="AG271" s="56">
        <f t="shared" si="333"/>
        <v>750</v>
      </c>
      <c r="AH271" s="56">
        <f>'Mortgage and Loans'!AF228</f>
        <v>0</v>
      </c>
      <c r="AI271" s="56">
        <f>'Mortgage and Loans'!AQ228</f>
        <v>0</v>
      </c>
      <c r="AJ271" s="56">
        <f>'Mortgage and Loans'!BB228</f>
        <v>0</v>
      </c>
      <c r="AK271" s="56">
        <f>'Mortgage and Loans'!BM228</f>
        <v>0</v>
      </c>
      <c r="AL271" s="56">
        <f>'Mortgage and Loans'!T233</f>
        <v>0</v>
      </c>
      <c r="AM271" s="12">
        <f t="shared" si="345"/>
        <v>-4011.4396153846155</v>
      </c>
      <c r="AN271" s="75">
        <f t="shared" si="85"/>
        <v>2604455.7907542554</v>
      </c>
      <c r="AO271" s="86">
        <f>'Mortgage and Loans'!G234</f>
        <v>0</v>
      </c>
      <c r="AP271" s="79">
        <f>('Salary Tax Breakdown'!B$16/12)-Data!AO271</f>
        <v>3447.5</v>
      </c>
      <c r="AQ271" s="87"/>
      <c r="AR271" s="20">
        <f t="shared" si="304"/>
        <v>4011.4396153846155</v>
      </c>
      <c r="AS271" s="20">
        <v>750</v>
      </c>
      <c r="AT271" s="20">
        <v>0</v>
      </c>
      <c r="AU271" s="20">
        <f t="shared" si="305"/>
        <v>4761.4396153846155</v>
      </c>
      <c r="AV271" s="20">
        <f t="shared" si="306"/>
        <v>4761.4396153846155</v>
      </c>
      <c r="AW271" s="51">
        <f t="shared" si="348"/>
        <v>0</v>
      </c>
      <c r="AX271" s="51">
        <f t="shared" si="334"/>
        <v>0</v>
      </c>
      <c r="AY271" s="51">
        <f t="shared" si="335"/>
        <v>0</v>
      </c>
      <c r="AZ271" s="51">
        <f t="shared" si="336"/>
        <v>0</v>
      </c>
      <c r="BA271" s="51">
        <f t="shared" si="337"/>
        <v>0</v>
      </c>
      <c r="BB271" s="51">
        <f t="shared" si="338"/>
        <v>0</v>
      </c>
      <c r="BC271" s="51">
        <f t="shared" si="339"/>
        <v>0</v>
      </c>
      <c r="BD271" s="51">
        <f t="shared" si="340"/>
        <v>0</v>
      </c>
      <c r="BE271" s="51">
        <f t="shared" si="341"/>
        <v>0</v>
      </c>
      <c r="BF271" s="51">
        <f t="shared" si="342"/>
        <v>0</v>
      </c>
      <c r="BG271" s="51">
        <f t="shared" si="343"/>
        <v>0</v>
      </c>
      <c r="BH271" s="51">
        <f t="shared" si="344"/>
        <v>0</v>
      </c>
      <c r="BI271" s="51">
        <f t="shared" si="307"/>
        <v>0</v>
      </c>
      <c r="BJ271" s="51">
        <f t="shared" si="308"/>
        <v>0</v>
      </c>
      <c r="BK271" s="51">
        <f t="shared" si="309"/>
        <v>0</v>
      </c>
      <c r="BL271" s="51">
        <f t="shared" si="310"/>
        <v>0</v>
      </c>
      <c r="BM271" s="51">
        <f t="shared" si="311"/>
        <v>0</v>
      </c>
      <c r="BN271" s="51">
        <f t="shared" si="312"/>
        <v>0</v>
      </c>
      <c r="BO271" s="51">
        <f t="shared" si="313"/>
        <v>0</v>
      </c>
      <c r="BP271" s="51">
        <f t="shared" si="314"/>
        <v>0</v>
      </c>
      <c r="BQ271" s="51">
        <f t="shared" si="315"/>
        <v>0</v>
      </c>
      <c r="BR271" s="51">
        <f t="shared" si="316"/>
        <v>0</v>
      </c>
      <c r="BS271" s="51">
        <f t="shared" si="317"/>
        <v>0</v>
      </c>
      <c r="BT271" s="51">
        <f t="shared" si="318"/>
        <v>0</v>
      </c>
      <c r="BU271" s="20">
        <f t="shared" si="319"/>
        <v>4761.4396153846155</v>
      </c>
      <c r="BV271" s="20">
        <f t="shared" si="320"/>
        <v>4761.4396153846164</v>
      </c>
      <c r="BW271" s="20">
        <f t="shared" si="321"/>
        <v>57137.275384615386</v>
      </c>
      <c r="BX271" s="20">
        <f t="shared" si="322"/>
        <v>57137.275384615386</v>
      </c>
      <c r="BY271" s="20">
        <f t="shared" si="323"/>
        <v>57137.275384615394</v>
      </c>
      <c r="BZ271" s="21">
        <f t="shared" si="324"/>
        <v>57137.275384615386</v>
      </c>
      <c r="CA271" s="19">
        <f t="shared" si="346"/>
        <v>1428431.8846153847</v>
      </c>
      <c r="CB271" s="20">
        <f t="shared" si="325"/>
        <v>1428431.8846153847</v>
      </c>
      <c r="CC271" s="20">
        <f t="shared" si="326"/>
        <v>1428431.8846153843</v>
      </c>
      <c r="CD271" s="20">
        <f t="shared" si="298"/>
        <v>0</v>
      </c>
      <c r="CE271" s="20">
        <f t="shared" si="302"/>
        <v>1400000</v>
      </c>
      <c r="CF271" s="20">
        <f t="shared" ref="CF271:CF314" si="349">SUM(O271, P271, Q271, R271, S271, T271, W271, X271, Y271,U271)</f>
        <v>2403460.5262355707</v>
      </c>
      <c r="CG271" s="20">
        <f t="shared" si="327"/>
        <v>96138.421049422832</v>
      </c>
      <c r="CH271" s="20">
        <f t="shared" ref="CH271:CH314" si="350">CG271/12</f>
        <v>8011.5350874519027</v>
      </c>
      <c r="CI271" s="20">
        <f t="shared" si="328"/>
        <v>2390874.7200897769</v>
      </c>
      <c r="CJ271" s="24">
        <f t="shared" si="329"/>
        <v>1.6825867247304684</v>
      </c>
      <c r="CK271" s="24">
        <f t="shared" si="330"/>
        <v>5.2736214305266023E-3</v>
      </c>
      <c r="CL271" s="24">
        <f t="shared" si="331"/>
        <v>1.5902153593271556E-2</v>
      </c>
      <c r="CM271" s="25">
        <f t="shared" si="332"/>
        <v>6.5097984526536326E-2</v>
      </c>
      <c r="CN271" s="17"/>
      <c r="CO271" s="17"/>
      <c r="CP271" s="17"/>
      <c r="CQ271" s="17"/>
      <c r="CR271" s="17"/>
      <c r="CS271" s="17"/>
      <c r="CT271" s="17"/>
      <c r="CU271" s="17"/>
      <c r="CV271" s="17"/>
      <c r="CW271" s="30">
        <v>0</v>
      </c>
      <c r="CX271" s="17"/>
      <c r="CY271" s="17"/>
      <c r="CZ271" s="17"/>
      <c r="DA271" s="17"/>
      <c r="DB271" s="17"/>
    </row>
    <row r="272" spans="1:106" ht="15.75" thickBot="1" x14ac:dyDescent="0.3">
      <c r="A272" s="5">
        <f t="shared" si="299"/>
        <v>46</v>
      </c>
      <c r="B272" s="5">
        <f t="shared" si="299"/>
        <v>44</v>
      </c>
      <c r="C272" s="1"/>
      <c r="D272" s="4"/>
      <c r="E272" s="30"/>
      <c r="F272" s="30"/>
      <c r="G272" s="30">
        <f t="shared" si="303"/>
        <v>0</v>
      </c>
      <c r="H272" s="30"/>
      <c r="I272" s="10">
        <v>0</v>
      </c>
      <c r="J272" s="60">
        <v>9000</v>
      </c>
      <c r="K272" s="11">
        <v>550</v>
      </c>
      <c r="L272" s="60">
        <f t="shared" si="72"/>
        <v>12066.266609898434</v>
      </c>
      <c r="M272" s="11">
        <v>305</v>
      </c>
      <c r="N272" s="60">
        <v>0</v>
      </c>
      <c r="O272" s="11">
        <v>0</v>
      </c>
      <c r="P272" s="11">
        <v>0</v>
      </c>
      <c r="Q272" s="60">
        <f>(Q271*($K$1/12))+Q271 + $Q$8</f>
        <v>372239.99235880375</v>
      </c>
      <c r="R272" s="60">
        <f>(R271*($K$1/12))+R271</f>
        <v>16120.384121150339</v>
      </c>
      <c r="S272" s="60">
        <f>(S271*($K$1/12))+S271</f>
        <v>13995.727291061909</v>
      </c>
      <c r="T272" s="60">
        <f>(T271*($K$1/12))+T271+$T$8</f>
        <v>1403222.1195249765</v>
      </c>
      <c r="U272" s="60">
        <f>(U271*$K$1/12) + U271</f>
        <v>170290.20854338299</v>
      </c>
      <c r="V272" s="60">
        <v>3100</v>
      </c>
      <c r="W272" s="60">
        <f>(W271*($K$1/12))+W271+$W$8</f>
        <v>118202.0717935001</v>
      </c>
      <c r="X272" s="11">
        <v>0</v>
      </c>
      <c r="Y272" s="60">
        <f>(Y271*($K$1/12))+Y271+$Y$8</f>
        <v>322066.76711980387</v>
      </c>
      <c r="Z272" s="60">
        <f>'Mortgage and Loans'!U234</f>
        <v>180000</v>
      </c>
      <c r="AA272" s="12">
        <f t="shared" si="347"/>
        <v>2621158.5373625779</v>
      </c>
      <c r="AB272" s="56">
        <f t="shared" si="333"/>
        <v>750</v>
      </c>
      <c r="AC272" s="56">
        <f t="shared" si="333"/>
        <v>750</v>
      </c>
      <c r="AD272" s="56">
        <f t="shared" si="333"/>
        <v>750</v>
      </c>
      <c r="AE272" s="56">
        <f t="shared" si="333"/>
        <v>750</v>
      </c>
      <c r="AF272" s="56">
        <f t="shared" si="300"/>
        <v>261.43961538461554</v>
      </c>
      <c r="AG272" s="56">
        <f t="shared" si="333"/>
        <v>750</v>
      </c>
      <c r="AH272" s="56">
        <f>'Mortgage and Loans'!AF229</f>
        <v>0</v>
      </c>
      <c r="AI272" s="56">
        <f>'Mortgage and Loans'!AQ229</f>
        <v>0</v>
      </c>
      <c r="AJ272" s="56">
        <f>'Mortgage and Loans'!BB229</f>
        <v>0</v>
      </c>
      <c r="AK272" s="56">
        <f>'Mortgage and Loans'!BM229</f>
        <v>0</v>
      </c>
      <c r="AL272" s="56">
        <f>'Mortgage and Loans'!T234</f>
        <v>0</v>
      </c>
      <c r="AM272" s="12">
        <f t="shared" si="345"/>
        <v>-4011.4396153846155</v>
      </c>
      <c r="AN272" s="75">
        <f t="shared" si="85"/>
        <v>2617147.0977471932</v>
      </c>
      <c r="AO272" s="86">
        <f>'Mortgage and Loans'!G235</f>
        <v>0</v>
      </c>
      <c r="AP272" s="79">
        <f>('Salary Tax Breakdown'!B$16/12)-Data!AO272</f>
        <v>3447.5</v>
      </c>
      <c r="AQ272" s="87"/>
      <c r="AR272" s="20">
        <f t="shared" si="304"/>
        <v>4011.4396153846155</v>
      </c>
      <c r="AS272" s="20">
        <v>750</v>
      </c>
      <c r="AT272" s="20">
        <v>0</v>
      </c>
      <c r="AU272" s="20">
        <f t="shared" si="305"/>
        <v>4761.4396153846155</v>
      </c>
      <c r="AV272" s="20">
        <f t="shared" si="306"/>
        <v>4761.4396153846155</v>
      </c>
      <c r="AW272" s="51">
        <f t="shared" si="348"/>
        <v>0</v>
      </c>
      <c r="AX272" s="51">
        <f t="shared" si="334"/>
        <v>0</v>
      </c>
      <c r="AY272" s="51">
        <f t="shared" si="335"/>
        <v>0</v>
      </c>
      <c r="AZ272" s="51">
        <f t="shared" si="336"/>
        <v>0</v>
      </c>
      <c r="BA272" s="51">
        <f t="shared" si="337"/>
        <v>0</v>
      </c>
      <c r="BB272" s="51">
        <f t="shared" si="338"/>
        <v>0</v>
      </c>
      <c r="BC272" s="51">
        <f t="shared" si="339"/>
        <v>0</v>
      </c>
      <c r="BD272" s="51">
        <f t="shared" si="340"/>
        <v>0</v>
      </c>
      <c r="BE272" s="51">
        <f t="shared" si="341"/>
        <v>0</v>
      </c>
      <c r="BF272" s="51">
        <f t="shared" si="342"/>
        <v>0</v>
      </c>
      <c r="BG272" s="51">
        <f t="shared" si="343"/>
        <v>0</v>
      </c>
      <c r="BH272" s="51">
        <f t="shared" si="344"/>
        <v>0</v>
      </c>
      <c r="BI272" s="51">
        <f t="shared" si="307"/>
        <v>0</v>
      </c>
      <c r="BJ272" s="51">
        <f t="shared" si="308"/>
        <v>0</v>
      </c>
      <c r="BK272" s="51">
        <f t="shared" si="309"/>
        <v>0</v>
      </c>
      <c r="BL272" s="51">
        <f t="shared" si="310"/>
        <v>0</v>
      </c>
      <c r="BM272" s="51">
        <f t="shared" si="311"/>
        <v>0</v>
      </c>
      <c r="BN272" s="51">
        <f t="shared" si="312"/>
        <v>0</v>
      </c>
      <c r="BO272" s="51">
        <f t="shared" si="313"/>
        <v>0</v>
      </c>
      <c r="BP272" s="51">
        <f t="shared" si="314"/>
        <v>0</v>
      </c>
      <c r="BQ272" s="51">
        <f t="shared" si="315"/>
        <v>0</v>
      </c>
      <c r="BR272" s="51">
        <f t="shared" si="316"/>
        <v>0</v>
      </c>
      <c r="BS272" s="51">
        <f t="shared" si="317"/>
        <v>0</v>
      </c>
      <c r="BT272" s="51">
        <f t="shared" si="318"/>
        <v>0</v>
      </c>
      <c r="BU272" s="20">
        <f t="shared" si="319"/>
        <v>4761.4396153846155</v>
      </c>
      <c r="BV272" s="20">
        <f t="shared" si="320"/>
        <v>4761.4396153846164</v>
      </c>
      <c r="BW272" s="20">
        <f t="shared" si="321"/>
        <v>57137.275384615386</v>
      </c>
      <c r="BX272" s="20">
        <f t="shared" si="322"/>
        <v>57137.275384615386</v>
      </c>
      <c r="BY272" s="20">
        <f t="shared" si="323"/>
        <v>57137.275384615394</v>
      </c>
      <c r="BZ272" s="21">
        <f t="shared" si="324"/>
        <v>57137.275384615386</v>
      </c>
      <c r="CA272" s="19">
        <f t="shared" si="346"/>
        <v>1428431.8846153847</v>
      </c>
      <c r="CB272" s="20">
        <f t="shared" si="325"/>
        <v>1428431.8846153847</v>
      </c>
      <c r="CC272" s="20">
        <f t="shared" si="326"/>
        <v>1428431.8846153843</v>
      </c>
      <c r="CD272" s="20">
        <f t="shared" si="298"/>
        <v>0</v>
      </c>
      <c r="CE272" s="20">
        <f t="shared" si="302"/>
        <v>1400000</v>
      </c>
      <c r="CF272" s="20">
        <f t="shared" si="349"/>
        <v>2416137.2707526796</v>
      </c>
      <c r="CG272" s="20">
        <f t="shared" si="327"/>
        <v>96645.490830107185</v>
      </c>
      <c r="CH272" s="20">
        <f t="shared" si="350"/>
        <v>8053.790902508932</v>
      </c>
      <c r="CI272" s="20">
        <f t="shared" si="328"/>
        <v>2403483.2914902633</v>
      </c>
      <c r="CJ272" s="24">
        <f t="shared" si="329"/>
        <v>1.691461312769031</v>
      </c>
      <c r="CK272" s="24">
        <f t="shared" si="330"/>
        <v>5.2743718395757847E-3</v>
      </c>
      <c r="CL272" s="24">
        <f t="shared" si="331"/>
        <v>1.590444031492225E-2</v>
      </c>
      <c r="CM272" s="25">
        <f t="shared" si="332"/>
        <v>6.5107798968444819E-2</v>
      </c>
      <c r="CN272" s="17"/>
      <c r="CO272" s="17"/>
      <c r="CP272" s="17"/>
      <c r="CQ272" s="17"/>
      <c r="CR272" s="17"/>
      <c r="CS272" s="17"/>
      <c r="CT272" s="17"/>
      <c r="CU272" s="17"/>
      <c r="CV272" s="17"/>
      <c r="CW272" s="30">
        <v>0</v>
      </c>
      <c r="CX272" s="17"/>
      <c r="CY272" s="17"/>
      <c r="CZ272" s="17"/>
      <c r="DA272" s="17"/>
      <c r="DB272" s="17"/>
    </row>
    <row r="273" spans="1:106" ht="15.75" thickBot="1" x14ac:dyDescent="0.3">
      <c r="A273" s="5">
        <f t="shared" si="299"/>
        <v>46</v>
      </c>
      <c r="B273" s="5">
        <f t="shared" si="299"/>
        <v>44</v>
      </c>
      <c r="C273" s="1"/>
      <c r="D273" s="4"/>
      <c r="E273" s="30"/>
      <c r="F273" s="30"/>
      <c r="G273" s="30">
        <f t="shared" si="303"/>
        <v>0</v>
      </c>
      <c r="H273" s="30"/>
      <c r="I273" s="10">
        <v>0</v>
      </c>
      <c r="J273" s="60">
        <v>9000</v>
      </c>
      <c r="K273" s="11">
        <v>550</v>
      </c>
      <c r="L273" s="60">
        <f t="shared" si="72"/>
        <v>12080.846682052061</v>
      </c>
      <c r="M273" s="11">
        <v>305</v>
      </c>
      <c r="N273" s="60">
        <v>0</v>
      </c>
      <c r="O273" s="11">
        <v>0</v>
      </c>
      <c r="P273" s="11">
        <v>0</v>
      </c>
      <c r="Q273" s="60">
        <f>(Q272*($K$1/12))+Q272 + $Q$8</f>
        <v>374714.29231741396</v>
      </c>
      <c r="R273" s="60">
        <f>(R272*($K$1/12))+R272</f>
        <v>16207.702868473236</v>
      </c>
      <c r="S273" s="60">
        <f>(S272*($K$1/12))+S272</f>
        <v>14071.53748055516</v>
      </c>
      <c r="T273" s="60">
        <f>(T272*($K$1/12))+T272+$T$8</f>
        <v>1412322.9060057367</v>
      </c>
      <c r="U273" s="60">
        <f>(U272*$K$1/12) + U272</f>
        <v>171212.61383965964</v>
      </c>
      <c r="V273" s="60">
        <v>3100</v>
      </c>
      <c r="W273" s="60">
        <f>(W272*($K$1/12))+W272+$W$8</f>
        <v>118842.33301571489</v>
      </c>
      <c r="X273" s="11">
        <v>0</v>
      </c>
      <c r="Y273" s="60">
        <f>(Y272*($K$1/12))+Y272+$Y$8</f>
        <v>321511.29544170282</v>
      </c>
      <c r="Z273" s="60">
        <f>'Mortgage and Loans'!U235</f>
        <v>180000</v>
      </c>
      <c r="AA273" s="12">
        <f t="shared" si="347"/>
        <v>2633918.5276513086</v>
      </c>
      <c r="AB273" s="56">
        <f t="shared" si="333"/>
        <v>750</v>
      </c>
      <c r="AC273" s="56">
        <f t="shared" si="333"/>
        <v>750</v>
      </c>
      <c r="AD273" s="56">
        <f t="shared" si="333"/>
        <v>750</v>
      </c>
      <c r="AE273" s="56">
        <f t="shared" si="333"/>
        <v>750</v>
      </c>
      <c r="AF273" s="56">
        <f t="shared" si="300"/>
        <v>261.43961538461554</v>
      </c>
      <c r="AG273" s="56">
        <f t="shared" si="333"/>
        <v>750</v>
      </c>
      <c r="AH273" s="56">
        <f>'Mortgage and Loans'!AF230</f>
        <v>0</v>
      </c>
      <c r="AI273" s="56">
        <f>'Mortgage and Loans'!AQ230</f>
        <v>0</v>
      </c>
      <c r="AJ273" s="56">
        <f>'Mortgage and Loans'!BB230</f>
        <v>0</v>
      </c>
      <c r="AK273" s="56">
        <f>'Mortgage and Loans'!BM230</f>
        <v>0</v>
      </c>
      <c r="AL273" s="56">
        <f>'Mortgage and Loans'!T235</f>
        <v>0</v>
      </c>
      <c r="AM273" s="12">
        <f t="shared" si="345"/>
        <v>-4011.4396153846155</v>
      </c>
      <c r="AN273" s="75">
        <f t="shared" si="85"/>
        <v>2629907.0880359239</v>
      </c>
      <c r="AO273" s="86">
        <f>'Mortgage and Loans'!G236</f>
        <v>0</v>
      </c>
      <c r="AP273" s="79">
        <f>('Salary Tax Breakdown'!B$16/12)-Data!AO273</f>
        <v>3447.5</v>
      </c>
      <c r="AQ273" s="87"/>
      <c r="AR273" s="20">
        <f t="shared" si="304"/>
        <v>4011.4396153846155</v>
      </c>
      <c r="AS273" s="20">
        <v>750</v>
      </c>
      <c r="AT273" s="20">
        <v>0</v>
      </c>
      <c r="AU273" s="20">
        <f t="shared" si="305"/>
        <v>4761.4396153846155</v>
      </c>
      <c r="AV273" s="20">
        <f t="shared" si="306"/>
        <v>4761.4396153846155</v>
      </c>
      <c r="AW273" s="51">
        <f t="shared" si="348"/>
        <v>0</v>
      </c>
      <c r="AX273" s="51">
        <f t="shared" si="334"/>
        <v>0</v>
      </c>
      <c r="AY273" s="51">
        <f t="shared" si="335"/>
        <v>0</v>
      </c>
      <c r="AZ273" s="51">
        <f t="shared" si="336"/>
        <v>0</v>
      </c>
      <c r="BA273" s="51">
        <f t="shared" si="337"/>
        <v>0</v>
      </c>
      <c r="BB273" s="51">
        <f t="shared" si="338"/>
        <v>0</v>
      </c>
      <c r="BC273" s="51">
        <f t="shared" si="339"/>
        <v>0</v>
      </c>
      <c r="BD273" s="51">
        <f t="shared" si="340"/>
        <v>0</v>
      </c>
      <c r="BE273" s="51">
        <f t="shared" si="341"/>
        <v>0</v>
      </c>
      <c r="BF273" s="51">
        <f t="shared" si="342"/>
        <v>0</v>
      </c>
      <c r="BG273" s="51">
        <f t="shared" si="343"/>
        <v>0</v>
      </c>
      <c r="BH273" s="51">
        <f t="shared" si="344"/>
        <v>0</v>
      </c>
      <c r="BI273" s="51">
        <f t="shared" si="307"/>
        <v>0</v>
      </c>
      <c r="BJ273" s="51">
        <f t="shared" si="308"/>
        <v>0</v>
      </c>
      <c r="BK273" s="51">
        <f t="shared" si="309"/>
        <v>0</v>
      </c>
      <c r="BL273" s="51">
        <f t="shared" si="310"/>
        <v>0</v>
      </c>
      <c r="BM273" s="51">
        <f t="shared" si="311"/>
        <v>0</v>
      </c>
      <c r="BN273" s="51">
        <f t="shared" si="312"/>
        <v>0</v>
      </c>
      <c r="BO273" s="51">
        <f t="shared" si="313"/>
        <v>0</v>
      </c>
      <c r="BP273" s="51">
        <f t="shared" si="314"/>
        <v>0</v>
      </c>
      <c r="BQ273" s="51">
        <f t="shared" si="315"/>
        <v>0</v>
      </c>
      <c r="BR273" s="51">
        <f t="shared" si="316"/>
        <v>0</v>
      </c>
      <c r="BS273" s="51">
        <f t="shared" si="317"/>
        <v>0</v>
      </c>
      <c r="BT273" s="51">
        <f t="shared" si="318"/>
        <v>0</v>
      </c>
      <c r="BU273" s="20">
        <f t="shared" si="319"/>
        <v>4761.4396153846155</v>
      </c>
      <c r="BV273" s="20">
        <f t="shared" si="320"/>
        <v>4761.4396153846164</v>
      </c>
      <c r="BW273" s="20">
        <f t="shared" si="321"/>
        <v>57137.275384615386</v>
      </c>
      <c r="BX273" s="20">
        <f t="shared" si="322"/>
        <v>57137.275384615386</v>
      </c>
      <c r="BY273" s="20">
        <f t="shared" si="323"/>
        <v>57137.275384615394</v>
      </c>
      <c r="BZ273" s="21">
        <f t="shared" si="324"/>
        <v>57137.275384615386</v>
      </c>
      <c r="CA273" s="19">
        <f t="shared" si="346"/>
        <v>1428431.8846153847</v>
      </c>
      <c r="CB273" s="20">
        <f t="shared" si="325"/>
        <v>1428431.8846153847</v>
      </c>
      <c r="CC273" s="20">
        <f t="shared" si="326"/>
        <v>1428431.8846153843</v>
      </c>
      <c r="CD273" s="20">
        <f t="shared" si="298"/>
        <v>0</v>
      </c>
      <c r="CE273" s="20">
        <f t="shared" si="302"/>
        <v>1400000</v>
      </c>
      <c r="CF273" s="20">
        <f t="shared" si="349"/>
        <v>2428882.6809692569</v>
      </c>
      <c r="CG273" s="20">
        <f t="shared" si="327"/>
        <v>97155.307238770285</v>
      </c>
      <c r="CH273" s="20">
        <f t="shared" si="350"/>
        <v>8096.2756032308571</v>
      </c>
      <c r="CI273" s="20">
        <f t="shared" si="328"/>
        <v>2416160.1593191694</v>
      </c>
      <c r="CJ273" s="24">
        <f t="shared" si="329"/>
        <v>1.7003839714928028</v>
      </c>
      <c r="CK273" s="24">
        <f t="shared" si="330"/>
        <v>5.2751184176745378E-3</v>
      </c>
      <c r="CL273" s="24">
        <f t="shared" si="331"/>
        <v>1.5906715369343023E-2</v>
      </c>
      <c r="CM273" s="25">
        <f t="shared" si="332"/>
        <v>6.5117563471100912E-2</v>
      </c>
      <c r="CN273" s="17"/>
      <c r="CO273" s="17"/>
      <c r="CP273" s="17"/>
      <c r="CQ273" s="17"/>
      <c r="CR273" s="17"/>
      <c r="CS273" s="17"/>
      <c r="CT273" s="17"/>
      <c r="CU273" s="17"/>
      <c r="CV273" s="17"/>
      <c r="CW273" s="30">
        <v>0</v>
      </c>
      <c r="CX273" s="17"/>
      <c r="CY273" s="17"/>
      <c r="CZ273" s="17"/>
      <c r="DA273" s="17"/>
      <c r="DB273" s="17"/>
    </row>
    <row r="274" spans="1:106" ht="15.75" thickBot="1" x14ac:dyDescent="0.3">
      <c r="A274" s="5">
        <f t="shared" si="299"/>
        <v>46</v>
      </c>
      <c r="B274" s="5">
        <f t="shared" si="299"/>
        <v>44</v>
      </c>
      <c r="C274" s="1"/>
      <c r="D274" s="4"/>
      <c r="E274" s="30"/>
      <c r="F274" s="30"/>
      <c r="G274" s="30">
        <f t="shared" si="303"/>
        <v>0</v>
      </c>
      <c r="H274" s="30"/>
      <c r="I274" s="10">
        <v>0</v>
      </c>
      <c r="J274" s="60">
        <v>9000</v>
      </c>
      <c r="K274" s="11">
        <v>550</v>
      </c>
      <c r="L274" s="60">
        <f t="shared" si="72"/>
        <v>12095.444371792873</v>
      </c>
      <c r="M274" s="11">
        <v>305</v>
      </c>
      <c r="N274" s="60">
        <v>0</v>
      </c>
      <c r="O274" s="11">
        <v>0</v>
      </c>
      <c r="P274" s="11">
        <v>0</v>
      </c>
      <c r="Q274" s="60">
        <f>(Q273*($K$1/12))+Q273 + $Q$8</f>
        <v>377201.9947341333</v>
      </c>
      <c r="R274" s="60">
        <f>(R273*($K$1/12))+R273</f>
        <v>16295.494592344132</v>
      </c>
      <c r="S274" s="60">
        <f>(S273*($K$1/12))+S273</f>
        <v>14147.758308574834</v>
      </c>
      <c r="T274" s="60">
        <f>(T273*($K$1/12))+T273+$T$8</f>
        <v>1421472.9884132678</v>
      </c>
      <c r="U274" s="60">
        <f>(U273*$K$1/12) + U273</f>
        <v>172140.01549795779</v>
      </c>
      <c r="V274" s="60">
        <v>3100</v>
      </c>
      <c r="W274" s="60">
        <f>(W273*($K$1/12))+W273+$W$8</f>
        <v>119486.06231955001</v>
      </c>
      <c r="X274" s="11">
        <v>0</v>
      </c>
      <c r="Y274" s="60">
        <f>(Y273*($K$1/12))+Y273+$Y$8</f>
        <v>320952.81495867873</v>
      </c>
      <c r="Z274" s="60">
        <f>'Mortgage and Loans'!U236</f>
        <v>180000</v>
      </c>
      <c r="AA274" s="12">
        <f t="shared" si="347"/>
        <v>2646747.5731962994</v>
      </c>
      <c r="AB274" s="56">
        <f t="shared" si="333"/>
        <v>750</v>
      </c>
      <c r="AC274" s="56">
        <f t="shared" si="333"/>
        <v>750</v>
      </c>
      <c r="AD274" s="56">
        <f t="shared" si="333"/>
        <v>750</v>
      </c>
      <c r="AE274" s="56">
        <f t="shared" si="333"/>
        <v>750</v>
      </c>
      <c r="AF274" s="56">
        <f t="shared" si="300"/>
        <v>261.43961538461554</v>
      </c>
      <c r="AG274" s="56">
        <f t="shared" si="333"/>
        <v>750</v>
      </c>
      <c r="AH274" s="56">
        <f>'Mortgage and Loans'!AF231</f>
        <v>0</v>
      </c>
      <c r="AI274" s="56">
        <f>'Mortgage and Loans'!AQ231</f>
        <v>0</v>
      </c>
      <c r="AJ274" s="56">
        <f>'Mortgage and Loans'!BB231</f>
        <v>0</v>
      </c>
      <c r="AK274" s="56">
        <f>'Mortgage and Loans'!BM231</f>
        <v>0</v>
      </c>
      <c r="AL274" s="56">
        <f>'Mortgage and Loans'!T236</f>
        <v>0</v>
      </c>
      <c r="AM274" s="12">
        <f t="shared" si="345"/>
        <v>-4011.4396153846155</v>
      </c>
      <c r="AN274" s="75">
        <f t="shared" si="85"/>
        <v>2642736.1335809147</v>
      </c>
      <c r="AO274" s="86">
        <f>'Mortgage and Loans'!G237</f>
        <v>0</v>
      </c>
      <c r="AP274" s="79">
        <f>('Salary Tax Breakdown'!B$16/12)-Data!AO274</f>
        <v>3447.5</v>
      </c>
      <c r="AQ274" s="87"/>
      <c r="AR274" s="20">
        <f t="shared" si="304"/>
        <v>4011.4396153846155</v>
      </c>
      <c r="AS274" s="20">
        <v>750</v>
      </c>
      <c r="AT274" s="20">
        <v>0</v>
      </c>
      <c r="AU274" s="20">
        <f t="shared" si="305"/>
        <v>4761.4396153846155</v>
      </c>
      <c r="AV274" s="20">
        <f t="shared" si="306"/>
        <v>4761.4396153846155</v>
      </c>
      <c r="AW274" s="51">
        <f t="shared" si="348"/>
        <v>0</v>
      </c>
      <c r="AX274" s="51">
        <f t="shared" si="334"/>
        <v>0</v>
      </c>
      <c r="AY274" s="51">
        <f t="shared" si="335"/>
        <v>0</v>
      </c>
      <c r="AZ274" s="51">
        <f t="shared" si="336"/>
        <v>0</v>
      </c>
      <c r="BA274" s="51">
        <f t="shared" si="337"/>
        <v>0</v>
      </c>
      <c r="BB274" s="51">
        <f t="shared" si="338"/>
        <v>0</v>
      </c>
      <c r="BC274" s="51">
        <f t="shared" si="339"/>
        <v>0</v>
      </c>
      <c r="BD274" s="51">
        <f t="shared" si="340"/>
        <v>0</v>
      </c>
      <c r="BE274" s="51">
        <f t="shared" si="341"/>
        <v>0</v>
      </c>
      <c r="BF274" s="51">
        <f t="shared" si="342"/>
        <v>0</v>
      </c>
      <c r="BG274" s="51">
        <f t="shared" si="343"/>
        <v>0</v>
      </c>
      <c r="BH274" s="51">
        <f t="shared" si="344"/>
        <v>0</v>
      </c>
      <c r="BI274" s="51">
        <f t="shared" si="307"/>
        <v>0</v>
      </c>
      <c r="BJ274" s="51">
        <f t="shared" si="308"/>
        <v>0</v>
      </c>
      <c r="BK274" s="51">
        <f t="shared" si="309"/>
        <v>0</v>
      </c>
      <c r="BL274" s="51">
        <f t="shared" si="310"/>
        <v>0</v>
      </c>
      <c r="BM274" s="51">
        <f t="shared" si="311"/>
        <v>0</v>
      </c>
      <c r="BN274" s="51">
        <f t="shared" si="312"/>
        <v>0</v>
      </c>
      <c r="BO274" s="51">
        <f t="shared" si="313"/>
        <v>0</v>
      </c>
      <c r="BP274" s="51">
        <f t="shared" si="314"/>
        <v>0</v>
      </c>
      <c r="BQ274" s="51">
        <f t="shared" si="315"/>
        <v>0</v>
      </c>
      <c r="BR274" s="51">
        <f t="shared" si="316"/>
        <v>0</v>
      </c>
      <c r="BS274" s="51">
        <f t="shared" si="317"/>
        <v>0</v>
      </c>
      <c r="BT274" s="51">
        <f t="shared" si="318"/>
        <v>0</v>
      </c>
      <c r="BU274" s="20">
        <f t="shared" si="319"/>
        <v>4761.4396153846155</v>
      </c>
      <c r="BV274" s="20">
        <f t="shared" si="320"/>
        <v>4761.4396153846164</v>
      </c>
      <c r="BW274" s="20">
        <f t="shared" si="321"/>
        <v>57137.275384615386</v>
      </c>
      <c r="BX274" s="20">
        <f t="shared" si="322"/>
        <v>57137.275384615386</v>
      </c>
      <c r="BY274" s="20">
        <f t="shared" si="323"/>
        <v>57137.275384615394</v>
      </c>
      <c r="BZ274" s="21">
        <f t="shared" si="324"/>
        <v>57137.275384615386</v>
      </c>
      <c r="CA274" s="19">
        <f t="shared" si="346"/>
        <v>1428431.8846153847</v>
      </c>
      <c r="CB274" s="20">
        <f t="shared" si="325"/>
        <v>1428431.8846153847</v>
      </c>
      <c r="CC274" s="20">
        <f t="shared" si="326"/>
        <v>1428431.8846153843</v>
      </c>
      <c r="CD274" s="20">
        <f t="shared" si="298"/>
        <v>0</v>
      </c>
      <c r="CE274" s="20">
        <f t="shared" si="302"/>
        <v>1400000</v>
      </c>
      <c r="CF274" s="20">
        <f t="shared" si="349"/>
        <v>2441697.1288245064</v>
      </c>
      <c r="CG274" s="20">
        <f t="shared" si="327"/>
        <v>97667.885152980263</v>
      </c>
      <c r="CH274" s="20">
        <f t="shared" si="350"/>
        <v>8138.9904294150219</v>
      </c>
      <c r="CI274" s="20">
        <f t="shared" si="328"/>
        <v>2428905.693515481</v>
      </c>
      <c r="CJ274" s="24">
        <f t="shared" si="329"/>
        <v>1.709354961284661</v>
      </c>
      <c r="CK274" s="24">
        <f t="shared" si="330"/>
        <v>5.2758611832728983E-3</v>
      </c>
      <c r="CL274" s="24">
        <f t="shared" si="331"/>
        <v>1.5908978812655593E-2</v>
      </c>
      <c r="CM274" s="25">
        <f t="shared" si="332"/>
        <v>6.5127278273307679E-2</v>
      </c>
      <c r="CN274" s="17"/>
      <c r="CO274" s="17"/>
      <c r="CP274" s="17"/>
      <c r="CQ274" s="17"/>
      <c r="CR274" s="17"/>
      <c r="CS274" s="17"/>
      <c r="CT274" s="17"/>
      <c r="CU274" s="17"/>
      <c r="CV274" s="17"/>
      <c r="CW274" s="30">
        <v>0</v>
      </c>
      <c r="CX274" s="17"/>
      <c r="CY274" s="17"/>
      <c r="CZ274" s="17"/>
      <c r="DA274" s="17"/>
      <c r="DB274" s="17"/>
    </row>
    <row r="275" spans="1:106" ht="15.75" thickBot="1" x14ac:dyDescent="0.3">
      <c r="A275" s="5">
        <f t="shared" si="299"/>
        <v>46</v>
      </c>
      <c r="B275" s="5">
        <f t="shared" si="299"/>
        <v>44</v>
      </c>
      <c r="C275" s="1"/>
      <c r="D275" s="4"/>
      <c r="E275" s="30"/>
      <c r="F275" s="30"/>
      <c r="G275" s="30">
        <f t="shared" si="303"/>
        <v>0</v>
      </c>
      <c r="H275" s="30"/>
      <c r="I275" s="10">
        <v>0</v>
      </c>
      <c r="J275" s="60">
        <v>9000</v>
      </c>
      <c r="K275" s="11">
        <v>550</v>
      </c>
      <c r="L275" s="60">
        <f t="shared" si="72"/>
        <v>12110.059700408789</v>
      </c>
      <c r="M275" s="11">
        <v>305</v>
      </c>
      <c r="N275" s="60">
        <v>0</v>
      </c>
      <c r="O275" s="11">
        <v>0</v>
      </c>
      <c r="P275" s="11">
        <v>0</v>
      </c>
      <c r="Q275" s="60">
        <f>(Q274*($K$1/12))+Q274 + $Q$8</f>
        <v>379703.17220560985</v>
      </c>
      <c r="R275" s="60">
        <f>(R274*($K$1/12))+R274</f>
        <v>16383.761854719329</v>
      </c>
      <c r="S275" s="60">
        <f>(S274*($K$1/12))+S274</f>
        <v>14224.391999412948</v>
      </c>
      <c r="T275" s="60">
        <f>(T274*($K$1/12))+T274+$T$8</f>
        <v>1430672.6337671729</v>
      </c>
      <c r="U275" s="60">
        <f>(U274*$K$1/12) + U274</f>
        <v>173072.44058190507</v>
      </c>
      <c r="V275" s="60">
        <v>3100</v>
      </c>
      <c r="W275" s="60">
        <f>(W274*($K$1/12))+W274+$W$8</f>
        <v>120133.27849044757</v>
      </c>
      <c r="X275" s="11">
        <v>0</v>
      </c>
      <c r="Y275" s="60">
        <f>(Y274*($K$1/12))+Y274+$Y$8</f>
        <v>320391.30937303824</v>
      </c>
      <c r="Z275" s="60">
        <f>'Mortgage and Loans'!U237</f>
        <v>180000</v>
      </c>
      <c r="AA275" s="12">
        <f t="shared" si="347"/>
        <v>2659646.0479727145</v>
      </c>
      <c r="AB275" s="56">
        <f t="shared" si="333"/>
        <v>750</v>
      </c>
      <c r="AC275" s="56">
        <f t="shared" si="333"/>
        <v>750</v>
      </c>
      <c r="AD275" s="56">
        <f t="shared" si="333"/>
        <v>750</v>
      </c>
      <c r="AE275" s="56">
        <f t="shared" si="333"/>
        <v>750</v>
      </c>
      <c r="AF275" s="56">
        <f t="shared" si="300"/>
        <v>261.43961538461554</v>
      </c>
      <c r="AG275" s="56">
        <f t="shared" si="333"/>
        <v>750</v>
      </c>
      <c r="AH275" s="56">
        <f>'Mortgage and Loans'!AF232</f>
        <v>0</v>
      </c>
      <c r="AI275" s="56">
        <f>'Mortgage and Loans'!AQ232</f>
        <v>0</v>
      </c>
      <c r="AJ275" s="56">
        <f>'Mortgage and Loans'!BB232</f>
        <v>0</v>
      </c>
      <c r="AK275" s="56">
        <f>'Mortgage and Loans'!BM232</f>
        <v>0</v>
      </c>
      <c r="AL275" s="56">
        <f>'Mortgage and Loans'!T237</f>
        <v>0</v>
      </c>
      <c r="AM275" s="12">
        <f t="shared" si="345"/>
        <v>-4011.4396153846155</v>
      </c>
      <c r="AN275" s="75">
        <f t="shared" si="85"/>
        <v>2655634.6083573299</v>
      </c>
      <c r="AO275" s="86">
        <f>'Mortgage and Loans'!G238</f>
        <v>0</v>
      </c>
      <c r="AP275" s="79">
        <f>('Salary Tax Breakdown'!B$16/12)-Data!AO275</f>
        <v>3447.5</v>
      </c>
      <c r="AQ275" s="87"/>
      <c r="AR275" s="20">
        <f t="shared" si="304"/>
        <v>4011.4396153846155</v>
      </c>
      <c r="AS275" s="20">
        <v>750</v>
      </c>
      <c r="AT275" s="20">
        <v>0</v>
      </c>
      <c r="AU275" s="20">
        <f t="shared" si="305"/>
        <v>4761.4396153846155</v>
      </c>
      <c r="AV275" s="20">
        <f t="shared" si="306"/>
        <v>4761.4396153846155</v>
      </c>
      <c r="AW275" s="51">
        <f t="shared" si="348"/>
        <v>0</v>
      </c>
      <c r="AX275" s="51">
        <f t="shared" si="334"/>
        <v>0</v>
      </c>
      <c r="AY275" s="51">
        <f t="shared" si="335"/>
        <v>0</v>
      </c>
      <c r="AZ275" s="51">
        <f t="shared" si="336"/>
        <v>0</v>
      </c>
      <c r="BA275" s="51">
        <f t="shared" si="337"/>
        <v>0</v>
      </c>
      <c r="BB275" s="51">
        <f t="shared" si="338"/>
        <v>0</v>
      </c>
      <c r="BC275" s="51">
        <f t="shared" si="339"/>
        <v>0</v>
      </c>
      <c r="BD275" s="51">
        <f t="shared" si="340"/>
        <v>0</v>
      </c>
      <c r="BE275" s="51">
        <f t="shared" si="341"/>
        <v>0</v>
      </c>
      <c r="BF275" s="51">
        <f t="shared" si="342"/>
        <v>0</v>
      </c>
      <c r="BG275" s="51">
        <f t="shared" si="343"/>
        <v>0</v>
      </c>
      <c r="BH275" s="51">
        <f t="shared" si="344"/>
        <v>0</v>
      </c>
      <c r="BI275" s="51">
        <f t="shared" si="307"/>
        <v>0</v>
      </c>
      <c r="BJ275" s="51">
        <f t="shared" si="308"/>
        <v>0</v>
      </c>
      <c r="BK275" s="51">
        <f t="shared" si="309"/>
        <v>0</v>
      </c>
      <c r="BL275" s="51">
        <f t="shared" si="310"/>
        <v>0</v>
      </c>
      <c r="BM275" s="51">
        <f t="shared" si="311"/>
        <v>0</v>
      </c>
      <c r="BN275" s="51">
        <f t="shared" si="312"/>
        <v>0</v>
      </c>
      <c r="BO275" s="51">
        <f t="shared" si="313"/>
        <v>0</v>
      </c>
      <c r="BP275" s="51">
        <f t="shared" si="314"/>
        <v>0</v>
      </c>
      <c r="BQ275" s="51">
        <f t="shared" si="315"/>
        <v>0</v>
      </c>
      <c r="BR275" s="51">
        <f t="shared" si="316"/>
        <v>0</v>
      </c>
      <c r="BS275" s="51">
        <f t="shared" si="317"/>
        <v>0</v>
      </c>
      <c r="BT275" s="51">
        <f t="shared" si="318"/>
        <v>0</v>
      </c>
      <c r="BU275" s="20">
        <f t="shared" si="319"/>
        <v>4761.4396153846155</v>
      </c>
      <c r="BV275" s="20">
        <f t="shared" si="320"/>
        <v>4761.4396153846164</v>
      </c>
      <c r="BW275" s="20">
        <f t="shared" si="321"/>
        <v>57137.275384615386</v>
      </c>
      <c r="BX275" s="20">
        <f t="shared" si="322"/>
        <v>57137.275384615386</v>
      </c>
      <c r="BY275" s="20">
        <f t="shared" si="323"/>
        <v>57137.275384615394</v>
      </c>
      <c r="BZ275" s="21">
        <f t="shared" si="324"/>
        <v>57137.275384615386</v>
      </c>
      <c r="CA275" s="19">
        <f t="shared" si="346"/>
        <v>1428431.8846153847</v>
      </c>
      <c r="CB275" s="20">
        <f t="shared" si="325"/>
        <v>1428431.8846153847</v>
      </c>
      <c r="CC275" s="20">
        <f t="shared" si="326"/>
        <v>1428431.8846153843</v>
      </c>
      <c r="CD275" s="20">
        <f t="shared" si="298"/>
        <v>0</v>
      </c>
      <c r="CE275" s="20">
        <f t="shared" si="302"/>
        <v>1400000</v>
      </c>
      <c r="CF275" s="20">
        <f t="shared" si="349"/>
        <v>2454580.988272306</v>
      </c>
      <c r="CG275" s="20">
        <f t="shared" si="327"/>
        <v>98183.239530892242</v>
      </c>
      <c r="CH275" s="20">
        <f t="shared" si="350"/>
        <v>8181.9366275743532</v>
      </c>
      <c r="CI275" s="20">
        <f t="shared" si="328"/>
        <v>2441720.2660220228</v>
      </c>
      <c r="CJ275" s="24">
        <f t="shared" si="329"/>
        <v>1.7183745439378926</v>
      </c>
      <c r="CK275" s="24">
        <f t="shared" si="330"/>
        <v>5.2766001547465604E-3</v>
      </c>
      <c r="CL275" s="24">
        <f t="shared" si="331"/>
        <v>1.5911230700750057E-2</v>
      </c>
      <c r="CM275" s="25">
        <f t="shared" si="332"/>
        <v>6.5136943612889603E-2</v>
      </c>
      <c r="CN275" s="17"/>
      <c r="CO275" s="17"/>
      <c r="CP275" s="17"/>
      <c r="CQ275" s="17"/>
      <c r="CR275" s="17"/>
      <c r="CS275" s="17"/>
      <c r="CT275" s="17"/>
      <c r="CU275" s="17"/>
      <c r="CV275" s="17"/>
      <c r="CW275" s="30">
        <v>0</v>
      </c>
      <c r="CX275" s="17"/>
      <c r="CY275" s="17"/>
      <c r="CZ275" s="17"/>
      <c r="DA275" s="17"/>
      <c r="DB275" s="17"/>
    </row>
    <row r="276" spans="1:106" ht="15.75" thickBot="1" x14ac:dyDescent="0.3">
      <c r="A276" s="5">
        <f t="shared" si="299"/>
        <v>46</v>
      </c>
      <c r="B276" s="5">
        <f t="shared" si="299"/>
        <v>44</v>
      </c>
      <c r="C276" s="1"/>
      <c r="D276" s="4"/>
      <c r="E276" s="30"/>
      <c r="F276" s="30"/>
      <c r="G276" s="30">
        <f t="shared" si="303"/>
        <v>0</v>
      </c>
      <c r="H276" s="30"/>
      <c r="I276" s="10">
        <v>0</v>
      </c>
      <c r="J276" s="60">
        <v>9000</v>
      </c>
      <c r="K276" s="11">
        <v>550</v>
      </c>
      <c r="L276" s="60">
        <f t="shared" si="72"/>
        <v>12124.692689213449</v>
      </c>
      <c r="M276" s="11">
        <v>305</v>
      </c>
      <c r="N276" s="60">
        <v>0</v>
      </c>
      <c r="O276" s="11">
        <v>0</v>
      </c>
      <c r="P276" s="11">
        <v>0</v>
      </c>
      <c r="Q276" s="60">
        <f>(Q275*($K$1/12))+Q275 + $Q$8</f>
        <v>382217.8977217236</v>
      </c>
      <c r="R276" s="60">
        <f>(R275*($K$1/12))+R275</f>
        <v>16472.507231432392</v>
      </c>
      <c r="S276" s="60">
        <f>(S275*($K$1/12))+S275</f>
        <v>14301.440789409768</v>
      </c>
      <c r="T276" s="60">
        <f>(T275*($K$1/12))+T275+$T$8</f>
        <v>1439922.1105334118</v>
      </c>
      <c r="U276" s="60">
        <f>(U275*$K$1/12) + U275</f>
        <v>174009.91630172372</v>
      </c>
      <c r="V276" s="60">
        <v>3100</v>
      </c>
      <c r="W276" s="60">
        <f>(W275*($K$1/12))+W275+$W$8</f>
        <v>120784.00041560415</v>
      </c>
      <c r="X276" s="11">
        <v>0</v>
      </c>
      <c r="Y276" s="60">
        <f>(Y275*($K$1/12))+Y275+$Y$8</f>
        <v>319826.76229880884</v>
      </c>
      <c r="Z276" s="60">
        <f>'Mortgage and Loans'!U238</f>
        <v>180000</v>
      </c>
      <c r="AA276" s="12">
        <f t="shared" si="347"/>
        <v>2672614.3279813281</v>
      </c>
      <c r="AB276" s="56">
        <f t="shared" si="333"/>
        <v>750</v>
      </c>
      <c r="AC276" s="56">
        <f t="shared" si="333"/>
        <v>750</v>
      </c>
      <c r="AD276" s="56">
        <f t="shared" si="333"/>
        <v>750</v>
      </c>
      <c r="AE276" s="56">
        <f t="shared" si="333"/>
        <v>750</v>
      </c>
      <c r="AF276" s="56">
        <f t="shared" si="300"/>
        <v>261.43961538461554</v>
      </c>
      <c r="AG276" s="56">
        <f t="shared" si="333"/>
        <v>750</v>
      </c>
      <c r="AH276" s="56">
        <f>'Mortgage and Loans'!AF233</f>
        <v>0</v>
      </c>
      <c r="AI276" s="56">
        <f>'Mortgage and Loans'!AQ233</f>
        <v>0</v>
      </c>
      <c r="AJ276" s="56">
        <f>'Mortgage and Loans'!BB233</f>
        <v>0</v>
      </c>
      <c r="AK276" s="56">
        <f>'Mortgage and Loans'!BM233</f>
        <v>0</v>
      </c>
      <c r="AL276" s="56">
        <f>'Mortgage and Loans'!T238</f>
        <v>0</v>
      </c>
      <c r="AM276" s="12">
        <f t="shared" si="345"/>
        <v>-4011.4396153846155</v>
      </c>
      <c r="AN276" s="75">
        <f t="shared" si="85"/>
        <v>2668602.8883659435</v>
      </c>
      <c r="AO276" s="86">
        <f>'Mortgage and Loans'!G239</f>
        <v>0</v>
      </c>
      <c r="AP276" s="79">
        <f>('Salary Tax Breakdown'!B$16/12)-Data!AO276</f>
        <v>3447.5</v>
      </c>
      <c r="AQ276" s="87"/>
      <c r="AR276" s="20">
        <f t="shared" si="304"/>
        <v>4011.4396153846155</v>
      </c>
      <c r="AS276" s="20">
        <v>750</v>
      </c>
      <c r="AT276" s="20">
        <v>0</v>
      </c>
      <c r="AU276" s="20">
        <f t="shared" si="305"/>
        <v>4761.4396153846155</v>
      </c>
      <c r="AV276" s="20">
        <f t="shared" si="306"/>
        <v>4761.4396153846155</v>
      </c>
      <c r="AW276" s="51">
        <f t="shared" si="348"/>
        <v>0</v>
      </c>
      <c r="AX276" s="51">
        <f t="shared" si="334"/>
        <v>0</v>
      </c>
      <c r="AY276" s="51">
        <f t="shared" si="335"/>
        <v>0</v>
      </c>
      <c r="AZ276" s="51">
        <f t="shared" si="336"/>
        <v>0</v>
      </c>
      <c r="BA276" s="51">
        <f t="shared" si="337"/>
        <v>0</v>
      </c>
      <c r="BB276" s="51">
        <f t="shared" si="338"/>
        <v>0</v>
      </c>
      <c r="BC276" s="51">
        <f t="shared" si="339"/>
        <v>0</v>
      </c>
      <c r="BD276" s="51">
        <f t="shared" si="340"/>
        <v>0</v>
      </c>
      <c r="BE276" s="51">
        <f t="shared" si="341"/>
        <v>0</v>
      </c>
      <c r="BF276" s="51">
        <f t="shared" si="342"/>
        <v>0</v>
      </c>
      <c r="BG276" s="51">
        <f t="shared" si="343"/>
        <v>0</v>
      </c>
      <c r="BH276" s="51">
        <f t="shared" si="344"/>
        <v>0</v>
      </c>
      <c r="BI276" s="51">
        <f t="shared" si="307"/>
        <v>0</v>
      </c>
      <c r="BJ276" s="51">
        <f t="shared" si="308"/>
        <v>0</v>
      </c>
      <c r="BK276" s="51">
        <f t="shared" si="309"/>
        <v>0</v>
      </c>
      <c r="BL276" s="51">
        <f t="shared" si="310"/>
        <v>0</v>
      </c>
      <c r="BM276" s="51">
        <f t="shared" si="311"/>
        <v>0</v>
      </c>
      <c r="BN276" s="51">
        <f t="shared" si="312"/>
        <v>0</v>
      </c>
      <c r="BO276" s="51">
        <f t="shared" si="313"/>
        <v>0</v>
      </c>
      <c r="BP276" s="51">
        <f t="shared" si="314"/>
        <v>0</v>
      </c>
      <c r="BQ276" s="51">
        <f t="shared" si="315"/>
        <v>0</v>
      </c>
      <c r="BR276" s="51">
        <f t="shared" si="316"/>
        <v>0</v>
      </c>
      <c r="BS276" s="51">
        <f t="shared" si="317"/>
        <v>0</v>
      </c>
      <c r="BT276" s="51">
        <f t="shared" si="318"/>
        <v>0</v>
      </c>
      <c r="BU276" s="20">
        <f t="shared" si="319"/>
        <v>4761.4396153846155</v>
      </c>
      <c r="BV276" s="20">
        <f t="shared" si="320"/>
        <v>4761.4396153846164</v>
      </c>
      <c r="BW276" s="20">
        <f t="shared" si="321"/>
        <v>57137.275384615386</v>
      </c>
      <c r="BX276" s="20">
        <f t="shared" si="322"/>
        <v>57137.275384615386</v>
      </c>
      <c r="BY276" s="20">
        <f t="shared" si="323"/>
        <v>57137.275384615394</v>
      </c>
      <c r="BZ276" s="21">
        <f t="shared" si="324"/>
        <v>57137.275384615386</v>
      </c>
      <c r="CA276" s="19">
        <f t="shared" si="346"/>
        <v>1428431.8846153847</v>
      </c>
      <c r="CB276" s="20">
        <f t="shared" si="325"/>
        <v>1428431.8846153847</v>
      </c>
      <c r="CC276" s="20">
        <f t="shared" si="326"/>
        <v>1428431.8846153843</v>
      </c>
      <c r="CD276" s="20">
        <f t="shared" ref="CD276:CD314" si="351">CB276*G276</f>
        <v>0</v>
      </c>
      <c r="CE276" s="20">
        <f t="shared" si="302"/>
        <v>1400000</v>
      </c>
      <c r="CF276" s="20">
        <f t="shared" si="349"/>
        <v>2467534.6352921142</v>
      </c>
      <c r="CG276" s="20">
        <f t="shared" si="327"/>
        <v>98701.385411684576</v>
      </c>
      <c r="CH276" s="20">
        <f t="shared" si="350"/>
        <v>8225.1154509737153</v>
      </c>
      <c r="CI276" s="20">
        <f t="shared" si="328"/>
        <v>2454604.2507963087</v>
      </c>
      <c r="CJ276" s="24">
        <f t="shared" si="329"/>
        <v>1.7274429826638287</v>
      </c>
      <c r="CK276" s="24">
        <f t="shared" si="330"/>
        <v>5.2773353503914331E-3</v>
      </c>
      <c r="CL276" s="24">
        <f t="shared" si="331"/>
        <v>1.5913471089280061E-2</v>
      </c>
      <c r="CM276" s="25">
        <f t="shared" si="332"/>
        <v>6.5146559726689895E-2</v>
      </c>
      <c r="CN276" s="17"/>
      <c r="CO276" s="17"/>
      <c r="CP276" s="17"/>
      <c r="CQ276" s="17"/>
      <c r="CR276" s="17"/>
      <c r="CS276" s="17"/>
      <c r="CT276" s="17"/>
      <c r="CU276" s="17"/>
      <c r="CV276" s="17"/>
      <c r="CW276" s="30">
        <v>0</v>
      </c>
      <c r="CX276" s="17"/>
      <c r="CY276" s="17"/>
      <c r="CZ276" s="17"/>
      <c r="DA276" s="17"/>
      <c r="DB276" s="17"/>
    </row>
    <row r="277" spans="1:106" ht="15.75" thickBot="1" x14ac:dyDescent="0.3">
      <c r="A277" s="5">
        <f t="shared" si="299"/>
        <v>46</v>
      </c>
      <c r="B277" s="5">
        <f t="shared" si="299"/>
        <v>44</v>
      </c>
      <c r="C277" s="1"/>
      <c r="D277" s="4"/>
      <c r="E277" s="30"/>
      <c r="F277" s="30"/>
      <c r="G277" s="30">
        <f t="shared" si="303"/>
        <v>0</v>
      </c>
      <c r="H277" s="30"/>
      <c r="I277" s="10">
        <v>0</v>
      </c>
      <c r="J277" s="60">
        <v>9000</v>
      </c>
      <c r="K277" s="11">
        <v>550</v>
      </c>
      <c r="L277" s="60">
        <f t="shared" si="72"/>
        <v>12139.343359546247</v>
      </c>
      <c r="M277" s="11">
        <v>305</v>
      </c>
      <c r="N277" s="60">
        <v>0</v>
      </c>
      <c r="O277" s="11">
        <v>0</v>
      </c>
      <c r="P277" s="11">
        <v>0</v>
      </c>
      <c r="Q277" s="60">
        <f>(Q276*($K$1/12))+Q276 + $Q$8</f>
        <v>384746.24466771627</v>
      </c>
      <c r="R277" s="60">
        <f>(R276*($K$1/12))+R276</f>
        <v>16561.733312269316</v>
      </c>
      <c r="S277" s="60">
        <f>(S276*($K$1/12))+S276</f>
        <v>14378.90692701907</v>
      </c>
      <c r="T277" s="60">
        <f>(T276*($K$1/12))+T276+$T$8</f>
        <v>1449221.6886321346</v>
      </c>
      <c r="U277" s="60">
        <f>(U276*$K$1/12) + U276</f>
        <v>174952.47001502471</v>
      </c>
      <c r="V277" s="60">
        <v>3100</v>
      </c>
      <c r="W277" s="60">
        <f>(W276*($K$1/12))+W276+$W$8</f>
        <v>121438.24708452201</v>
      </c>
      <c r="X277" s="11">
        <v>0</v>
      </c>
      <c r="Y277" s="60">
        <f>(Y276*($K$1/12))+Y276+$Y$8</f>
        <v>319259.15726126073</v>
      </c>
      <c r="Z277" s="60">
        <f>'Mortgage and Loans'!U239</f>
        <v>180000</v>
      </c>
      <c r="AA277" s="12">
        <f t="shared" si="347"/>
        <v>2685652.7912594932</v>
      </c>
      <c r="AB277" s="56">
        <f t="shared" si="333"/>
        <v>750</v>
      </c>
      <c r="AC277" s="56">
        <f t="shared" si="333"/>
        <v>750</v>
      </c>
      <c r="AD277" s="56">
        <f t="shared" si="333"/>
        <v>750</v>
      </c>
      <c r="AE277" s="56">
        <f t="shared" si="333"/>
        <v>750</v>
      </c>
      <c r="AF277" s="56">
        <f t="shared" si="300"/>
        <v>261.43961538461554</v>
      </c>
      <c r="AG277" s="56">
        <f t="shared" si="333"/>
        <v>750</v>
      </c>
      <c r="AH277" s="56">
        <f>'Mortgage and Loans'!AF234</f>
        <v>0</v>
      </c>
      <c r="AI277" s="56">
        <f>'Mortgage and Loans'!AQ234</f>
        <v>0</v>
      </c>
      <c r="AJ277" s="56">
        <f>'Mortgage and Loans'!BB234</f>
        <v>0</v>
      </c>
      <c r="AK277" s="56">
        <f>'Mortgage and Loans'!BM234</f>
        <v>0</v>
      </c>
      <c r="AL277" s="56">
        <f>'Mortgage and Loans'!T239</f>
        <v>0</v>
      </c>
      <c r="AM277" s="12">
        <f t="shared" si="345"/>
        <v>-4011.4396153846155</v>
      </c>
      <c r="AN277" s="75">
        <f t="shared" si="85"/>
        <v>2681641.3516441085</v>
      </c>
      <c r="AO277" s="86">
        <f>'Mortgage and Loans'!G240</f>
        <v>0</v>
      </c>
      <c r="AP277" s="79">
        <f>('Salary Tax Breakdown'!B$16/12)-Data!AO277</f>
        <v>3447.5</v>
      </c>
      <c r="AQ277" s="87"/>
      <c r="AR277" s="20">
        <f t="shared" si="304"/>
        <v>4011.4396153846155</v>
      </c>
      <c r="AS277" s="20">
        <v>750</v>
      </c>
      <c r="AT277" s="20">
        <v>0</v>
      </c>
      <c r="AU277" s="20">
        <f t="shared" si="305"/>
        <v>4761.4396153846155</v>
      </c>
      <c r="AV277" s="20">
        <f t="shared" si="306"/>
        <v>4761.4396153846155</v>
      </c>
      <c r="AW277" s="51">
        <f t="shared" si="348"/>
        <v>0</v>
      </c>
      <c r="AX277" s="51">
        <f t="shared" si="334"/>
        <v>0</v>
      </c>
      <c r="AY277" s="51">
        <f t="shared" si="335"/>
        <v>0</v>
      </c>
      <c r="AZ277" s="51">
        <f t="shared" si="336"/>
        <v>0</v>
      </c>
      <c r="BA277" s="51">
        <f t="shared" si="337"/>
        <v>0</v>
      </c>
      <c r="BB277" s="51">
        <f t="shared" si="338"/>
        <v>0</v>
      </c>
      <c r="BC277" s="51">
        <f t="shared" si="339"/>
        <v>0</v>
      </c>
      <c r="BD277" s="51">
        <f t="shared" si="340"/>
        <v>0</v>
      </c>
      <c r="BE277" s="51">
        <f t="shared" si="341"/>
        <v>0</v>
      </c>
      <c r="BF277" s="51">
        <f t="shared" si="342"/>
        <v>0</v>
      </c>
      <c r="BG277" s="51">
        <f t="shared" si="343"/>
        <v>0</v>
      </c>
      <c r="BH277" s="51">
        <f t="shared" si="344"/>
        <v>0</v>
      </c>
      <c r="BI277" s="51">
        <f t="shared" si="307"/>
        <v>0</v>
      </c>
      <c r="BJ277" s="51">
        <f t="shared" si="308"/>
        <v>0</v>
      </c>
      <c r="BK277" s="51">
        <f t="shared" si="309"/>
        <v>0</v>
      </c>
      <c r="BL277" s="51">
        <f t="shared" si="310"/>
        <v>0</v>
      </c>
      <c r="BM277" s="51">
        <f t="shared" si="311"/>
        <v>0</v>
      </c>
      <c r="BN277" s="51">
        <f t="shared" si="312"/>
        <v>0</v>
      </c>
      <c r="BO277" s="51">
        <f t="shared" si="313"/>
        <v>0</v>
      </c>
      <c r="BP277" s="51">
        <f t="shared" si="314"/>
        <v>0</v>
      </c>
      <c r="BQ277" s="51">
        <f t="shared" si="315"/>
        <v>0</v>
      </c>
      <c r="BR277" s="51">
        <f t="shared" si="316"/>
        <v>0</v>
      </c>
      <c r="BS277" s="51">
        <f t="shared" si="317"/>
        <v>0</v>
      </c>
      <c r="BT277" s="51">
        <f t="shared" si="318"/>
        <v>0</v>
      </c>
      <c r="BU277" s="20">
        <f t="shared" si="319"/>
        <v>4761.4396153846155</v>
      </c>
      <c r="BV277" s="20">
        <f t="shared" si="320"/>
        <v>4761.4396153846164</v>
      </c>
      <c r="BW277" s="20">
        <f t="shared" si="321"/>
        <v>57137.275384615386</v>
      </c>
      <c r="BX277" s="20">
        <f t="shared" si="322"/>
        <v>57137.275384615386</v>
      </c>
      <c r="BY277" s="20">
        <f t="shared" si="323"/>
        <v>57137.275384615394</v>
      </c>
      <c r="BZ277" s="21">
        <f t="shared" si="324"/>
        <v>57137.275384615386</v>
      </c>
      <c r="CA277" s="19">
        <f t="shared" si="346"/>
        <v>1428431.8846153847</v>
      </c>
      <c r="CB277" s="20">
        <f t="shared" si="325"/>
        <v>1428431.8846153847</v>
      </c>
      <c r="CC277" s="20">
        <f t="shared" si="326"/>
        <v>1428431.8846153843</v>
      </c>
      <c r="CD277" s="20">
        <f t="shared" si="351"/>
        <v>0</v>
      </c>
      <c r="CE277" s="20">
        <f t="shared" si="302"/>
        <v>1400000</v>
      </c>
      <c r="CF277" s="20">
        <f t="shared" si="349"/>
        <v>2480558.4478999465</v>
      </c>
      <c r="CG277" s="20">
        <f t="shared" si="327"/>
        <v>99222.337915997865</v>
      </c>
      <c r="CH277" s="20">
        <f t="shared" si="350"/>
        <v>8268.5281596664881</v>
      </c>
      <c r="CI277" s="20">
        <f t="shared" si="328"/>
        <v>2467558.0238214559</v>
      </c>
      <c r="CJ277" s="24">
        <f t="shared" si="329"/>
        <v>1.7365605420995305</v>
      </c>
      <c r="CK277" s="24">
        <f t="shared" si="330"/>
        <v>5.2780667884284654E-3</v>
      </c>
      <c r="CL277" s="24">
        <f t="shared" si="331"/>
        <v>1.5915700033668326E-2</v>
      </c>
      <c r="CM277" s="25">
        <f t="shared" si="332"/>
        <v>6.5156126850574633E-2</v>
      </c>
      <c r="CN277" s="17"/>
      <c r="CO277" s="17"/>
      <c r="CP277" s="17"/>
      <c r="CQ277" s="17"/>
      <c r="CR277" s="17"/>
      <c r="CS277" s="17"/>
      <c r="CT277" s="17"/>
      <c r="CU277" s="17"/>
      <c r="CV277" s="17"/>
      <c r="CW277" s="30">
        <v>0</v>
      </c>
      <c r="CX277" s="17"/>
      <c r="CY277" s="17"/>
      <c r="CZ277" s="17"/>
      <c r="DA277" s="17"/>
      <c r="DB277" s="17"/>
    </row>
    <row r="278" spans="1:106" ht="15.75" thickBot="1" x14ac:dyDescent="0.3">
      <c r="A278" s="5">
        <f t="shared" si="299"/>
        <v>46</v>
      </c>
      <c r="B278" s="5">
        <f t="shared" si="299"/>
        <v>45</v>
      </c>
      <c r="C278" s="1"/>
      <c r="D278" s="4"/>
      <c r="E278" s="30"/>
      <c r="F278" s="30"/>
      <c r="G278" s="30">
        <f t="shared" si="303"/>
        <v>0</v>
      </c>
      <c r="H278" s="30"/>
      <c r="I278" s="10">
        <v>0</v>
      </c>
      <c r="J278" s="60">
        <v>9000</v>
      </c>
      <c r="K278" s="11">
        <v>550</v>
      </c>
      <c r="L278" s="60">
        <f t="shared" si="72"/>
        <v>12154.011732772364</v>
      </c>
      <c r="M278" s="11">
        <v>305</v>
      </c>
      <c r="N278" s="60">
        <v>0</v>
      </c>
      <c r="O278" s="11">
        <v>0</v>
      </c>
      <c r="P278" s="11">
        <v>0</v>
      </c>
      <c r="Q278" s="60">
        <f>(Q277*($K$1/12))+Q277 + $Q$8</f>
        <v>387288.28682633309</v>
      </c>
      <c r="R278" s="60">
        <f>(R277*($K$1/12))+R277</f>
        <v>16651.442701044107</v>
      </c>
      <c r="S278" s="60">
        <f>(S277*($K$1/12))+S277</f>
        <v>14456.792672873757</v>
      </c>
      <c r="T278" s="60">
        <f>(T277*($K$1/12))+T277+$T$8</f>
        <v>1458571.6394455587</v>
      </c>
      <c r="U278" s="60">
        <f>(U277*$K$1/12) + U277</f>
        <v>175900.12922760608</v>
      </c>
      <c r="V278" s="60">
        <v>3100</v>
      </c>
      <c r="W278" s="60">
        <f>(W277*($K$1/12))+W277+$W$8</f>
        <v>122096.03758956317</v>
      </c>
      <c r="X278" s="11">
        <v>0</v>
      </c>
      <c r="Y278" s="60">
        <f>(Y277*($K$1/12))+Y277+$Y$8</f>
        <v>318688.47769642586</v>
      </c>
      <c r="Z278" s="60">
        <f>'Mortgage and Loans'!U240</f>
        <v>180000</v>
      </c>
      <c r="AA278" s="12">
        <f t="shared" si="347"/>
        <v>2698761.817892177</v>
      </c>
      <c r="AB278" s="56">
        <f t="shared" si="333"/>
        <v>750</v>
      </c>
      <c r="AC278" s="56">
        <f t="shared" si="333"/>
        <v>750</v>
      </c>
      <c r="AD278" s="56">
        <f t="shared" si="333"/>
        <v>750</v>
      </c>
      <c r="AE278" s="56">
        <f t="shared" si="333"/>
        <v>750</v>
      </c>
      <c r="AF278" s="56">
        <f t="shared" si="300"/>
        <v>261.43961538461554</v>
      </c>
      <c r="AG278" s="56">
        <f t="shared" si="333"/>
        <v>750</v>
      </c>
      <c r="AH278" s="56">
        <f>'Mortgage and Loans'!AF235</f>
        <v>0</v>
      </c>
      <c r="AI278" s="56">
        <f>'Mortgage and Loans'!AQ235</f>
        <v>0</v>
      </c>
      <c r="AJ278" s="56">
        <f>'Mortgage and Loans'!BB235</f>
        <v>0</v>
      </c>
      <c r="AK278" s="56">
        <f>'Mortgage and Loans'!BM235</f>
        <v>0</v>
      </c>
      <c r="AL278" s="56">
        <f>'Mortgage and Loans'!T240</f>
        <v>0</v>
      </c>
      <c r="AM278" s="12">
        <f t="shared" si="345"/>
        <v>-4011.4396153846155</v>
      </c>
      <c r="AN278" s="75">
        <f t="shared" si="85"/>
        <v>2694750.3782767924</v>
      </c>
      <c r="AO278" s="86">
        <f>'Mortgage and Loans'!G241</f>
        <v>0</v>
      </c>
      <c r="AP278" s="79">
        <f>('Salary Tax Breakdown'!B$16/12)-Data!AO278</f>
        <v>3447.5</v>
      </c>
      <c r="AQ278" s="87"/>
      <c r="AR278" s="20">
        <f t="shared" si="304"/>
        <v>4011.4396153846155</v>
      </c>
      <c r="AS278" s="20">
        <v>750</v>
      </c>
      <c r="AT278" s="20">
        <v>0</v>
      </c>
      <c r="AU278" s="20">
        <f t="shared" si="305"/>
        <v>4761.4396153846155</v>
      </c>
      <c r="AV278" s="20">
        <f t="shared" si="306"/>
        <v>4761.4396153846155</v>
      </c>
      <c r="AW278" s="51">
        <f t="shared" si="348"/>
        <v>0</v>
      </c>
      <c r="AX278" s="51">
        <f t="shared" si="334"/>
        <v>0</v>
      </c>
      <c r="AY278" s="51">
        <f t="shared" si="335"/>
        <v>0</v>
      </c>
      <c r="AZ278" s="51">
        <f t="shared" si="336"/>
        <v>0</v>
      </c>
      <c r="BA278" s="51">
        <f t="shared" si="337"/>
        <v>0</v>
      </c>
      <c r="BB278" s="51">
        <f t="shared" si="338"/>
        <v>0</v>
      </c>
      <c r="BC278" s="51">
        <f t="shared" si="339"/>
        <v>0</v>
      </c>
      <c r="BD278" s="51">
        <f t="shared" si="340"/>
        <v>0</v>
      </c>
      <c r="BE278" s="51">
        <f t="shared" si="341"/>
        <v>0</v>
      </c>
      <c r="BF278" s="51">
        <f t="shared" si="342"/>
        <v>0</v>
      </c>
      <c r="BG278" s="51">
        <f t="shared" si="343"/>
        <v>0</v>
      </c>
      <c r="BH278" s="51">
        <f t="shared" si="344"/>
        <v>0</v>
      </c>
      <c r="BI278" s="51">
        <f t="shared" si="307"/>
        <v>0</v>
      </c>
      <c r="BJ278" s="51">
        <f t="shared" si="308"/>
        <v>0</v>
      </c>
      <c r="BK278" s="51">
        <f t="shared" si="309"/>
        <v>0</v>
      </c>
      <c r="BL278" s="51">
        <f t="shared" si="310"/>
        <v>0</v>
      </c>
      <c r="BM278" s="51">
        <f t="shared" si="311"/>
        <v>0</v>
      </c>
      <c r="BN278" s="51">
        <f t="shared" si="312"/>
        <v>0</v>
      </c>
      <c r="BO278" s="51">
        <f t="shared" si="313"/>
        <v>0</v>
      </c>
      <c r="BP278" s="51">
        <f t="shared" si="314"/>
        <v>0</v>
      </c>
      <c r="BQ278" s="51">
        <f t="shared" si="315"/>
        <v>0</v>
      </c>
      <c r="BR278" s="51">
        <f t="shared" si="316"/>
        <v>0</v>
      </c>
      <c r="BS278" s="51">
        <f t="shared" si="317"/>
        <v>0</v>
      </c>
      <c r="BT278" s="51">
        <f t="shared" si="318"/>
        <v>0</v>
      </c>
      <c r="BU278" s="20">
        <f t="shared" si="319"/>
        <v>4761.4396153846155</v>
      </c>
      <c r="BV278" s="20">
        <f t="shared" si="320"/>
        <v>4761.4396153846164</v>
      </c>
      <c r="BW278" s="20">
        <f t="shared" si="321"/>
        <v>57137.275384615386</v>
      </c>
      <c r="BX278" s="20">
        <f t="shared" si="322"/>
        <v>57137.275384615386</v>
      </c>
      <c r="BY278" s="20">
        <f t="shared" si="323"/>
        <v>57137.275384615394</v>
      </c>
      <c r="BZ278" s="21">
        <f t="shared" si="324"/>
        <v>57137.275384615386</v>
      </c>
      <c r="CA278" s="19">
        <f t="shared" si="346"/>
        <v>1428431.8846153847</v>
      </c>
      <c r="CB278" s="20">
        <f t="shared" si="325"/>
        <v>1428431.8846153847</v>
      </c>
      <c r="CC278" s="20">
        <f t="shared" si="326"/>
        <v>1428431.8846153843</v>
      </c>
      <c r="CD278" s="20">
        <f t="shared" si="351"/>
        <v>0</v>
      </c>
      <c r="CE278" s="20">
        <f t="shared" si="302"/>
        <v>1400000</v>
      </c>
      <c r="CF278" s="20">
        <f t="shared" si="349"/>
        <v>2493652.8061594046</v>
      </c>
      <c r="CG278" s="20">
        <f t="shared" si="327"/>
        <v>99746.112246376186</v>
      </c>
      <c r="CH278" s="20">
        <f t="shared" si="350"/>
        <v>8312.1760205313494</v>
      </c>
      <c r="CI278" s="20">
        <f t="shared" si="328"/>
        <v>2480581.9631171548</v>
      </c>
      <c r="CJ278" s="24">
        <f t="shared" si="329"/>
        <v>1.7457274883155089</v>
      </c>
      <c r="CK278" s="24">
        <f t="shared" si="330"/>
        <v>5.27879448700104E-3</v>
      </c>
      <c r="CL278" s="24">
        <f t="shared" si="331"/>
        <v>1.5917917589103391E-2</v>
      </c>
      <c r="CM278" s="25">
        <f t="shared" si="332"/>
        <v>6.5165645219435631E-2</v>
      </c>
      <c r="CN278" s="17"/>
      <c r="CO278" s="17"/>
      <c r="CP278" s="17"/>
      <c r="CQ278" s="17"/>
      <c r="CR278" s="17"/>
      <c r="CS278" s="17"/>
      <c r="CT278" s="17"/>
      <c r="CU278" s="17"/>
      <c r="CV278" s="17"/>
      <c r="CW278" s="30">
        <v>0</v>
      </c>
      <c r="CX278" s="17"/>
      <c r="CY278" s="17"/>
      <c r="CZ278" s="17"/>
      <c r="DA278" s="17"/>
      <c r="DB278" s="17"/>
    </row>
    <row r="279" spans="1:106" ht="15.75" thickBot="1" x14ac:dyDescent="0.3">
      <c r="A279" s="5">
        <f t="shared" si="299"/>
        <v>46</v>
      </c>
      <c r="B279" s="5">
        <f t="shared" si="299"/>
        <v>45</v>
      </c>
      <c r="C279" s="1"/>
      <c r="D279" s="4"/>
      <c r="E279" s="30"/>
      <c r="F279" s="30"/>
      <c r="G279" s="30">
        <f t="shared" si="303"/>
        <v>0</v>
      </c>
      <c r="H279" s="30"/>
      <c r="I279" s="10">
        <v>0</v>
      </c>
      <c r="J279" s="60">
        <v>9000</v>
      </c>
      <c r="K279" s="11">
        <v>550</v>
      </c>
      <c r="L279" s="60">
        <f t="shared" si="72"/>
        <v>12168.697830282796</v>
      </c>
      <c r="M279" s="11">
        <v>305</v>
      </c>
      <c r="N279" s="60">
        <v>0</v>
      </c>
      <c r="O279" s="11">
        <v>0</v>
      </c>
      <c r="P279" s="11">
        <v>0</v>
      </c>
      <c r="Q279" s="60">
        <f>(Q278*($K$1/12))+Q278 + $Q$8</f>
        <v>389844.09837997571</v>
      </c>
      <c r="R279" s="60">
        <f>(R278*($K$1/12))+R278</f>
        <v>16741.638015674762</v>
      </c>
      <c r="S279" s="60">
        <f>(S278*($K$1/12))+S278</f>
        <v>14535.100299851823</v>
      </c>
      <c r="T279" s="60">
        <f>(T278*($K$1/12))+T278+$T$8</f>
        <v>1467972.2358258888</v>
      </c>
      <c r="U279" s="60">
        <f>(U278*$K$1/12) + U278</f>
        <v>176852.9215942556</v>
      </c>
      <c r="V279" s="60">
        <v>3100</v>
      </c>
      <c r="W279" s="60">
        <f>(W278*($K$1/12))+W278+$W$8</f>
        <v>122757.39112650664</v>
      </c>
      <c r="X279" s="11">
        <v>0</v>
      </c>
      <c r="Y279" s="60">
        <f>(Y278*($K$1/12))+Y278+$Y$8</f>
        <v>318114.70695061481</v>
      </c>
      <c r="Z279" s="60">
        <f>'Mortgage and Loans'!U241</f>
        <v>180000</v>
      </c>
      <c r="AA279" s="12">
        <f t="shared" si="347"/>
        <v>2711941.7900230507</v>
      </c>
      <c r="AB279" s="56">
        <f t="shared" si="333"/>
        <v>750</v>
      </c>
      <c r="AC279" s="56">
        <f t="shared" si="333"/>
        <v>750</v>
      </c>
      <c r="AD279" s="56">
        <f t="shared" si="333"/>
        <v>750</v>
      </c>
      <c r="AE279" s="56">
        <f t="shared" si="333"/>
        <v>750</v>
      </c>
      <c r="AF279" s="56">
        <f t="shared" si="300"/>
        <v>261.43961538461554</v>
      </c>
      <c r="AG279" s="56">
        <f t="shared" si="333"/>
        <v>750</v>
      </c>
      <c r="AH279" s="56">
        <f>'Mortgage and Loans'!AF236</f>
        <v>0</v>
      </c>
      <c r="AI279" s="56">
        <f>'Mortgage and Loans'!AQ236</f>
        <v>0</v>
      </c>
      <c r="AJ279" s="56">
        <f>'Mortgage and Loans'!BB236</f>
        <v>0</v>
      </c>
      <c r="AK279" s="56">
        <f>'Mortgage and Loans'!BM236</f>
        <v>0</v>
      </c>
      <c r="AL279" s="56">
        <f>'Mortgage and Loans'!T241</f>
        <v>0</v>
      </c>
      <c r="AM279" s="12">
        <f t="shared" si="345"/>
        <v>-4011.4396153846155</v>
      </c>
      <c r="AN279" s="75">
        <f t="shared" si="85"/>
        <v>2707930.3504076661</v>
      </c>
      <c r="AO279" s="86">
        <f>'Mortgage and Loans'!G242</f>
        <v>0</v>
      </c>
      <c r="AP279" s="79">
        <f>('Salary Tax Breakdown'!B$16/12)-Data!AO279</f>
        <v>3447.5</v>
      </c>
      <c r="AQ279" s="87"/>
      <c r="AR279" s="20">
        <f t="shared" si="304"/>
        <v>4011.4396153846155</v>
      </c>
      <c r="AS279" s="20">
        <v>750</v>
      </c>
      <c r="AT279" s="20">
        <v>0</v>
      </c>
      <c r="AU279" s="20">
        <f t="shared" si="305"/>
        <v>4761.4396153846155</v>
      </c>
      <c r="AV279" s="20">
        <f t="shared" si="306"/>
        <v>4761.4396153846155</v>
      </c>
      <c r="AW279" s="51">
        <f t="shared" si="348"/>
        <v>0</v>
      </c>
      <c r="AX279" s="51">
        <f t="shared" si="334"/>
        <v>0</v>
      </c>
      <c r="AY279" s="51">
        <f t="shared" si="335"/>
        <v>0</v>
      </c>
      <c r="AZ279" s="51">
        <f t="shared" si="336"/>
        <v>0</v>
      </c>
      <c r="BA279" s="51">
        <f t="shared" si="337"/>
        <v>0</v>
      </c>
      <c r="BB279" s="51">
        <f t="shared" si="338"/>
        <v>0</v>
      </c>
      <c r="BC279" s="51">
        <f t="shared" si="339"/>
        <v>0</v>
      </c>
      <c r="BD279" s="51">
        <f t="shared" si="340"/>
        <v>0</v>
      </c>
      <c r="BE279" s="51">
        <f t="shared" si="341"/>
        <v>0</v>
      </c>
      <c r="BF279" s="51">
        <f t="shared" si="342"/>
        <v>0</v>
      </c>
      <c r="BG279" s="51">
        <f t="shared" si="343"/>
        <v>0</v>
      </c>
      <c r="BH279" s="51">
        <f t="shared" si="344"/>
        <v>0</v>
      </c>
      <c r="BI279" s="51">
        <f t="shared" si="307"/>
        <v>0</v>
      </c>
      <c r="BJ279" s="51">
        <f t="shared" si="308"/>
        <v>0</v>
      </c>
      <c r="BK279" s="51">
        <f t="shared" si="309"/>
        <v>0</v>
      </c>
      <c r="BL279" s="51">
        <f t="shared" si="310"/>
        <v>0</v>
      </c>
      <c r="BM279" s="51">
        <f t="shared" si="311"/>
        <v>0</v>
      </c>
      <c r="BN279" s="51">
        <f t="shared" si="312"/>
        <v>0</v>
      </c>
      <c r="BO279" s="51">
        <f t="shared" si="313"/>
        <v>0</v>
      </c>
      <c r="BP279" s="51">
        <f t="shared" si="314"/>
        <v>0</v>
      </c>
      <c r="BQ279" s="51">
        <f t="shared" si="315"/>
        <v>0</v>
      </c>
      <c r="BR279" s="51">
        <f t="shared" si="316"/>
        <v>0</v>
      </c>
      <c r="BS279" s="51">
        <f t="shared" si="317"/>
        <v>0</v>
      </c>
      <c r="BT279" s="51">
        <f t="shared" si="318"/>
        <v>0</v>
      </c>
      <c r="BU279" s="20">
        <f t="shared" si="319"/>
        <v>4761.4396153846155</v>
      </c>
      <c r="BV279" s="20">
        <f t="shared" si="320"/>
        <v>4761.4396153846164</v>
      </c>
      <c r="BW279" s="20">
        <f t="shared" si="321"/>
        <v>57137.275384615386</v>
      </c>
      <c r="BX279" s="20">
        <f t="shared" si="322"/>
        <v>57137.275384615386</v>
      </c>
      <c r="BY279" s="20">
        <f t="shared" si="323"/>
        <v>57137.275384615394</v>
      </c>
      <c r="BZ279" s="21">
        <f t="shared" si="324"/>
        <v>57137.275384615386</v>
      </c>
      <c r="CA279" s="19">
        <f t="shared" si="346"/>
        <v>1428431.8846153847</v>
      </c>
      <c r="CB279" s="20">
        <f t="shared" si="325"/>
        <v>1428431.8846153847</v>
      </c>
      <c r="CC279" s="20">
        <f t="shared" si="326"/>
        <v>1428431.8846153843</v>
      </c>
      <c r="CD279" s="20">
        <f t="shared" si="351"/>
        <v>0</v>
      </c>
      <c r="CE279" s="20">
        <f t="shared" si="302"/>
        <v>1400000</v>
      </c>
      <c r="CF279" s="20">
        <f t="shared" si="349"/>
        <v>2506818.0921927681</v>
      </c>
      <c r="CG279" s="20">
        <f t="shared" si="327"/>
        <v>100272.72368771072</v>
      </c>
      <c r="CH279" s="20">
        <f t="shared" si="350"/>
        <v>8356.0603073092261</v>
      </c>
      <c r="CI279" s="20">
        <f t="shared" si="328"/>
        <v>2493676.4487507064</v>
      </c>
      <c r="CJ279" s="24">
        <f t="shared" si="329"/>
        <v>1.7549440888234908</v>
      </c>
      <c r="CK279" s="24">
        <f t="shared" si="330"/>
        <v>5.2795184641762707E-3</v>
      </c>
      <c r="CL279" s="24">
        <f t="shared" si="331"/>
        <v>1.5920123810543151E-2</v>
      </c>
      <c r="CM279" s="25">
        <f t="shared" si="332"/>
        <v>6.5175115067192368E-2</v>
      </c>
      <c r="CN279" s="17"/>
      <c r="CO279" s="17"/>
      <c r="CP279" s="17"/>
      <c r="CQ279" s="17"/>
      <c r="CR279" s="17"/>
      <c r="CS279" s="17"/>
      <c r="CT279" s="17"/>
      <c r="CU279" s="17"/>
      <c r="CV279" s="17"/>
      <c r="CW279" s="30">
        <v>0</v>
      </c>
      <c r="CX279" s="17"/>
      <c r="CY279" s="17"/>
      <c r="CZ279" s="17"/>
      <c r="DA279" s="17"/>
      <c r="DB279" s="17"/>
    </row>
    <row r="280" spans="1:106" ht="15.75" thickBot="1" x14ac:dyDescent="0.3">
      <c r="A280" s="5">
        <f t="shared" si="299"/>
        <v>47</v>
      </c>
      <c r="B280" s="5">
        <f t="shared" si="299"/>
        <v>45</v>
      </c>
      <c r="C280" s="1"/>
      <c r="D280" s="4"/>
      <c r="E280" s="30"/>
      <c r="F280" s="30"/>
      <c r="G280" s="30">
        <f t="shared" si="303"/>
        <v>0</v>
      </c>
      <c r="H280" s="30"/>
      <c r="I280" s="10">
        <v>0</v>
      </c>
      <c r="J280" s="60">
        <v>9000</v>
      </c>
      <c r="K280" s="11">
        <v>550</v>
      </c>
      <c r="L280" s="60">
        <f t="shared" si="72"/>
        <v>12183.401673494387</v>
      </c>
      <c r="M280" s="11">
        <v>305</v>
      </c>
      <c r="N280" s="60">
        <v>0</v>
      </c>
      <c r="O280" s="11">
        <v>0</v>
      </c>
      <c r="P280" s="11">
        <v>0</v>
      </c>
      <c r="Q280" s="60">
        <f>(Q279*($K$1/12))+Q279 + $Q$8</f>
        <v>392413.75391286722</v>
      </c>
      <c r="R280" s="60">
        <f>(R279*($K$1/12))+R279</f>
        <v>16832.321888259667</v>
      </c>
      <c r="S280" s="60">
        <f>(S279*($K$1/12))+S279</f>
        <v>14613.832093142688</v>
      </c>
      <c r="T280" s="60">
        <f>(T279*($K$1/12))+T279+$T$8</f>
        <v>1477423.7521032791</v>
      </c>
      <c r="U280" s="60">
        <f>(U279*$K$1/12) + U279</f>
        <v>177810.87491955783</v>
      </c>
      <c r="V280" s="60">
        <v>3100</v>
      </c>
      <c r="W280" s="60">
        <f>(W279*($K$1/12))+W279+$W$8</f>
        <v>123422.32699510855</v>
      </c>
      <c r="X280" s="11">
        <v>0</v>
      </c>
      <c r="Y280" s="60">
        <f>(Y279*($K$1/12))+Y279+$Y$8</f>
        <v>317537.82827993063</v>
      </c>
      <c r="Z280" s="60">
        <f>'Mortgage and Loans'!U242</f>
        <v>180000</v>
      </c>
      <c r="AA280" s="12">
        <f t="shared" si="347"/>
        <v>2725193.0918656401</v>
      </c>
      <c r="AB280" s="56">
        <f t="shared" si="333"/>
        <v>750</v>
      </c>
      <c r="AC280" s="56">
        <f t="shared" si="333"/>
        <v>750</v>
      </c>
      <c r="AD280" s="56">
        <f t="shared" si="333"/>
        <v>750</v>
      </c>
      <c r="AE280" s="56">
        <f t="shared" si="333"/>
        <v>750</v>
      </c>
      <c r="AF280" s="56">
        <f t="shared" si="300"/>
        <v>261.43961538461554</v>
      </c>
      <c r="AG280" s="56">
        <f t="shared" si="333"/>
        <v>750</v>
      </c>
      <c r="AH280" s="56">
        <f>'Mortgage and Loans'!AF237</f>
        <v>0</v>
      </c>
      <c r="AI280" s="56">
        <f>'Mortgage and Loans'!AQ237</f>
        <v>0</v>
      </c>
      <c r="AJ280" s="56">
        <f>'Mortgage and Loans'!BB237</f>
        <v>0</v>
      </c>
      <c r="AK280" s="56">
        <f>'Mortgage and Loans'!BM237</f>
        <v>0</v>
      </c>
      <c r="AL280" s="56">
        <f>'Mortgage and Loans'!T242</f>
        <v>0</v>
      </c>
      <c r="AM280" s="12">
        <f t="shared" si="345"/>
        <v>-4011.4396153846155</v>
      </c>
      <c r="AN280" s="75">
        <f t="shared" si="85"/>
        <v>2721181.6522502555</v>
      </c>
      <c r="AO280" s="86">
        <f>'Mortgage and Loans'!G243</f>
        <v>0</v>
      </c>
      <c r="AP280" s="79">
        <f>('Salary Tax Breakdown'!B$16/12)-Data!AO280</f>
        <v>3447.5</v>
      </c>
      <c r="AQ280" s="87"/>
      <c r="AR280" s="20">
        <f t="shared" si="304"/>
        <v>4011.4396153846155</v>
      </c>
      <c r="AS280" s="20">
        <v>750</v>
      </c>
      <c r="AT280" s="20">
        <v>0</v>
      </c>
      <c r="AU280" s="20">
        <f t="shared" si="305"/>
        <v>4761.4396153846155</v>
      </c>
      <c r="AV280" s="20">
        <f t="shared" si="306"/>
        <v>4761.4396153846155</v>
      </c>
      <c r="AW280" s="51">
        <f t="shared" si="348"/>
        <v>0</v>
      </c>
      <c r="AX280" s="51">
        <f t="shared" si="334"/>
        <v>0</v>
      </c>
      <c r="AY280" s="51">
        <f t="shared" si="335"/>
        <v>0</v>
      </c>
      <c r="AZ280" s="51">
        <f t="shared" si="336"/>
        <v>0</v>
      </c>
      <c r="BA280" s="51">
        <f t="shared" si="337"/>
        <v>0</v>
      </c>
      <c r="BB280" s="51">
        <f t="shared" si="338"/>
        <v>0</v>
      </c>
      <c r="BC280" s="51">
        <f t="shared" si="339"/>
        <v>0</v>
      </c>
      <c r="BD280" s="51">
        <f t="shared" si="340"/>
        <v>0</v>
      </c>
      <c r="BE280" s="51">
        <f t="shared" si="341"/>
        <v>0</v>
      </c>
      <c r="BF280" s="51">
        <f t="shared" si="342"/>
        <v>0</v>
      </c>
      <c r="BG280" s="51">
        <f t="shared" si="343"/>
        <v>0</v>
      </c>
      <c r="BH280" s="51">
        <f t="shared" si="344"/>
        <v>0</v>
      </c>
      <c r="BI280" s="51">
        <f t="shared" si="307"/>
        <v>0</v>
      </c>
      <c r="BJ280" s="51">
        <f t="shared" si="308"/>
        <v>0</v>
      </c>
      <c r="BK280" s="51">
        <f t="shared" si="309"/>
        <v>0</v>
      </c>
      <c r="BL280" s="51">
        <f t="shared" si="310"/>
        <v>0</v>
      </c>
      <c r="BM280" s="51">
        <f t="shared" si="311"/>
        <v>0</v>
      </c>
      <c r="BN280" s="51">
        <f t="shared" si="312"/>
        <v>0</v>
      </c>
      <c r="BO280" s="51">
        <f t="shared" si="313"/>
        <v>0</v>
      </c>
      <c r="BP280" s="51">
        <f t="shared" si="314"/>
        <v>0</v>
      </c>
      <c r="BQ280" s="51">
        <f t="shared" si="315"/>
        <v>0</v>
      </c>
      <c r="BR280" s="51">
        <f t="shared" si="316"/>
        <v>0</v>
      </c>
      <c r="BS280" s="51">
        <f t="shared" si="317"/>
        <v>0</v>
      </c>
      <c r="BT280" s="51">
        <f t="shared" si="318"/>
        <v>0</v>
      </c>
      <c r="BU280" s="20">
        <f t="shared" si="319"/>
        <v>4761.4396153846155</v>
      </c>
      <c r="BV280" s="20">
        <f t="shared" si="320"/>
        <v>4761.4396153846164</v>
      </c>
      <c r="BW280" s="20">
        <f t="shared" si="321"/>
        <v>57137.275384615386</v>
      </c>
      <c r="BX280" s="20">
        <f t="shared" si="322"/>
        <v>57137.275384615386</v>
      </c>
      <c r="BY280" s="20">
        <f t="shared" si="323"/>
        <v>57137.275384615394</v>
      </c>
      <c r="BZ280" s="21">
        <f t="shared" si="324"/>
        <v>57137.275384615386</v>
      </c>
      <c r="CA280" s="19">
        <f t="shared" si="346"/>
        <v>1428431.8846153847</v>
      </c>
      <c r="CB280" s="20">
        <f t="shared" si="325"/>
        <v>1428431.8846153847</v>
      </c>
      <c r="CC280" s="20">
        <f t="shared" si="326"/>
        <v>1428431.8846153843</v>
      </c>
      <c r="CD280" s="20">
        <f t="shared" si="351"/>
        <v>0</v>
      </c>
      <c r="CE280" s="20">
        <f t="shared" si="302"/>
        <v>1400000</v>
      </c>
      <c r="CF280" s="20">
        <f t="shared" si="349"/>
        <v>2520054.6901921458</v>
      </c>
      <c r="CG280" s="20">
        <f t="shared" si="327"/>
        <v>100802.18760768583</v>
      </c>
      <c r="CH280" s="20">
        <f t="shared" si="350"/>
        <v>8400.1823006404866</v>
      </c>
      <c r="CI280" s="20">
        <f t="shared" si="328"/>
        <v>2506841.8628481063</v>
      </c>
      <c r="CJ280" s="24">
        <f t="shared" si="329"/>
        <v>1.7642106125842243</v>
      </c>
      <c r="CK280" s="24">
        <f t="shared" si="330"/>
        <v>5.2802387379450033E-3</v>
      </c>
      <c r="CL280" s="24">
        <f t="shared" si="331"/>
        <v>1.5922318752713528E-2</v>
      </c>
      <c r="CM280" s="25">
        <f t="shared" si="332"/>
        <v>6.5184536626793507E-2</v>
      </c>
      <c r="CN280" s="17"/>
      <c r="CO280" s="17"/>
      <c r="CP280" s="17"/>
      <c r="CQ280" s="17"/>
      <c r="CR280" s="17"/>
      <c r="CS280" s="17"/>
      <c r="CT280" s="17"/>
      <c r="CU280" s="17"/>
      <c r="CV280" s="17"/>
      <c r="CW280" s="30">
        <v>0</v>
      </c>
      <c r="CX280" s="17"/>
      <c r="CY280" s="17"/>
      <c r="CZ280" s="17"/>
      <c r="DA280" s="17"/>
      <c r="DB280" s="17"/>
    </row>
    <row r="281" spans="1:106" ht="15.75" thickBot="1" x14ac:dyDescent="0.3">
      <c r="A281" s="5">
        <f t="shared" si="299"/>
        <v>47</v>
      </c>
      <c r="B281" s="5">
        <f t="shared" si="299"/>
        <v>45</v>
      </c>
      <c r="C281" s="1"/>
      <c r="D281" s="4"/>
      <c r="E281" s="30"/>
      <c r="F281" s="30"/>
      <c r="G281" s="30">
        <f t="shared" si="303"/>
        <v>0</v>
      </c>
      <c r="H281" s="30"/>
      <c r="I281" s="10">
        <v>0</v>
      </c>
      <c r="J281" s="60">
        <v>9000</v>
      </c>
      <c r="K281" s="11">
        <v>550</v>
      </c>
      <c r="L281" s="60">
        <f t="shared" si="72"/>
        <v>12198.123283849858</v>
      </c>
      <c r="M281" s="11">
        <v>305</v>
      </c>
      <c r="N281" s="60">
        <v>0</v>
      </c>
      <c r="O281" s="11">
        <v>0</v>
      </c>
      <c r="P281" s="11">
        <v>0</v>
      </c>
      <c r="Q281" s="60">
        <f>(Q280*($K$1/12))+Q280 + $Q$8</f>
        <v>394997.32841322856</v>
      </c>
      <c r="R281" s="60">
        <f>(R280*($K$1/12))+R280</f>
        <v>16923.496965154405</v>
      </c>
      <c r="S281" s="60">
        <f>(S280*($K$1/12))+S280</f>
        <v>14692.990350313878</v>
      </c>
      <c r="T281" s="60">
        <f>(T280*($K$1/12))+T280+$T$8</f>
        <v>1486926.4640938386</v>
      </c>
      <c r="U281" s="60">
        <f>(U280*$K$1/12) + U280</f>
        <v>178774.01715870542</v>
      </c>
      <c r="V281" s="60">
        <v>3100</v>
      </c>
      <c r="W281" s="60">
        <f>(W280*($K$1/12))+W280+$W$8</f>
        <v>124090.86459966539</v>
      </c>
      <c r="X281" s="11">
        <v>0</v>
      </c>
      <c r="Y281" s="60">
        <f>(Y280*($K$1/12))+Y280+$Y$8</f>
        <v>316957.82484978024</v>
      </c>
      <c r="Z281" s="60">
        <f>'Mortgage and Loans'!U243</f>
        <v>180000</v>
      </c>
      <c r="AA281" s="12">
        <f t="shared" si="347"/>
        <v>2738516.1097145365</v>
      </c>
      <c r="AB281" s="56">
        <f t="shared" si="333"/>
        <v>750</v>
      </c>
      <c r="AC281" s="56">
        <f t="shared" si="333"/>
        <v>750</v>
      </c>
      <c r="AD281" s="56">
        <f t="shared" si="333"/>
        <v>750</v>
      </c>
      <c r="AE281" s="56">
        <f t="shared" si="333"/>
        <v>750</v>
      </c>
      <c r="AF281" s="56">
        <f t="shared" si="300"/>
        <v>261.43961538461554</v>
      </c>
      <c r="AG281" s="56">
        <f t="shared" si="333"/>
        <v>750</v>
      </c>
      <c r="AH281" s="56">
        <f>'Mortgage and Loans'!AF238</f>
        <v>0</v>
      </c>
      <c r="AI281" s="56">
        <f>'Mortgage and Loans'!AQ238</f>
        <v>0</v>
      </c>
      <c r="AJ281" s="56">
        <f>'Mortgage and Loans'!BB238</f>
        <v>0</v>
      </c>
      <c r="AK281" s="56">
        <f>'Mortgage and Loans'!BM238</f>
        <v>0</v>
      </c>
      <c r="AL281" s="56">
        <f>'Mortgage and Loans'!T243</f>
        <v>0</v>
      </c>
      <c r="AM281" s="12">
        <f t="shared" si="345"/>
        <v>-4011.4396153846155</v>
      </c>
      <c r="AN281" s="75">
        <f t="shared" si="85"/>
        <v>2734504.6700991518</v>
      </c>
      <c r="AO281" s="86">
        <f>'Mortgage and Loans'!G244</f>
        <v>0</v>
      </c>
      <c r="AP281" s="79">
        <f>('Salary Tax Breakdown'!B$16/12)-Data!AO281</f>
        <v>3447.5</v>
      </c>
      <c r="AQ281" s="87"/>
      <c r="AR281" s="20">
        <f t="shared" si="304"/>
        <v>4011.4396153846155</v>
      </c>
      <c r="AS281" s="20">
        <v>750</v>
      </c>
      <c r="AT281" s="20">
        <v>0</v>
      </c>
      <c r="AU281" s="20">
        <f t="shared" si="305"/>
        <v>4761.4396153846155</v>
      </c>
      <c r="AV281" s="20">
        <f t="shared" si="306"/>
        <v>4761.4396153846155</v>
      </c>
      <c r="AW281" s="51">
        <f t="shared" si="348"/>
        <v>0</v>
      </c>
      <c r="AX281" s="51">
        <f t="shared" si="334"/>
        <v>0</v>
      </c>
      <c r="AY281" s="51">
        <f t="shared" si="335"/>
        <v>0</v>
      </c>
      <c r="AZ281" s="51">
        <f t="shared" si="336"/>
        <v>0</v>
      </c>
      <c r="BA281" s="51">
        <f t="shared" si="337"/>
        <v>0</v>
      </c>
      <c r="BB281" s="51">
        <f t="shared" si="338"/>
        <v>0</v>
      </c>
      <c r="BC281" s="51">
        <f t="shared" si="339"/>
        <v>0</v>
      </c>
      <c r="BD281" s="51">
        <f t="shared" si="340"/>
        <v>0</v>
      </c>
      <c r="BE281" s="51">
        <f t="shared" si="341"/>
        <v>0</v>
      </c>
      <c r="BF281" s="51">
        <f t="shared" si="342"/>
        <v>0</v>
      </c>
      <c r="BG281" s="51">
        <f t="shared" si="343"/>
        <v>0</v>
      </c>
      <c r="BH281" s="51">
        <f t="shared" si="344"/>
        <v>0</v>
      </c>
      <c r="BI281" s="51">
        <f t="shared" si="307"/>
        <v>0</v>
      </c>
      <c r="BJ281" s="51">
        <f t="shared" si="308"/>
        <v>0</v>
      </c>
      <c r="BK281" s="51">
        <f t="shared" si="309"/>
        <v>0</v>
      </c>
      <c r="BL281" s="51">
        <f t="shared" si="310"/>
        <v>0</v>
      </c>
      <c r="BM281" s="51">
        <f t="shared" si="311"/>
        <v>0</v>
      </c>
      <c r="BN281" s="51">
        <f t="shared" si="312"/>
        <v>0</v>
      </c>
      <c r="BO281" s="51">
        <f t="shared" si="313"/>
        <v>0</v>
      </c>
      <c r="BP281" s="51">
        <f t="shared" si="314"/>
        <v>0</v>
      </c>
      <c r="BQ281" s="51">
        <f t="shared" si="315"/>
        <v>0</v>
      </c>
      <c r="BR281" s="51">
        <f t="shared" si="316"/>
        <v>0</v>
      </c>
      <c r="BS281" s="51">
        <f t="shared" si="317"/>
        <v>0</v>
      </c>
      <c r="BT281" s="51">
        <f t="shared" si="318"/>
        <v>0</v>
      </c>
      <c r="BU281" s="20">
        <f t="shared" si="319"/>
        <v>4761.4396153846155</v>
      </c>
      <c r="BV281" s="20">
        <f t="shared" si="320"/>
        <v>4761.4396153846164</v>
      </c>
      <c r="BW281" s="20">
        <f t="shared" si="321"/>
        <v>57137.275384615386</v>
      </c>
      <c r="BX281" s="20">
        <f t="shared" si="322"/>
        <v>57137.275384615386</v>
      </c>
      <c r="BY281" s="20">
        <f t="shared" si="323"/>
        <v>57137.275384615394</v>
      </c>
      <c r="BZ281" s="21">
        <f t="shared" si="324"/>
        <v>57137.275384615386</v>
      </c>
      <c r="CA281" s="19">
        <f t="shared" si="346"/>
        <v>1428431.8846153847</v>
      </c>
      <c r="CB281" s="20">
        <f t="shared" si="325"/>
        <v>1428431.8846153847</v>
      </c>
      <c r="CC281" s="20">
        <f t="shared" si="326"/>
        <v>1428431.8846153843</v>
      </c>
      <c r="CD281" s="20">
        <f t="shared" si="351"/>
        <v>0</v>
      </c>
      <c r="CE281" s="20">
        <f t="shared" si="302"/>
        <v>1400000</v>
      </c>
      <c r="CF281" s="20">
        <f t="shared" si="349"/>
        <v>2533362.9864306864</v>
      </c>
      <c r="CG281" s="20">
        <f t="shared" si="327"/>
        <v>101334.51945722746</v>
      </c>
      <c r="CH281" s="20">
        <f t="shared" si="350"/>
        <v>8444.543288102288</v>
      </c>
      <c r="CI281" s="20">
        <f t="shared" si="328"/>
        <v>2520078.5896051996</v>
      </c>
      <c r="CJ281" s="24">
        <f t="shared" si="329"/>
        <v>1.773527330015328</v>
      </c>
      <c r="CK281" s="24">
        <f t="shared" si="330"/>
        <v>5.2809553262218919E-3</v>
      </c>
      <c r="CL281" s="24">
        <f t="shared" si="331"/>
        <v>1.5924502470109875E-2</v>
      </c>
      <c r="CM281" s="25">
        <f t="shared" si="332"/>
        <v>6.5193910130220703E-2</v>
      </c>
      <c r="CN281" s="17"/>
      <c r="CO281" s="17"/>
      <c r="CP281" s="17"/>
      <c r="CQ281" s="17"/>
      <c r="CR281" s="17"/>
      <c r="CS281" s="17"/>
      <c r="CT281" s="17"/>
      <c r="CU281" s="17"/>
      <c r="CV281" s="17"/>
      <c r="CW281" s="30">
        <v>0</v>
      </c>
      <c r="CX281" s="17"/>
      <c r="CY281" s="17"/>
      <c r="CZ281" s="17"/>
      <c r="DA281" s="17"/>
      <c r="DB281" s="17"/>
    </row>
    <row r="282" spans="1:106" ht="15.75" thickBot="1" x14ac:dyDescent="0.3">
      <c r="A282" s="5">
        <f t="shared" si="299"/>
        <v>47</v>
      </c>
      <c r="B282" s="5">
        <f t="shared" si="299"/>
        <v>45</v>
      </c>
      <c r="C282" s="1"/>
      <c r="D282" s="4"/>
      <c r="E282" s="30"/>
      <c r="F282" s="30"/>
      <c r="G282" s="30">
        <f t="shared" si="303"/>
        <v>0</v>
      </c>
      <c r="H282" s="30"/>
      <c r="I282" s="10">
        <v>0</v>
      </c>
      <c r="J282" s="60">
        <v>9000</v>
      </c>
      <c r="K282" s="11">
        <v>550</v>
      </c>
      <c r="L282" s="60">
        <f t="shared" si="72"/>
        <v>12212.862682817842</v>
      </c>
      <c r="M282" s="11">
        <v>305</v>
      </c>
      <c r="N282" s="60">
        <v>0</v>
      </c>
      <c r="O282" s="11">
        <v>0</v>
      </c>
      <c r="P282" s="11">
        <v>0</v>
      </c>
      <c r="Q282" s="60">
        <f>(Q281*($K$1/12))+Q281 + $Q$8</f>
        <v>397594.89727546688</v>
      </c>
      <c r="R282" s="60">
        <f>(R281*($K$1/12))+R281</f>
        <v>17015.165907048991</v>
      </c>
      <c r="S282" s="60">
        <f>(S281*($K$1/12))+S281</f>
        <v>14772.577381378078</v>
      </c>
      <c r="T282" s="60">
        <f>(T281*($K$1/12))+T281+$T$8</f>
        <v>1496480.6491076802</v>
      </c>
      <c r="U282" s="60">
        <f>(U281*$K$1/12) + U281</f>
        <v>179742.37641831508</v>
      </c>
      <c r="V282" s="60">
        <v>3100</v>
      </c>
      <c r="W282" s="60">
        <f>(W281*($K$1/12))+W281+$W$8</f>
        <v>124763.02344958024</v>
      </c>
      <c r="X282" s="11">
        <v>0</v>
      </c>
      <c r="Y282" s="60">
        <f>(Y281*($K$1/12))+Y281+$Y$8</f>
        <v>316374.67973438324</v>
      </c>
      <c r="Z282" s="60">
        <f>'Mortgage and Loans'!U244</f>
        <v>180000</v>
      </c>
      <c r="AA282" s="12">
        <f t="shared" si="347"/>
        <v>2751911.2319566705</v>
      </c>
      <c r="AB282" s="56">
        <f t="shared" si="333"/>
        <v>750</v>
      </c>
      <c r="AC282" s="56">
        <f t="shared" si="333"/>
        <v>750</v>
      </c>
      <c r="AD282" s="56">
        <f t="shared" si="333"/>
        <v>750</v>
      </c>
      <c r="AE282" s="56">
        <f t="shared" si="333"/>
        <v>750</v>
      </c>
      <c r="AF282" s="56">
        <f t="shared" si="300"/>
        <v>261.43961538461554</v>
      </c>
      <c r="AG282" s="56">
        <f t="shared" si="333"/>
        <v>750</v>
      </c>
      <c r="AH282" s="56">
        <f>'Mortgage and Loans'!AF239</f>
        <v>0</v>
      </c>
      <c r="AI282" s="56">
        <f>'Mortgage and Loans'!AQ239</f>
        <v>0</v>
      </c>
      <c r="AJ282" s="56">
        <f>'Mortgage and Loans'!BB239</f>
        <v>0</v>
      </c>
      <c r="AK282" s="56">
        <f>'Mortgage and Loans'!BM239</f>
        <v>0</v>
      </c>
      <c r="AL282" s="56">
        <f>'Mortgage and Loans'!T244</f>
        <v>0</v>
      </c>
      <c r="AM282" s="12">
        <f t="shared" si="345"/>
        <v>-4011.4396153846155</v>
      </c>
      <c r="AN282" s="75">
        <f t="shared" si="85"/>
        <v>2747899.7923412859</v>
      </c>
      <c r="AO282" s="86">
        <f>'Mortgage and Loans'!G245</f>
        <v>0</v>
      </c>
      <c r="AP282" s="79">
        <f>('Salary Tax Breakdown'!B$16/12)-Data!AO282</f>
        <v>3447.5</v>
      </c>
      <c r="AQ282" s="87"/>
      <c r="AR282" s="20">
        <f t="shared" si="304"/>
        <v>4011.4396153846155</v>
      </c>
      <c r="AS282" s="20">
        <v>750</v>
      </c>
      <c r="AT282" s="20">
        <v>0</v>
      </c>
      <c r="AU282" s="20">
        <f t="shared" si="305"/>
        <v>4761.4396153846155</v>
      </c>
      <c r="AV282" s="20">
        <f t="shared" si="306"/>
        <v>4761.4396153846155</v>
      </c>
      <c r="AW282" s="51">
        <f t="shared" si="348"/>
        <v>0</v>
      </c>
      <c r="AX282" s="51">
        <f t="shared" si="334"/>
        <v>0</v>
      </c>
      <c r="AY282" s="51">
        <f t="shared" si="335"/>
        <v>0</v>
      </c>
      <c r="AZ282" s="51">
        <f t="shared" si="336"/>
        <v>0</v>
      </c>
      <c r="BA282" s="51">
        <f t="shared" si="337"/>
        <v>0</v>
      </c>
      <c r="BB282" s="51">
        <f t="shared" si="338"/>
        <v>0</v>
      </c>
      <c r="BC282" s="51">
        <f t="shared" si="339"/>
        <v>0</v>
      </c>
      <c r="BD282" s="51">
        <f t="shared" si="340"/>
        <v>0</v>
      </c>
      <c r="BE282" s="51">
        <f t="shared" si="341"/>
        <v>0</v>
      </c>
      <c r="BF282" s="51">
        <f t="shared" si="342"/>
        <v>0</v>
      </c>
      <c r="BG282" s="51">
        <f t="shared" si="343"/>
        <v>0</v>
      </c>
      <c r="BH282" s="51">
        <f t="shared" si="344"/>
        <v>0</v>
      </c>
      <c r="BI282" s="51">
        <f t="shared" si="307"/>
        <v>0</v>
      </c>
      <c r="BJ282" s="51">
        <f t="shared" si="308"/>
        <v>0</v>
      </c>
      <c r="BK282" s="51">
        <f t="shared" si="309"/>
        <v>0</v>
      </c>
      <c r="BL282" s="51">
        <f t="shared" si="310"/>
        <v>0</v>
      </c>
      <c r="BM282" s="51">
        <f t="shared" si="311"/>
        <v>0</v>
      </c>
      <c r="BN282" s="51">
        <f t="shared" si="312"/>
        <v>0</v>
      </c>
      <c r="BO282" s="51">
        <f t="shared" si="313"/>
        <v>0</v>
      </c>
      <c r="BP282" s="51">
        <f t="shared" si="314"/>
        <v>0</v>
      </c>
      <c r="BQ282" s="51">
        <f t="shared" si="315"/>
        <v>0</v>
      </c>
      <c r="BR282" s="51">
        <f t="shared" si="316"/>
        <v>0</v>
      </c>
      <c r="BS282" s="51">
        <f t="shared" si="317"/>
        <v>0</v>
      </c>
      <c r="BT282" s="51">
        <f t="shared" si="318"/>
        <v>0</v>
      </c>
      <c r="BU282" s="20">
        <f t="shared" si="319"/>
        <v>4761.4396153846155</v>
      </c>
      <c r="BV282" s="20">
        <f t="shared" si="320"/>
        <v>4761.4396153846164</v>
      </c>
      <c r="BW282" s="20">
        <f t="shared" si="321"/>
        <v>57137.275384615386</v>
      </c>
      <c r="BX282" s="20">
        <f t="shared" si="322"/>
        <v>57137.275384615386</v>
      </c>
      <c r="BY282" s="20">
        <f t="shared" si="323"/>
        <v>57137.275384615394</v>
      </c>
      <c r="BZ282" s="21">
        <f t="shared" si="324"/>
        <v>57137.275384615386</v>
      </c>
      <c r="CA282" s="19">
        <f t="shared" si="346"/>
        <v>1428431.8846153847</v>
      </c>
      <c r="CB282" s="20">
        <f t="shared" si="325"/>
        <v>1428431.8846153847</v>
      </c>
      <c r="CC282" s="20">
        <f t="shared" si="326"/>
        <v>1428431.8846153843</v>
      </c>
      <c r="CD282" s="20">
        <f t="shared" si="351"/>
        <v>0</v>
      </c>
      <c r="CE282" s="20">
        <f t="shared" ref="CE282:CE312" si="352">$CC$11</f>
        <v>1400000</v>
      </c>
      <c r="CF282" s="20">
        <f t="shared" si="349"/>
        <v>2546743.3692738526</v>
      </c>
      <c r="CG282" s="20">
        <f t="shared" si="327"/>
        <v>101869.73477095411</v>
      </c>
      <c r="CH282" s="20">
        <f t="shared" si="350"/>
        <v>8489.1445642461749</v>
      </c>
      <c r="CI282" s="20">
        <f t="shared" si="328"/>
        <v>2533387.0152988951</v>
      </c>
      <c r="CJ282" s="24">
        <f t="shared" si="329"/>
        <v>1.7828945129991838</v>
      </c>
      <c r="CK282" s="24">
        <f t="shared" si="330"/>
        <v>5.2816682468460842E-3</v>
      </c>
      <c r="CL282" s="24">
        <f t="shared" si="331"/>
        <v>1.5926675016997717E-2</v>
      </c>
      <c r="CM282" s="25">
        <f t="shared" si="332"/>
        <v>6.5203235808490259E-2</v>
      </c>
      <c r="CN282" s="17"/>
      <c r="CO282" s="17"/>
      <c r="CP282" s="17"/>
      <c r="CQ282" s="17"/>
      <c r="CR282" s="17"/>
      <c r="CS282" s="17"/>
      <c r="CT282" s="17"/>
      <c r="CU282" s="17"/>
      <c r="CV282" s="17"/>
      <c r="CW282" s="30">
        <v>0</v>
      </c>
      <c r="CX282" s="17"/>
      <c r="CY282" s="17"/>
      <c r="CZ282" s="17"/>
      <c r="DA282" s="17"/>
      <c r="DB282" s="17"/>
    </row>
    <row r="283" spans="1:106" ht="15.75" thickBot="1" x14ac:dyDescent="0.3">
      <c r="A283" s="5">
        <f t="shared" si="299"/>
        <v>47</v>
      </c>
      <c r="B283" s="5">
        <f t="shared" si="299"/>
        <v>45</v>
      </c>
      <c r="C283" s="1"/>
      <c r="D283" s="4"/>
      <c r="E283" s="30"/>
      <c r="F283" s="30"/>
      <c r="G283" s="30">
        <f t="shared" si="303"/>
        <v>0</v>
      </c>
      <c r="H283" s="30"/>
      <c r="I283" s="10">
        <v>0</v>
      </c>
      <c r="J283" s="60">
        <v>9000</v>
      </c>
      <c r="K283" s="11">
        <v>550</v>
      </c>
      <c r="L283" s="60">
        <f t="shared" si="72"/>
        <v>12227.619891892913</v>
      </c>
      <c r="M283" s="11">
        <v>305</v>
      </c>
      <c r="N283" s="60">
        <v>0</v>
      </c>
      <c r="O283" s="11">
        <v>0</v>
      </c>
      <c r="P283" s="11">
        <v>0</v>
      </c>
      <c r="Q283" s="60">
        <f>(Q282*($K$1/12))+Q282 + $Q$8</f>
        <v>400206.53630237567</v>
      </c>
      <c r="R283" s="60">
        <f>(R282*($K$1/12))+R282</f>
        <v>17107.331389045507</v>
      </c>
      <c r="S283" s="60">
        <f>(S282*($K$1/12))+S282</f>
        <v>14852.595508860542</v>
      </c>
      <c r="T283" s="60">
        <f>(T282*($K$1/12))+T282+$T$8</f>
        <v>1506086.5859570135</v>
      </c>
      <c r="U283" s="60">
        <f>(U282*$K$1/12) + U282</f>
        <v>180715.98095724761</v>
      </c>
      <c r="V283" s="60">
        <v>3100</v>
      </c>
      <c r="W283" s="60">
        <f>(W282*($K$1/12))+W282+$W$8</f>
        <v>125438.82315993213</v>
      </c>
      <c r="X283" s="11">
        <v>0</v>
      </c>
      <c r="Y283" s="60">
        <f>(Y282*($K$1/12))+Y282+$Y$8</f>
        <v>315788.37591627782</v>
      </c>
      <c r="Z283" s="60">
        <f>'Mortgage and Loans'!U245</f>
        <v>180000</v>
      </c>
      <c r="AA283" s="12">
        <f t="shared" si="347"/>
        <v>2765378.849082646</v>
      </c>
      <c r="AB283" s="56">
        <f t="shared" si="333"/>
        <v>750</v>
      </c>
      <c r="AC283" s="56">
        <f t="shared" si="333"/>
        <v>750</v>
      </c>
      <c r="AD283" s="56">
        <f t="shared" si="333"/>
        <v>750</v>
      </c>
      <c r="AE283" s="56">
        <f t="shared" si="333"/>
        <v>750</v>
      </c>
      <c r="AF283" s="56">
        <f t="shared" si="300"/>
        <v>261.43961538461554</v>
      </c>
      <c r="AG283" s="56">
        <f t="shared" si="333"/>
        <v>750</v>
      </c>
      <c r="AH283" s="56">
        <f>'Mortgage and Loans'!AF240</f>
        <v>0</v>
      </c>
      <c r="AI283" s="56">
        <f>'Mortgage and Loans'!AQ240</f>
        <v>0</v>
      </c>
      <c r="AJ283" s="56">
        <f>'Mortgage and Loans'!BB240</f>
        <v>0</v>
      </c>
      <c r="AK283" s="56">
        <f>'Mortgage and Loans'!BM240</f>
        <v>0</v>
      </c>
      <c r="AL283" s="56">
        <f>'Mortgage and Loans'!T245</f>
        <v>0</v>
      </c>
      <c r="AM283" s="12">
        <f t="shared" si="345"/>
        <v>-4011.4396153846155</v>
      </c>
      <c r="AN283" s="75">
        <f t="shared" si="85"/>
        <v>2761367.4094672613</v>
      </c>
      <c r="AO283" s="86">
        <f>'Mortgage and Loans'!G246</f>
        <v>0</v>
      </c>
      <c r="AP283" s="79">
        <f>('Salary Tax Breakdown'!B$16/12)-Data!AO283</f>
        <v>3447.5</v>
      </c>
      <c r="AQ283" s="87"/>
      <c r="AR283" s="20">
        <f t="shared" si="304"/>
        <v>4011.4396153846155</v>
      </c>
      <c r="AS283" s="20">
        <v>750</v>
      </c>
      <c r="AT283" s="20">
        <v>0</v>
      </c>
      <c r="AU283" s="20">
        <f t="shared" si="305"/>
        <v>4761.4396153846155</v>
      </c>
      <c r="AV283" s="20">
        <f t="shared" si="306"/>
        <v>4761.4396153846155</v>
      </c>
      <c r="AW283" s="51">
        <f t="shared" si="348"/>
        <v>0</v>
      </c>
      <c r="AX283" s="51">
        <f t="shared" si="334"/>
        <v>0</v>
      </c>
      <c r="AY283" s="51">
        <f t="shared" si="335"/>
        <v>0</v>
      </c>
      <c r="AZ283" s="51">
        <f t="shared" si="336"/>
        <v>0</v>
      </c>
      <c r="BA283" s="51">
        <f t="shared" si="337"/>
        <v>0</v>
      </c>
      <c r="BB283" s="51">
        <f t="shared" si="338"/>
        <v>0</v>
      </c>
      <c r="BC283" s="51">
        <f t="shared" si="339"/>
        <v>0</v>
      </c>
      <c r="BD283" s="51">
        <f t="shared" si="340"/>
        <v>0</v>
      </c>
      <c r="BE283" s="51">
        <f t="shared" si="341"/>
        <v>0</v>
      </c>
      <c r="BF283" s="51">
        <f t="shared" si="342"/>
        <v>0</v>
      </c>
      <c r="BG283" s="51">
        <f t="shared" si="343"/>
        <v>0</v>
      </c>
      <c r="BH283" s="51">
        <f t="shared" si="344"/>
        <v>0</v>
      </c>
      <c r="BI283" s="51">
        <f t="shared" si="307"/>
        <v>0</v>
      </c>
      <c r="BJ283" s="51">
        <f t="shared" si="308"/>
        <v>0</v>
      </c>
      <c r="BK283" s="51">
        <f t="shared" si="309"/>
        <v>0</v>
      </c>
      <c r="BL283" s="51">
        <f t="shared" si="310"/>
        <v>0</v>
      </c>
      <c r="BM283" s="51">
        <f t="shared" si="311"/>
        <v>0</v>
      </c>
      <c r="BN283" s="51">
        <f t="shared" si="312"/>
        <v>0</v>
      </c>
      <c r="BO283" s="51">
        <f t="shared" si="313"/>
        <v>0</v>
      </c>
      <c r="BP283" s="51">
        <f t="shared" si="314"/>
        <v>0</v>
      </c>
      <c r="BQ283" s="51">
        <f t="shared" si="315"/>
        <v>0</v>
      </c>
      <c r="BR283" s="51">
        <f t="shared" si="316"/>
        <v>0</v>
      </c>
      <c r="BS283" s="51">
        <f t="shared" si="317"/>
        <v>0</v>
      </c>
      <c r="BT283" s="51">
        <f t="shared" si="318"/>
        <v>0</v>
      </c>
      <c r="BU283" s="20">
        <f t="shared" si="319"/>
        <v>4761.4396153846155</v>
      </c>
      <c r="BV283" s="20">
        <f t="shared" si="320"/>
        <v>4761.4396153846164</v>
      </c>
      <c r="BW283" s="20">
        <f t="shared" si="321"/>
        <v>57137.275384615386</v>
      </c>
      <c r="BX283" s="20">
        <f t="shared" si="322"/>
        <v>57137.275384615386</v>
      </c>
      <c r="BY283" s="20">
        <f t="shared" si="323"/>
        <v>57137.275384615394</v>
      </c>
      <c r="BZ283" s="21">
        <f t="shared" si="324"/>
        <v>57137.275384615386</v>
      </c>
      <c r="CA283" s="19">
        <f t="shared" si="346"/>
        <v>1428431.8846153847</v>
      </c>
      <c r="CB283" s="20">
        <f t="shared" si="325"/>
        <v>1428431.8846153847</v>
      </c>
      <c r="CC283" s="20">
        <f t="shared" si="326"/>
        <v>1428431.8846153843</v>
      </c>
      <c r="CD283" s="20">
        <f t="shared" si="351"/>
        <v>0</v>
      </c>
      <c r="CE283" s="20">
        <f t="shared" si="352"/>
        <v>1400000</v>
      </c>
      <c r="CF283" s="20">
        <f t="shared" si="349"/>
        <v>2560196.2291907533</v>
      </c>
      <c r="CG283" s="20">
        <f t="shared" si="327"/>
        <v>102407.84916763013</v>
      </c>
      <c r="CH283" s="20">
        <f t="shared" si="350"/>
        <v>8533.9874306358452</v>
      </c>
      <c r="CI283" s="20">
        <f t="shared" si="328"/>
        <v>2546767.5282984306</v>
      </c>
      <c r="CJ283" s="24">
        <f t="shared" si="329"/>
        <v>1.7923124348908692</v>
      </c>
      <c r="CK283" s="24">
        <f t="shared" si="330"/>
        <v>5.2823775175810253E-3</v>
      </c>
      <c r="CL283" s="24">
        <f t="shared" si="331"/>
        <v>1.5928836447413323E-2</v>
      </c>
      <c r="CM283" s="25">
        <f t="shared" si="332"/>
        <v>6.5212513891655444E-2</v>
      </c>
      <c r="CN283" s="17"/>
      <c r="CO283" s="17"/>
      <c r="CP283" s="17"/>
      <c r="CQ283" s="17"/>
      <c r="CR283" s="17"/>
      <c r="CS283" s="17"/>
      <c r="CT283" s="17"/>
      <c r="CU283" s="17"/>
      <c r="CV283" s="17"/>
      <c r="CW283" s="30">
        <v>0</v>
      </c>
      <c r="CX283" s="17"/>
      <c r="CY283" s="17"/>
      <c r="CZ283" s="17"/>
      <c r="DA283" s="17"/>
      <c r="DB283" s="17"/>
    </row>
    <row r="284" spans="1:106" ht="15.75" thickBot="1" x14ac:dyDescent="0.3">
      <c r="A284" s="5">
        <f t="shared" si="299"/>
        <v>47</v>
      </c>
      <c r="B284" s="5">
        <f t="shared" si="299"/>
        <v>45</v>
      </c>
      <c r="C284" s="1"/>
      <c r="D284" s="4"/>
      <c r="E284" s="30"/>
      <c r="F284" s="30"/>
      <c r="G284" s="30">
        <f t="shared" si="303"/>
        <v>0</v>
      </c>
      <c r="H284" s="30"/>
      <c r="I284" s="10">
        <v>0</v>
      </c>
      <c r="J284" s="60">
        <v>9000</v>
      </c>
      <c r="K284" s="11">
        <v>550</v>
      </c>
      <c r="L284" s="60">
        <f t="shared" si="72"/>
        <v>12242.394932595616</v>
      </c>
      <c r="M284" s="11">
        <v>305</v>
      </c>
      <c r="N284" s="60">
        <v>0</v>
      </c>
      <c r="O284" s="11">
        <v>0</v>
      </c>
      <c r="P284" s="11">
        <v>0</v>
      </c>
      <c r="Q284" s="60">
        <f>(Q283*($K$1/12))+Q283 + $Q$8</f>
        <v>402832.32170734688</v>
      </c>
      <c r="R284" s="60">
        <f>(R283*($K$1/12))+R283</f>
        <v>17199.996100736171</v>
      </c>
      <c r="S284" s="60">
        <f>(S283*($K$1/12))+S283</f>
        <v>14933.04706786687</v>
      </c>
      <c r="T284" s="60">
        <f>(T283*($K$1/12))+T283+$T$8</f>
        <v>1515744.5549642807</v>
      </c>
      <c r="U284" s="60">
        <f>(U283*$K$1/12) + U283</f>
        <v>181694.85918743271</v>
      </c>
      <c r="V284" s="60">
        <v>3100</v>
      </c>
      <c r="W284" s="60">
        <f>(W283*($K$1/12))+W283+$W$8</f>
        <v>126118.28345204843</v>
      </c>
      <c r="X284" s="11">
        <v>0</v>
      </c>
      <c r="Y284" s="60">
        <f>(Y283*($K$1/12))+Y283+$Y$8</f>
        <v>315198.8962858243</v>
      </c>
      <c r="Z284" s="60">
        <f>'Mortgage and Loans'!U246</f>
        <v>180000</v>
      </c>
      <c r="AA284" s="12">
        <f t="shared" si="347"/>
        <v>2778919.3536981316</v>
      </c>
      <c r="AB284" s="56">
        <f t="shared" si="333"/>
        <v>750</v>
      </c>
      <c r="AC284" s="56">
        <f t="shared" si="333"/>
        <v>750</v>
      </c>
      <c r="AD284" s="56">
        <f t="shared" si="333"/>
        <v>750</v>
      </c>
      <c r="AE284" s="56">
        <f t="shared" si="333"/>
        <v>750</v>
      </c>
      <c r="AF284" s="56">
        <f t="shared" si="300"/>
        <v>261.43961538461554</v>
      </c>
      <c r="AG284" s="56">
        <f t="shared" si="333"/>
        <v>750</v>
      </c>
      <c r="AH284" s="56">
        <f>'Mortgage and Loans'!AF241</f>
        <v>0</v>
      </c>
      <c r="AI284" s="56">
        <f>'Mortgage and Loans'!AQ241</f>
        <v>0</v>
      </c>
      <c r="AJ284" s="56">
        <f>'Mortgage and Loans'!BB241</f>
        <v>0</v>
      </c>
      <c r="AK284" s="56">
        <f>'Mortgage and Loans'!BM241</f>
        <v>0</v>
      </c>
      <c r="AL284" s="56">
        <f>'Mortgage and Loans'!T246</f>
        <v>0</v>
      </c>
      <c r="AM284" s="12">
        <f t="shared" si="345"/>
        <v>-4011.4396153846155</v>
      </c>
      <c r="AN284" s="75">
        <f t="shared" si="85"/>
        <v>2774907.914082747</v>
      </c>
      <c r="AO284" s="86">
        <f>'Mortgage and Loans'!G247</f>
        <v>0</v>
      </c>
      <c r="AP284" s="79">
        <f>('Salary Tax Breakdown'!B$16/12)-Data!AO284</f>
        <v>3447.5</v>
      </c>
      <c r="AQ284" s="87"/>
      <c r="AR284" s="20">
        <f t="shared" si="304"/>
        <v>4011.4396153846155</v>
      </c>
      <c r="AS284" s="20">
        <v>750</v>
      </c>
      <c r="AT284" s="20">
        <v>0</v>
      </c>
      <c r="AU284" s="20">
        <f t="shared" si="305"/>
        <v>4761.4396153846155</v>
      </c>
      <c r="AV284" s="20">
        <f t="shared" si="306"/>
        <v>4761.4396153846155</v>
      </c>
      <c r="AW284" s="51">
        <f t="shared" si="348"/>
        <v>0</v>
      </c>
      <c r="AX284" s="51">
        <f t="shared" si="334"/>
        <v>0</v>
      </c>
      <c r="AY284" s="51">
        <f t="shared" si="335"/>
        <v>0</v>
      </c>
      <c r="AZ284" s="51">
        <f t="shared" si="336"/>
        <v>0</v>
      </c>
      <c r="BA284" s="51">
        <f t="shared" si="337"/>
        <v>0</v>
      </c>
      <c r="BB284" s="51">
        <f t="shared" si="338"/>
        <v>0</v>
      </c>
      <c r="BC284" s="51">
        <f t="shared" si="339"/>
        <v>0</v>
      </c>
      <c r="BD284" s="51">
        <f t="shared" si="340"/>
        <v>0</v>
      </c>
      <c r="BE284" s="51">
        <f t="shared" si="341"/>
        <v>0</v>
      </c>
      <c r="BF284" s="51">
        <f t="shared" si="342"/>
        <v>0</v>
      </c>
      <c r="BG284" s="51">
        <f t="shared" si="343"/>
        <v>0</v>
      </c>
      <c r="BH284" s="51">
        <f t="shared" si="344"/>
        <v>0</v>
      </c>
      <c r="BI284" s="51">
        <f t="shared" si="307"/>
        <v>0</v>
      </c>
      <c r="BJ284" s="51">
        <f t="shared" si="308"/>
        <v>0</v>
      </c>
      <c r="BK284" s="51">
        <f t="shared" si="309"/>
        <v>0</v>
      </c>
      <c r="BL284" s="51">
        <f t="shared" si="310"/>
        <v>0</v>
      </c>
      <c r="BM284" s="51">
        <f t="shared" si="311"/>
        <v>0</v>
      </c>
      <c r="BN284" s="51">
        <f t="shared" si="312"/>
        <v>0</v>
      </c>
      <c r="BO284" s="51">
        <f t="shared" si="313"/>
        <v>0</v>
      </c>
      <c r="BP284" s="51">
        <f t="shared" si="314"/>
        <v>0</v>
      </c>
      <c r="BQ284" s="51">
        <f t="shared" si="315"/>
        <v>0</v>
      </c>
      <c r="BR284" s="51">
        <f t="shared" si="316"/>
        <v>0</v>
      </c>
      <c r="BS284" s="51">
        <f t="shared" si="317"/>
        <v>0</v>
      </c>
      <c r="BT284" s="51">
        <f t="shared" si="318"/>
        <v>0</v>
      </c>
      <c r="BU284" s="20">
        <f t="shared" si="319"/>
        <v>4761.4396153846155</v>
      </c>
      <c r="BV284" s="20">
        <f t="shared" si="320"/>
        <v>4761.4396153846164</v>
      </c>
      <c r="BW284" s="20">
        <f t="shared" si="321"/>
        <v>57137.275384615386</v>
      </c>
      <c r="BX284" s="20">
        <f t="shared" si="322"/>
        <v>57137.275384615386</v>
      </c>
      <c r="BY284" s="20">
        <f t="shared" si="323"/>
        <v>57137.275384615394</v>
      </c>
      <c r="BZ284" s="21">
        <f t="shared" si="324"/>
        <v>57137.275384615386</v>
      </c>
      <c r="CA284" s="19">
        <f t="shared" si="346"/>
        <v>1428431.8846153847</v>
      </c>
      <c r="CB284" s="20">
        <f t="shared" si="325"/>
        <v>1428431.8846153847</v>
      </c>
      <c r="CC284" s="20">
        <f t="shared" si="326"/>
        <v>1428431.8846153843</v>
      </c>
      <c r="CD284" s="20">
        <f t="shared" si="351"/>
        <v>0</v>
      </c>
      <c r="CE284" s="20">
        <f t="shared" si="352"/>
        <v>1400000</v>
      </c>
      <c r="CF284" s="20">
        <f t="shared" si="349"/>
        <v>2573721.9587655361</v>
      </c>
      <c r="CG284" s="20">
        <f t="shared" si="327"/>
        <v>102948.87835062144</v>
      </c>
      <c r="CH284" s="20">
        <f t="shared" si="350"/>
        <v>8579.0731958851193</v>
      </c>
      <c r="CI284" s="20">
        <f t="shared" si="328"/>
        <v>2560220.5190767143</v>
      </c>
      <c r="CJ284" s="24">
        <f t="shared" si="329"/>
        <v>1.8017813705261339</v>
      </c>
      <c r="CK284" s="24">
        <f t="shared" si="330"/>
        <v>5.2830831561134243E-3</v>
      </c>
      <c r="CL284" s="24">
        <f t="shared" si="331"/>
        <v>1.5930986815163167E-2</v>
      </c>
      <c r="CM284" s="25">
        <f t="shared" si="332"/>
        <v>6.5221744608809182E-2</v>
      </c>
      <c r="CN284" s="17"/>
      <c r="CO284" s="17"/>
      <c r="CP284" s="17"/>
      <c r="CQ284" s="17"/>
      <c r="CR284" s="17"/>
      <c r="CS284" s="17"/>
      <c r="CT284" s="17"/>
      <c r="CU284" s="17"/>
      <c r="CV284" s="17"/>
      <c r="CW284" s="30">
        <v>0</v>
      </c>
      <c r="CX284" s="17"/>
      <c r="CY284" s="17"/>
      <c r="CZ284" s="17"/>
      <c r="DA284" s="17"/>
      <c r="DB284" s="17"/>
    </row>
    <row r="285" spans="1:106" ht="15.75" thickBot="1" x14ac:dyDescent="0.3">
      <c r="A285" s="5">
        <f t="shared" ref="A285:B314" si="353">A273+1</f>
        <v>47</v>
      </c>
      <c r="B285" s="5">
        <f t="shared" si="353"/>
        <v>45</v>
      </c>
      <c r="C285" s="1"/>
      <c r="D285" s="4"/>
      <c r="E285" s="30"/>
      <c r="F285" s="30"/>
      <c r="G285" s="30">
        <f t="shared" si="303"/>
        <v>0</v>
      </c>
      <c r="H285" s="30"/>
      <c r="I285" s="10">
        <v>0</v>
      </c>
      <c r="J285" s="60">
        <v>9000</v>
      </c>
      <c r="K285" s="11">
        <v>550</v>
      </c>
      <c r="L285" s="60">
        <f t="shared" si="72"/>
        <v>12257.187826472502</v>
      </c>
      <c r="M285" s="11">
        <v>305</v>
      </c>
      <c r="N285" s="60">
        <v>0</v>
      </c>
      <c r="O285" s="11">
        <v>0</v>
      </c>
      <c r="P285" s="11">
        <v>0</v>
      </c>
      <c r="Q285" s="60">
        <f>(Q284*($K$1/12))+Q284 + $Q$8</f>
        <v>405472.33011659503</v>
      </c>
      <c r="R285" s="60">
        <f>(R284*($K$1/12))+R284</f>
        <v>17293.162746281825</v>
      </c>
      <c r="S285" s="60">
        <f>(S284*($K$1/12))+S284</f>
        <v>15013.934406151149</v>
      </c>
      <c r="T285" s="60">
        <f>(T284*($K$1/12))+T284+$T$8</f>
        <v>1525454.8379703371</v>
      </c>
      <c r="U285" s="60">
        <f>(U284*$K$1/12) + U284</f>
        <v>182679.03967469797</v>
      </c>
      <c r="V285" s="60">
        <v>3100</v>
      </c>
      <c r="W285" s="60">
        <f>(W284*($K$1/12))+W284+$W$8</f>
        <v>126801.42415408036</v>
      </c>
      <c r="X285" s="11">
        <v>0</v>
      </c>
      <c r="Y285" s="60">
        <f>(Y284*($K$1/12))+Y284+$Y$8</f>
        <v>314606.22364070587</v>
      </c>
      <c r="Z285" s="60">
        <f>'Mortgage and Loans'!U247</f>
        <v>180000</v>
      </c>
      <c r="AA285" s="12">
        <f t="shared" si="347"/>
        <v>2792533.140535322</v>
      </c>
      <c r="AB285" s="56">
        <f t="shared" si="333"/>
        <v>750</v>
      </c>
      <c r="AC285" s="56">
        <f t="shared" si="333"/>
        <v>750</v>
      </c>
      <c r="AD285" s="56">
        <f t="shared" si="333"/>
        <v>750</v>
      </c>
      <c r="AE285" s="56">
        <f t="shared" si="333"/>
        <v>750</v>
      </c>
      <c r="AF285" s="56">
        <f t="shared" si="300"/>
        <v>261.43961538461554</v>
      </c>
      <c r="AG285" s="56">
        <f t="shared" si="333"/>
        <v>750</v>
      </c>
      <c r="AH285" s="56">
        <f>'Mortgage and Loans'!AF242</f>
        <v>0</v>
      </c>
      <c r="AI285" s="56">
        <f>'Mortgage and Loans'!AQ242</f>
        <v>0</v>
      </c>
      <c r="AJ285" s="56">
        <f>'Mortgage and Loans'!BB242</f>
        <v>0</v>
      </c>
      <c r="AK285" s="56">
        <f>'Mortgage and Loans'!BM242</f>
        <v>0</v>
      </c>
      <c r="AL285" s="56">
        <f>'Mortgage and Loans'!T247</f>
        <v>0</v>
      </c>
      <c r="AM285" s="12">
        <f t="shared" si="345"/>
        <v>-4011.4396153846155</v>
      </c>
      <c r="AN285" s="75">
        <f t="shared" si="85"/>
        <v>2788521.7009199373</v>
      </c>
      <c r="AO285" s="86">
        <f>'Mortgage and Loans'!G248</f>
        <v>0</v>
      </c>
      <c r="AP285" s="79">
        <f>('Salary Tax Breakdown'!B$16/12)-Data!AO285</f>
        <v>3447.5</v>
      </c>
      <c r="AQ285" s="87"/>
      <c r="AR285" s="20">
        <f t="shared" si="304"/>
        <v>4011.4396153846155</v>
      </c>
      <c r="AS285" s="20">
        <v>750</v>
      </c>
      <c r="AT285" s="20">
        <v>0</v>
      </c>
      <c r="AU285" s="20">
        <f t="shared" si="305"/>
        <v>4761.4396153846155</v>
      </c>
      <c r="AV285" s="20">
        <f t="shared" si="306"/>
        <v>4761.4396153846155</v>
      </c>
      <c r="AW285" s="51">
        <f t="shared" si="348"/>
        <v>0</v>
      </c>
      <c r="AX285" s="51">
        <f t="shared" si="334"/>
        <v>0</v>
      </c>
      <c r="AY285" s="51">
        <f t="shared" si="335"/>
        <v>0</v>
      </c>
      <c r="AZ285" s="51">
        <f t="shared" si="336"/>
        <v>0</v>
      </c>
      <c r="BA285" s="51">
        <f t="shared" si="337"/>
        <v>0</v>
      </c>
      <c r="BB285" s="51">
        <f t="shared" si="338"/>
        <v>0</v>
      </c>
      <c r="BC285" s="51">
        <f t="shared" si="339"/>
        <v>0</v>
      </c>
      <c r="BD285" s="51">
        <f t="shared" si="340"/>
        <v>0</v>
      </c>
      <c r="BE285" s="51">
        <f t="shared" si="341"/>
        <v>0</v>
      </c>
      <c r="BF285" s="51">
        <f t="shared" si="342"/>
        <v>0</v>
      </c>
      <c r="BG285" s="51">
        <f t="shared" si="343"/>
        <v>0</v>
      </c>
      <c r="BH285" s="51">
        <f t="shared" si="344"/>
        <v>0</v>
      </c>
      <c r="BI285" s="51">
        <f t="shared" si="307"/>
        <v>0</v>
      </c>
      <c r="BJ285" s="51">
        <f t="shared" si="308"/>
        <v>0</v>
      </c>
      <c r="BK285" s="51">
        <f t="shared" si="309"/>
        <v>0</v>
      </c>
      <c r="BL285" s="51">
        <f t="shared" si="310"/>
        <v>0</v>
      </c>
      <c r="BM285" s="51">
        <f t="shared" si="311"/>
        <v>0</v>
      </c>
      <c r="BN285" s="51">
        <f t="shared" si="312"/>
        <v>0</v>
      </c>
      <c r="BO285" s="51">
        <f t="shared" si="313"/>
        <v>0</v>
      </c>
      <c r="BP285" s="51">
        <f t="shared" si="314"/>
        <v>0</v>
      </c>
      <c r="BQ285" s="51">
        <f t="shared" si="315"/>
        <v>0</v>
      </c>
      <c r="BR285" s="51">
        <f t="shared" si="316"/>
        <v>0</v>
      </c>
      <c r="BS285" s="51">
        <f t="shared" si="317"/>
        <v>0</v>
      </c>
      <c r="BT285" s="51">
        <f t="shared" si="318"/>
        <v>0</v>
      </c>
      <c r="BU285" s="20">
        <f t="shared" si="319"/>
        <v>4761.4396153846155</v>
      </c>
      <c r="BV285" s="20">
        <f t="shared" si="320"/>
        <v>4761.4396153846164</v>
      </c>
      <c r="BW285" s="20">
        <f t="shared" si="321"/>
        <v>57137.275384615386</v>
      </c>
      <c r="BX285" s="20">
        <f t="shared" si="322"/>
        <v>57137.275384615386</v>
      </c>
      <c r="BY285" s="20">
        <f t="shared" si="323"/>
        <v>57137.275384615394</v>
      </c>
      <c r="BZ285" s="21">
        <f t="shared" si="324"/>
        <v>57137.275384615386</v>
      </c>
      <c r="CA285" s="19">
        <f t="shared" si="346"/>
        <v>1428431.8846153847</v>
      </c>
      <c r="CB285" s="20">
        <f t="shared" si="325"/>
        <v>1428431.8846153847</v>
      </c>
      <c r="CC285" s="20">
        <f t="shared" si="326"/>
        <v>1428431.8846153843</v>
      </c>
      <c r="CD285" s="20">
        <f t="shared" si="351"/>
        <v>0</v>
      </c>
      <c r="CE285" s="20">
        <f t="shared" si="352"/>
        <v>1400000</v>
      </c>
      <c r="CF285" s="20">
        <f t="shared" si="349"/>
        <v>2587320.9527088492</v>
      </c>
      <c r="CG285" s="20">
        <f t="shared" si="327"/>
        <v>103492.83810835397</v>
      </c>
      <c r="CH285" s="20">
        <f t="shared" si="350"/>
        <v>8624.4031756961649</v>
      </c>
      <c r="CI285" s="20">
        <f t="shared" si="328"/>
        <v>2573746.3802217129</v>
      </c>
      <c r="CJ285" s="24">
        <f t="shared" si="329"/>
        <v>1.811301596229423</v>
      </c>
      <c r="CK285" s="24">
        <f t="shared" si="330"/>
        <v>5.2837851800572036E-3</v>
      </c>
      <c r="CL285" s="24">
        <f t="shared" si="331"/>
        <v>1.5933126173826639E-2</v>
      </c>
      <c r="CM285" s="25">
        <f t="shared" si="332"/>
        <v>6.5230928188086373E-2</v>
      </c>
      <c r="CN285" s="17"/>
      <c r="CO285" s="17"/>
      <c r="CP285" s="17"/>
      <c r="CQ285" s="17"/>
      <c r="CR285" s="17"/>
      <c r="CS285" s="17"/>
      <c r="CT285" s="17"/>
      <c r="CU285" s="17"/>
      <c r="CV285" s="17"/>
      <c r="CW285" s="30">
        <v>0</v>
      </c>
      <c r="CX285" s="17"/>
      <c r="CY285" s="17"/>
      <c r="CZ285" s="17"/>
      <c r="DA285" s="17"/>
      <c r="DB285" s="17"/>
    </row>
    <row r="286" spans="1:106" ht="15.75" thickBot="1" x14ac:dyDescent="0.3">
      <c r="A286" s="5">
        <f t="shared" si="353"/>
        <v>47</v>
      </c>
      <c r="B286" s="5">
        <f t="shared" si="353"/>
        <v>45</v>
      </c>
      <c r="C286" s="1"/>
      <c r="D286" s="4"/>
      <c r="E286" s="30"/>
      <c r="F286" s="30"/>
      <c r="G286" s="30">
        <f t="shared" si="303"/>
        <v>0</v>
      </c>
      <c r="H286" s="30"/>
      <c r="I286" s="10">
        <v>0</v>
      </c>
      <c r="J286" s="60">
        <v>9000</v>
      </c>
      <c r="K286" s="11">
        <v>550</v>
      </c>
      <c r="L286" s="60">
        <f t="shared" ref="L286:L314" si="354">L285*(1+(0.0145/12))</f>
        <v>12271.998595096155</v>
      </c>
      <c r="M286" s="11">
        <v>305</v>
      </c>
      <c r="N286" s="60">
        <v>0</v>
      </c>
      <c r="O286" s="11">
        <v>0</v>
      </c>
      <c r="P286" s="11">
        <v>0</v>
      </c>
      <c r="Q286" s="60">
        <f>(Q285*($K$1/12))+Q285 + $Q$8</f>
        <v>408126.63857139327</v>
      </c>
      <c r="R286" s="60">
        <f>(R285*($K$1/12))+R285</f>
        <v>17386.83404449085</v>
      </c>
      <c r="S286" s="60">
        <f>(S285*($K$1/12))+S285</f>
        <v>15095.259884184468</v>
      </c>
      <c r="T286" s="60">
        <f>(T285*($K$1/12))+T285+$T$8</f>
        <v>1535217.7183426765</v>
      </c>
      <c r="U286" s="60">
        <f>(U285*$K$1/12) + U285</f>
        <v>183668.55113960258</v>
      </c>
      <c r="V286" s="60">
        <v>3100</v>
      </c>
      <c r="W286" s="60">
        <f>(W285*($K$1/12))+W285+$W$8</f>
        <v>127488.26520158163</v>
      </c>
      <c r="X286" s="11">
        <v>0</v>
      </c>
      <c r="Y286" s="60">
        <f>(Y285*($K$1/12))+Y285+$Y$8</f>
        <v>314010.34068542637</v>
      </c>
      <c r="Z286" s="60">
        <f>'Mortgage and Loans'!U248</f>
        <v>180000</v>
      </c>
      <c r="AA286" s="12">
        <f t="shared" si="347"/>
        <v>2806220.6064644516</v>
      </c>
      <c r="AB286" s="56">
        <f t="shared" si="333"/>
        <v>750</v>
      </c>
      <c r="AC286" s="56">
        <f t="shared" si="333"/>
        <v>750</v>
      </c>
      <c r="AD286" s="56">
        <f t="shared" si="333"/>
        <v>750</v>
      </c>
      <c r="AE286" s="56">
        <f t="shared" si="333"/>
        <v>750</v>
      </c>
      <c r="AF286" s="56">
        <f t="shared" si="300"/>
        <v>261.43961538461554</v>
      </c>
      <c r="AG286" s="56">
        <f t="shared" si="333"/>
        <v>750</v>
      </c>
      <c r="AH286" s="56">
        <f>'Mortgage and Loans'!AF243</f>
        <v>0</v>
      </c>
      <c r="AI286" s="56">
        <f>'Mortgage and Loans'!AQ243</f>
        <v>0</v>
      </c>
      <c r="AJ286" s="56">
        <f>'Mortgage and Loans'!BB243</f>
        <v>0</v>
      </c>
      <c r="AK286" s="56">
        <f>'Mortgage and Loans'!BM243</f>
        <v>0</v>
      </c>
      <c r="AL286" s="56">
        <f>'Mortgage and Loans'!T248</f>
        <v>0</v>
      </c>
      <c r="AM286" s="12">
        <f t="shared" si="345"/>
        <v>-4011.4396153846155</v>
      </c>
      <c r="AN286" s="75">
        <f t="shared" ref="AN286:AN312" si="355">AA286+AM286</f>
        <v>2802209.166849067</v>
      </c>
      <c r="AO286" s="86">
        <f>'Mortgage and Loans'!G249</f>
        <v>0</v>
      </c>
      <c r="AP286" s="79">
        <f>('Salary Tax Breakdown'!B$16/12)-Data!AO286</f>
        <v>3447.5</v>
      </c>
      <c r="AQ286" s="87"/>
      <c r="AR286" s="20">
        <f t="shared" si="304"/>
        <v>4011.4396153846155</v>
      </c>
      <c r="AS286" s="20">
        <v>750</v>
      </c>
      <c r="AT286" s="20">
        <v>0</v>
      </c>
      <c r="AU286" s="20">
        <f t="shared" si="305"/>
        <v>4761.4396153846155</v>
      </c>
      <c r="AV286" s="20">
        <f t="shared" si="306"/>
        <v>4761.4396153846155</v>
      </c>
      <c r="AW286" s="51">
        <f t="shared" si="348"/>
        <v>0</v>
      </c>
      <c r="AX286" s="51">
        <f t="shared" si="334"/>
        <v>0</v>
      </c>
      <c r="AY286" s="51">
        <f t="shared" si="335"/>
        <v>0</v>
      </c>
      <c r="AZ286" s="51">
        <f t="shared" si="336"/>
        <v>0</v>
      </c>
      <c r="BA286" s="51">
        <f t="shared" si="337"/>
        <v>0</v>
      </c>
      <c r="BB286" s="51">
        <f t="shared" si="338"/>
        <v>0</v>
      </c>
      <c r="BC286" s="51">
        <f t="shared" si="339"/>
        <v>0</v>
      </c>
      <c r="BD286" s="51">
        <f t="shared" si="340"/>
        <v>0</v>
      </c>
      <c r="BE286" s="51">
        <f t="shared" si="341"/>
        <v>0</v>
      </c>
      <c r="BF286" s="51">
        <f t="shared" si="342"/>
        <v>0</v>
      </c>
      <c r="BG286" s="51">
        <f t="shared" si="343"/>
        <v>0</v>
      </c>
      <c r="BH286" s="51">
        <f t="shared" si="344"/>
        <v>0</v>
      </c>
      <c r="BI286" s="51">
        <f t="shared" si="307"/>
        <v>0</v>
      </c>
      <c r="BJ286" s="51">
        <f t="shared" si="308"/>
        <v>0</v>
      </c>
      <c r="BK286" s="51">
        <f t="shared" si="309"/>
        <v>0</v>
      </c>
      <c r="BL286" s="51">
        <f t="shared" si="310"/>
        <v>0</v>
      </c>
      <c r="BM286" s="51">
        <f t="shared" si="311"/>
        <v>0</v>
      </c>
      <c r="BN286" s="51">
        <f t="shared" si="312"/>
        <v>0</v>
      </c>
      <c r="BO286" s="51">
        <f t="shared" si="313"/>
        <v>0</v>
      </c>
      <c r="BP286" s="51">
        <f t="shared" si="314"/>
        <v>0</v>
      </c>
      <c r="BQ286" s="51">
        <f t="shared" si="315"/>
        <v>0</v>
      </c>
      <c r="BR286" s="51">
        <f t="shared" si="316"/>
        <v>0</v>
      </c>
      <c r="BS286" s="51">
        <f t="shared" si="317"/>
        <v>0</v>
      </c>
      <c r="BT286" s="51">
        <f t="shared" si="318"/>
        <v>0</v>
      </c>
      <c r="BU286" s="20">
        <f t="shared" si="319"/>
        <v>4761.4396153846155</v>
      </c>
      <c r="BV286" s="20">
        <f t="shared" si="320"/>
        <v>4761.4396153846164</v>
      </c>
      <c r="BW286" s="20">
        <f t="shared" si="321"/>
        <v>57137.275384615386</v>
      </c>
      <c r="BX286" s="20">
        <f t="shared" si="322"/>
        <v>57137.275384615386</v>
      </c>
      <c r="BY286" s="20">
        <f t="shared" si="323"/>
        <v>57137.275384615394</v>
      </c>
      <c r="BZ286" s="21">
        <f t="shared" si="324"/>
        <v>57137.275384615386</v>
      </c>
      <c r="CA286" s="19">
        <f t="shared" si="346"/>
        <v>1428431.8846153847</v>
      </c>
      <c r="CB286" s="20">
        <f t="shared" si="325"/>
        <v>1428431.8846153847</v>
      </c>
      <c r="CC286" s="20">
        <f t="shared" si="326"/>
        <v>1428431.8846153843</v>
      </c>
      <c r="CD286" s="20">
        <f t="shared" si="351"/>
        <v>0</v>
      </c>
      <c r="CE286" s="20">
        <f t="shared" si="352"/>
        <v>1400000</v>
      </c>
      <c r="CF286" s="20">
        <f t="shared" si="349"/>
        <v>2600993.6078693555</v>
      </c>
      <c r="CG286" s="20">
        <f t="shared" si="327"/>
        <v>104039.74431477422</v>
      </c>
      <c r="CH286" s="20">
        <f t="shared" si="350"/>
        <v>8669.9786928978519</v>
      </c>
      <c r="CI286" s="20">
        <f t="shared" si="328"/>
        <v>2587345.5064479136</v>
      </c>
      <c r="CJ286" s="24">
        <f t="shared" si="329"/>
        <v>1.8208733898219382</v>
      </c>
      <c r="CK286" s="24">
        <f t="shared" si="330"/>
        <v>5.2844836069492604E-3</v>
      </c>
      <c r="CL286" s="24">
        <f t="shared" si="331"/>
        <v>1.5935254576754734E-2</v>
      </c>
      <c r="CM286" s="25">
        <f t="shared" si="332"/>
        <v>6.5240064856667265E-2</v>
      </c>
      <c r="CN286" s="17"/>
      <c r="CO286" s="17"/>
      <c r="CP286" s="17"/>
      <c r="CQ286" s="17"/>
      <c r="CR286" s="17"/>
      <c r="CS286" s="17"/>
      <c r="CT286" s="17"/>
      <c r="CU286" s="17"/>
      <c r="CV286" s="17"/>
      <c r="CW286" s="30">
        <v>0</v>
      </c>
      <c r="CX286" s="17"/>
      <c r="CY286" s="17"/>
      <c r="CZ286" s="17"/>
      <c r="DA286" s="17"/>
      <c r="DB286" s="17"/>
    </row>
    <row r="287" spans="1:106" ht="15.75" thickBot="1" x14ac:dyDescent="0.3">
      <c r="A287" s="5">
        <f t="shared" si="353"/>
        <v>47</v>
      </c>
      <c r="B287" s="5">
        <f t="shared" si="353"/>
        <v>45</v>
      </c>
      <c r="C287" s="1"/>
      <c r="D287" s="4"/>
      <c r="E287" s="30"/>
      <c r="F287" s="30"/>
      <c r="G287" s="30">
        <f t="shared" si="303"/>
        <v>0</v>
      </c>
      <c r="H287" s="30"/>
      <c r="I287" s="10">
        <v>0</v>
      </c>
      <c r="J287" s="60">
        <v>9000</v>
      </c>
      <c r="K287" s="11">
        <v>550</v>
      </c>
      <c r="L287" s="60">
        <f t="shared" si="354"/>
        <v>12286.827260065229</v>
      </c>
      <c r="M287" s="11">
        <v>305</v>
      </c>
      <c r="N287" s="60">
        <v>0</v>
      </c>
      <c r="O287" s="11">
        <v>0</v>
      </c>
      <c r="P287" s="11">
        <v>0</v>
      </c>
      <c r="Q287" s="60">
        <f>(Q286*($K$1/12))+Q286 + $Q$8</f>
        <v>410795.32453032164</v>
      </c>
      <c r="R287" s="60">
        <f>(R286*($K$1/12))+R286</f>
        <v>17481.01272889851</v>
      </c>
      <c r="S287" s="60">
        <f>(S286*($K$1/12))+S286</f>
        <v>15177.025875223801</v>
      </c>
      <c r="T287" s="60">
        <f>(T286*($K$1/12))+T286+$T$8</f>
        <v>1545033.4809836994</v>
      </c>
      <c r="U287" s="60">
        <f>(U286*$K$1/12) + U286</f>
        <v>184663.42245827543</v>
      </c>
      <c r="V287" s="60">
        <v>3100</v>
      </c>
      <c r="W287" s="60">
        <f>(W286*($K$1/12))+W286+$W$8</f>
        <v>128178.82663809019</v>
      </c>
      <c r="X287" s="11">
        <v>0</v>
      </c>
      <c r="Y287" s="60">
        <f>(Y286*($K$1/12))+Y286+$Y$8</f>
        <v>313411.23003080575</v>
      </c>
      <c r="Z287" s="60">
        <f>'Mortgage and Loans'!U249</f>
        <v>180000</v>
      </c>
      <c r="AA287" s="12">
        <f t="shared" si="347"/>
        <v>2819982.1505053798</v>
      </c>
      <c r="AB287" s="56">
        <f t="shared" si="333"/>
        <v>750</v>
      </c>
      <c r="AC287" s="56">
        <f t="shared" si="333"/>
        <v>750</v>
      </c>
      <c r="AD287" s="56">
        <f t="shared" si="333"/>
        <v>750</v>
      </c>
      <c r="AE287" s="56">
        <f t="shared" si="333"/>
        <v>750</v>
      </c>
      <c r="AF287" s="56">
        <f t="shared" si="300"/>
        <v>261.43961538461554</v>
      </c>
      <c r="AG287" s="56">
        <f t="shared" si="333"/>
        <v>750</v>
      </c>
      <c r="AH287" s="56">
        <f>'Mortgage and Loans'!AF244</f>
        <v>0</v>
      </c>
      <c r="AI287" s="56">
        <f>'Mortgage and Loans'!AQ244</f>
        <v>0</v>
      </c>
      <c r="AJ287" s="56">
        <f>'Mortgage and Loans'!BB244</f>
        <v>0</v>
      </c>
      <c r="AK287" s="56">
        <f>'Mortgage and Loans'!BM244</f>
        <v>0</v>
      </c>
      <c r="AL287" s="56">
        <f>'Mortgage and Loans'!T249</f>
        <v>0</v>
      </c>
      <c r="AM287" s="12">
        <f t="shared" si="345"/>
        <v>-4011.4396153846155</v>
      </c>
      <c r="AN287" s="75">
        <f t="shared" si="355"/>
        <v>2815970.7108899951</v>
      </c>
      <c r="AO287" s="86">
        <f>'Mortgage and Loans'!G250</f>
        <v>0</v>
      </c>
      <c r="AP287" s="79">
        <f>('Salary Tax Breakdown'!B$16/12)-Data!AO287</f>
        <v>3447.5</v>
      </c>
      <c r="AQ287" s="87"/>
      <c r="AR287" s="20">
        <f t="shared" si="304"/>
        <v>4011.4396153846155</v>
      </c>
      <c r="AS287" s="20">
        <v>750</v>
      </c>
      <c r="AT287" s="20">
        <v>0</v>
      </c>
      <c r="AU287" s="20">
        <f t="shared" si="305"/>
        <v>4761.4396153846155</v>
      </c>
      <c r="AV287" s="20">
        <f t="shared" si="306"/>
        <v>4761.4396153846155</v>
      </c>
      <c r="AW287" s="51">
        <f t="shared" si="348"/>
        <v>0</v>
      </c>
      <c r="AX287" s="51">
        <f t="shared" si="334"/>
        <v>0</v>
      </c>
      <c r="AY287" s="51">
        <f t="shared" si="335"/>
        <v>0</v>
      </c>
      <c r="AZ287" s="51">
        <f t="shared" si="336"/>
        <v>0</v>
      </c>
      <c r="BA287" s="51">
        <f t="shared" si="337"/>
        <v>0</v>
      </c>
      <c r="BB287" s="51">
        <f t="shared" si="338"/>
        <v>0</v>
      </c>
      <c r="BC287" s="51">
        <f t="shared" si="339"/>
        <v>0</v>
      </c>
      <c r="BD287" s="51">
        <f t="shared" si="340"/>
        <v>0</v>
      </c>
      <c r="BE287" s="51">
        <f t="shared" si="341"/>
        <v>0</v>
      </c>
      <c r="BF287" s="51">
        <f t="shared" si="342"/>
        <v>0</v>
      </c>
      <c r="BG287" s="51">
        <f t="shared" si="343"/>
        <v>0</v>
      </c>
      <c r="BH287" s="51">
        <f t="shared" si="344"/>
        <v>0</v>
      </c>
      <c r="BI287" s="51">
        <f t="shared" si="307"/>
        <v>0</v>
      </c>
      <c r="BJ287" s="51">
        <f t="shared" si="308"/>
        <v>0</v>
      </c>
      <c r="BK287" s="51">
        <f t="shared" si="309"/>
        <v>0</v>
      </c>
      <c r="BL287" s="51">
        <f t="shared" si="310"/>
        <v>0</v>
      </c>
      <c r="BM287" s="51">
        <f t="shared" si="311"/>
        <v>0</v>
      </c>
      <c r="BN287" s="51">
        <f t="shared" si="312"/>
        <v>0</v>
      </c>
      <c r="BO287" s="51">
        <f t="shared" si="313"/>
        <v>0</v>
      </c>
      <c r="BP287" s="51">
        <f t="shared" si="314"/>
        <v>0</v>
      </c>
      <c r="BQ287" s="51">
        <f t="shared" si="315"/>
        <v>0</v>
      </c>
      <c r="BR287" s="51">
        <f t="shared" si="316"/>
        <v>0</v>
      </c>
      <c r="BS287" s="51">
        <f t="shared" si="317"/>
        <v>0</v>
      </c>
      <c r="BT287" s="51">
        <f t="shared" si="318"/>
        <v>0</v>
      </c>
      <c r="BU287" s="20">
        <f t="shared" si="319"/>
        <v>4761.4396153846155</v>
      </c>
      <c r="BV287" s="20">
        <f t="shared" si="320"/>
        <v>4761.4396153846164</v>
      </c>
      <c r="BW287" s="20">
        <f t="shared" si="321"/>
        <v>57137.275384615386</v>
      </c>
      <c r="BX287" s="20">
        <f t="shared" si="322"/>
        <v>57137.275384615386</v>
      </c>
      <c r="BY287" s="20">
        <f t="shared" si="323"/>
        <v>57137.275384615394</v>
      </c>
      <c r="BZ287" s="21">
        <f t="shared" si="324"/>
        <v>57137.275384615386</v>
      </c>
      <c r="CA287" s="19">
        <f t="shared" si="346"/>
        <v>1428431.8846153847</v>
      </c>
      <c r="CB287" s="20">
        <f t="shared" si="325"/>
        <v>1428431.8846153847</v>
      </c>
      <c r="CC287" s="20">
        <f t="shared" si="326"/>
        <v>1428431.8846153843</v>
      </c>
      <c r="CD287" s="20">
        <f t="shared" si="351"/>
        <v>0</v>
      </c>
      <c r="CE287" s="20">
        <f t="shared" si="352"/>
        <v>1400000</v>
      </c>
      <c r="CF287" s="20">
        <f t="shared" si="349"/>
        <v>2614740.3232453149</v>
      </c>
      <c r="CG287" s="20">
        <f t="shared" si="327"/>
        <v>104589.6129298126</v>
      </c>
      <c r="CH287" s="20">
        <f t="shared" si="350"/>
        <v>8715.8010774843842</v>
      </c>
      <c r="CI287" s="20">
        <f t="shared" si="328"/>
        <v>2601018.29460784</v>
      </c>
      <c r="CJ287" s="24">
        <f t="shared" si="329"/>
        <v>1.8304970306297468</v>
      </c>
      <c r="CK287" s="24">
        <f t="shared" si="330"/>
        <v>5.2851784542524288E-3</v>
      </c>
      <c r="CL287" s="24">
        <f t="shared" si="331"/>
        <v>1.5937372077072735E-2</v>
      </c>
      <c r="CM287" s="25">
        <f t="shared" si="332"/>
        <v>6.5249154840777701E-2</v>
      </c>
      <c r="CN287" s="17"/>
      <c r="CO287" s="17"/>
      <c r="CP287" s="17"/>
      <c r="CQ287" s="17"/>
      <c r="CR287" s="17"/>
      <c r="CS287" s="17"/>
      <c r="CT287" s="17"/>
      <c r="CU287" s="17"/>
      <c r="CV287" s="17"/>
      <c r="CW287" s="30">
        <v>0</v>
      </c>
      <c r="CX287" s="17"/>
      <c r="CY287" s="17"/>
      <c r="CZ287" s="17"/>
      <c r="DA287" s="17"/>
      <c r="DB287" s="17"/>
    </row>
    <row r="288" spans="1:106" ht="15.75" thickBot="1" x14ac:dyDescent="0.3">
      <c r="A288" s="5">
        <f t="shared" si="353"/>
        <v>47</v>
      </c>
      <c r="B288" s="5">
        <f t="shared" si="353"/>
        <v>45</v>
      </c>
      <c r="C288" s="1"/>
      <c r="D288" s="4"/>
      <c r="E288" s="30"/>
      <c r="F288" s="30"/>
      <c r="G288" s="30">
        <f t="shared" si="303"/>
        <v>0</v>
      </c>
      <c r="H288" s="30"/>
      <c r="I288" s="10">
        <v>0</v>
      </c>
      <c r="J288" s="60">
        <v>9000</v>
      </c>
      <c r="K288" s="11">
        <v>550</v>
      </c>
      <c r="L288" s="60">
        <f t="shared" si="354"/>
        <v>12301.673843004473</v>
      </c>
      <c r="M288" s="11">
        <v>305</v>
      </c>
      <c r="N288" s="60">
        <v>0</v>
      </c>
      <c r="O288" s="11">
        <v>0</v>
      </c>
      <c r="P288" s="11">
        <v>0</v>
      </c>
      <c r="Q288" s="60">
        <f>(Q287*($K$1/12))+Q287 + $Q$8</f>
        <v>413478.46587152756</v>
      </c>
      <c r="R288" s="60">
        <f>(R287*($K$1/12))+R287</f>
        <v>17575.701547846711</v>
      </c>
      <c r="S288" s="60">
        <f>(S287*($K$1/12))+S287</f>
        <v>15259.234765381263</v>
      </c>
      <c r="T288" s="60">
        <f>(T287*($K$1/12))+T287+$T$8</f>
        <v>1554902.4123390277</v>
      </c>
      <c r="U288" s="60">
        <f>(U287*$K$1/12) + U287</f>
        <v>185663.68266325776</v>
      </c>
      <c r="V288" s="60">
        <v>3100</v>
      </c>
      <c r="W288" s="60">
        <f>(W287*($K$1/12))+W287+$W$8</f>
        <v>128873.12861571318</v>
      </c>
      <c r="X288" s="11">
        <v>0</v>
      </c>
      <c r="Y288" s="60">
        <f>(Y287*($K$1/12))+Y287+$Y$8</f>
        <v>312808.87419347261</v>
      </c>
      <c r="Z288" s="60">
        <f>'Mortgage and Loans'!U250</f>
        <v>180000</v>
      </c>
      <c r="AA288" s="12">
        <f t="shared" si="347"/>
        <v>2833818.1738392315</v>
      </c>
      <c r="AB288" s="56">
        <f t="shared" si="333"/>
        <v>750</v>
      </c>
      <c r="AC288" s="56">
        <f t="shared" si="333"/>
        <v>750</v>
      </c>
      <c r="AD288" s="56">
        <f t="shared" si="333"/>
        <v>750</v>
      </c>
      <c r="AE288" s="56">
        <f t="shared" si="333"/>
        <v>750</v>
      </c>
      <c r="AF288" s="56">
        <f t="shared" ref="AF288:AF314" si="356">AVERAGE(AF276:AF287)</f>
        <v>261.43961538461554</v>
      </c>
      <c r="AG288" s="56">
        <f t="shared" si="333"/>
        <v>750</v>
      </c>
      <c r="AH288" s="56">
        <f>'Mortgage and Loans'!AF245</f>
        <v>0</v>
      </c>
      <c r="AI288" s="56">
        <f>'Mortgage and Loans'!AQ245</f>
        <v>0</v>
      </c>
      <c r="AJ288" s="56">
        <f>'Mortgage and Loans'!BB245</f>
        <v>0</v>
      </c>
      <c r="AK288" s="56">
        <f>'Mortgage and Loans'!BM245</f>
        <v>0</v>
      </c>
      <c r="AL288" s="56">
        <f>'Mortgage and Loans'!T250</f>
        <v>0</v>
      </c>
      <c r="AM288" s="12">
        <f t="shared" si="345"/>
        <v>-4011.4396153846155</v>
      </c>
      <c r="AN288" s="75">
        <f t="shared" si="355"/>
        <v>2829806.7342238468</v>
      </c>
      <c r="AO288" s="86">
        <f>'Mortgage and Loans'!G251</f>
        <v>0</v>
      </c>
      <c r="AP288" s="79">
        <f>('Salary Tax Breakdown'!B$16/12)-Data!AO288</f>
        <v>3447.5</v>
      </c>
      <c r="AQ288" s="87"/>
      <c r="AR288" s="20">
        <f t="shared" si="304"/>
        <v>4011.4396153846155</v>
      </c>
      <c r="AS288" s="20">
        <v>750</v>
      </c>
      <c r="AT288" s="20">
        <v>0</v>
      </c>
      <c r="AU288" s="20">
        <f t="shared" si="305"/>
        <v>4761.4396153846155</v>
      </c>
      <c r="AV288" s="20">
        <f t="shared" si="306"/>
        <v>4761.4396153846155</v>
      </c>
      <c r="AW288" s="51">
        <f t="shared" si="348"/>
        <v>0</v>
      </c>
      <c r="AX288" s="51">
        <f t="shared" si="334"/>
        <v>0</v>
      </c>
      <c r="AY288" s="51">
        <f t="shared" si="335"/>
        <v>0</v>
      </c>
      <c r="AZ288" s="51">
        <f t="shared" si="336"/>
        <v>0</v>
      </c>
      <c r="BA288" s="51">
        <f t="shared" si="337"/>
        <v>0</v>
      </c>
      <c r="BB288" s="51">
        <f t="shared" si="338"/>
        <v>0</v>
      </c>
      <c r="BC288" s="51">
        <f t="shared" si="339"/>
        <v>0</v>
      </c>
      <c r="BD288" s="51">
        <f t="shared" si="340"/>
        <v>0</v>
      </c>
      <c r="BE288" s="51">
        <f t="shared" si="341"/>
        <v>0</v>
      </c>
      <c r="BF288" s="51">
        <f t="shared" si="342"/>
        <v>0</v>
      </c>
      <c r="BG288" s="51">
        <f t="shared" si="343"/>
        <v>0</v>
      </c>
      <c r="BH288" s="51">
        <f t="shared" si="344"/>
        <v>0</v>
      </c>
      <c r="BI288" s="51">
        <f t="shared" si="307"/>
        <v>0</v>
      </c>
      <c r="BJ288" s="51">
        <f t="shared" si="308"/>
        <v>0</v>
      </c>
      <c r="BK288" s="51">
        <f t="shared" si="309"/>
        <v>0</v>
      </c>
      <c r="BL288" s="51">
        <f t="shared" si="310"/>
        <v>0</v>
      </c>
      <c r="BM288" s="51">
        <f t="shared" si="311"/>
        <v>0</v>
      </c>
      <c r="BN288" s="51">
        <f t="shared" si="312"/>
        <v>0</v>
      </c>
      <c r="BO288" s="51">
        <f t="shared" si="313"/>
        <v>0</v>
      </c>
      <c r="BP288" s="51">
        <f t="shared" si="314"/>
        <v>0</v>
      </c>
      <c r="BQ288" s="51">
        <f t="shared" si="315"/>
        <v>0</v>
      </c>
      <c r="BR288" s="51">
        <f t="shared" si="316"/>
        <v>0</v>
      </c>
      <c r="BS288" s="51">
        <f t="shared" si="317"/>
        <v>0</v>
      </c>
      <c r="BT288" s="51">
        <f t="shared" si="318"/>
        <v>0</v>
      </c>
      <c r="BU288" s="20">
        <f t="shared" si="319"/>
        <v>4761.4396153846155</v>
      </c>
      <c r="BV288" s="20">
        <f t="shared" si="320"/>
        <v>4761.4396153846164</v>
      </c>
      <c r="BW288" s="20">
        <f t="shared" si="321"/>
        <v>57137.275384615386</v>
      </c>
      <c r="BX288" s="20">
        <f t="shared" si="322"/>
        <v>57137.275384615386</v>
      </c>
      <c r="BY288" s="20">
        <f t="shared" si="323"/>
        <v>57137.275384615394</v>
      </c>
      <c r="BZ288" s="21">
        <f t="shared" si="324"/>
        <v>57137.275384615386</v>
      </c>
      <c r="CA288" s="19">
        <f t="shared" si="346"/>
        <v>1428431.8846153847</v>
      </c>
      <c r="CB288" s="20">
        <f t="shared" si="325"/>
        <v>1428431.8846153847</v>
      </c>
      <c r="CC288" s="20">
        <f t="shared" si="326"/>
        <v>1428431.8846153843</v>
      </c>
      <c r="CD288" s="20">
        <f t="shared" si="351"/>
        <v>0</v>
      </c>
      <c r="CE288" s="20">
        <f t="shared" si="352"/>
        <v>1400000</v>
      </c>
      <c r="CF288" s="20">
        <f t="shared" si="349"/>
        <v>2628561.4999962267</v>
      </c>
      <c r="CG288" s="20">
        <f t="shared" si="327"/>
        <v>105142.45999984907</v>
      </c>
      <c r="CH288" s="20">
        <f t="shared" si="350"/>
        <v>8761.8716666540895</v>
      </c>
      <c r="CI288" s="20">
        <f t="shared" si="328"/>
        <v>2614765.1437036321</v>
      </c>
      <c r="CJ288" s="24">
        <f t="shared" si="329"/>
        <v>1.8401727994919306</v>
      </c>
      <c r="CK288" s="24">
        <f t="shared" si="330"/>
        <v>5.2858697393542899E-3</v>
      </c>
      <c r="CL288" s="24">
        <f t="shared" si="331"/>
        <v>1.593947872767771E-2</v>
      </c>
      <c r="CM288" s="25">
        <f t="shared" si="332"/>
        <v>6.5258198365693729E-2</v>
      </c>
      <c r="CN288" s="17"/>
      <c r="CO288" s="17"/>
      <c r="CP288" s="17"/>
      <c r="CQ288" s="17"/>
      <c r="CR288" s="17"/>
      <c r="CS288" s="17"/>
      <c r="CT288" s="17"/>
      <c r="CU288" s="17"/>
      <c r="CV288" s="17"/>
      <c r="CW288" s="30">
        <v>0</v>
      </c>
      <c r="CX288" s="17"/>
      <c r="CY288" s="17"/>
      <c r="CZ288" s="17"/>
      <c r="DA288" s="17"/>
      <c r="DB288" s="17"/>
    </row>
    <row r="289" spans="1:106" ht="15.75" thickBot="1" x14ac:dyDescent="0.3">
      <c r="A289" s="5">
        <f t="shared" si="353"/>
        <v>47</v>
      </c>
      <c r="B289" s="5">
        <f t="shared" si="353"/>
        <v>45</v>
      </c>
      <c r="C289" s="1"/>
      <c r="D289" s="4"/>
      <c r="E289" s="30"/>
      <c r="F289" s="30"/>
      <c r="G289" s="30">
        <f t="shared" si="303"/>
        <v>0</v>
      </c>
      <c r="H289" s="30"/>
      <c r="I289" s="10">
        <v>0</v>
      </c>
      <c r="J289" s="60">
        <v>9000</v>
      </c>
      <c r="K289" s="11">
        <v>550</v>
      </c>
      <c r="L289" s="60">
        <f t="shared" si="354"/>
        <v>12316.538365564769</v>
      </c>
      <c r="M289" s="11">
        <v>305</v>
      </c>
      <c r="N289" s="60">
        <v>0</v>
      </c>
      <c r="O289" s="11">
        <v>0</v>
      </c>
      <c r="P289" s="11">
        <v>0</v>
      </c>
      <c r="Q289" s="60">
        <f>(Q288*($K$1/12))+Q288 + $Q$8</f>
        <v>416176.14089499833</v>
      </c>
      <c r="R289" s="60">
        <f>(R288*($K$1/12))+R288</f>
        <v>17670.903264564215</v>
      </c>
      <c r="S289" s="60">
        <f>(S288*($K$1/12))+S288</f>
        <v>15341.888953693744</v>
      </c>
      <c r="T289" s="60">
        <f>(T288*($K$1/12))+T288+$T$8</f>
        <v>1564824.8004058641</v>
      </c>
      <c r="U289" s="60">
        <f>(U288*$K$1/12) + U288</f>
        <v>186669.3609443504</v>
      </c>
      <c r="V289" s="60">
        <v>3100</v>
      </c>
      <c r="W289" s="60">
        <f>(W288*($K$1/12))+W288+$W$8</f>
        <v>129571.19139571497</v>
      </c>
      <c r="X289" s="11">
        <v>0</v>
      </c>
      <c r="Y289" s="60">
        <f>(Y288*($K$1/12))+Y288+$Y$8</f>
        <v>312203.2555953539</v>
      </c>
      <c r="Z289" s="60">
        <f>'Mortgage and Loans'!U251</f>
        <v>180000</v>
      </c>
      <c r="AA289" s="12">
        <f t="shared" si="347"/>
        <v>2847729.0798201044</v>
      </c>
      <c r="AB289" s="56">
        <f t="shared" ref="AB289:AG312" si="357">$AC$1/5</f>
        <v>750</v>
      </c>
      <c r="AC289" s="56">
        <f t="shared" si="357"/>
        <v>750</v>
      </c>
      <c r="AD289" s="56">
        <f t="shared" si="357"/>
        <v>750</v>
      </c>
      <c r="AE289" s="56">
        <f t="shared" si="357"/>
        <v>750</v>
      </c>
      <c r="AF289" s="56">
        <f t="shared" si="356"/>
        <v>261.43961538461554</v>
      </c>
      <c r="AG289" s="56">
        <f t="shared" si="357"/>
        <v>750</v>
      </c>
      <c r="AH289" s="56">
        <f>'Mortgage and Loans'!AF246</f>
        <v>0</v>
      </c>
      <c r="AI289" s="56">
        <f>'Mortgage and Loans'!AQ246</f>
        <v>0</v>
      </c>
      <c r="AJ289" s="56">
        <f>'Mortgage and Loans'!BB246</f>
        <v>0</v>
      </c>
      <c r="AK289" s="56">
        <f>'Mortgage and Loans'!BM246</f>
        <v>0</v>
      </c>
      <c r="AL289" s="56">
        <f>'Mortgage and Loans'!T251</f>
        <v>0</v>
      </c>
      <c r="AM289" s="12">
        <f t="shared" si="345"/>
        <v>-4011.4396153846155</v>
      </c>
      <c r="AN289" s="75">
        <f t="shared" si="355"/>
        <v>2843717.6402047197</v>
      </c>
      <c r="AO289" s="86">
        <f>'Mortgage and Loans'!G252</f>
        <v>0</v>
      </c>
      <c r="AP289" s="79">
        <f>('Salary Tax Breakdown'!B$16/12)-Data!AO289</f>
        <v>3447.5</v>
      </c>
      <c r="AQ289" s="87"/>
      <c r="AR289" s="20">
        <f t="shared" si="304"/>
        <v>4011.4396153846155</v>
      </c>
      <c r="AS289" s="20">
        <v>750</v>
      </c>
      <c r="AT289" s="20">
        <v>0</v>
      </c>
      <c r="AU289" s="20">
        <f t="shared" si="305"/>
        <v>4761.4396153846155</v>
      </c>
      <c r="AV289" s="20">
        <f t="shared" si="306"/>
        <v>4761.4396153846155</v>
      </c>
      <c r="AW289" s="51">
        <f t="shared" si="348"/>
        <v>0</v>
      </c>
      <c r="AX289" s="51">
        <f t="shared" si="334"/>
        <v>0</v>
      </c>
      <c r="AY289" s="51">
        <f t="shared" si="335"/>
        <v>0</v>
      </c>
      <c r="AZ289" s="51">
        <f t="shared" si="336"/>
        <v>0</v>
      </c>
      <c r="BA289" s="51">
        <f t="shared" si="337"/>
        <v>0</v>
      </c>
      <c r="BB289" s="51">
        <f t="shared" si="338"/>
        <v>0</v>
      </c>
      <c r="BC289" s="51">
        <f t="shared" si="339"/>
        <v>0</v>
      </c>
      <c r="BD289" s="51">
        <f t="shared" si="340"/>
        <v>0</v>
      </c>
      <c r="BE289" s="51">
        <f t="shared" si="341"/>
        <v>0</v>
      </c>
      <c r="BF289" s="51">
        <f t="shared" si="342"/>
        <v>0</v>
      </c>
      <c r="BG289" s="51">
        <f t="shared" si="343"/>
        <v>0</v>
      </c>
      <c r="BH289" s="51">
        <f t="shared" si="344"/>
        <v>0</v>
      </c>
      <c r="BI289" s="51">
        <f t="shared" si="307"/>
        <v>0</v>
      </c>
      <c r="BJ289" s="51">
        <f t="shared" si="308"/>
        <v>0</v>
      </c>
      <c r="BK289" s="51">
        <f t="shared" si="309"/>
        <v>0</v>
      </c>
      <c r="BL289" s="51">
        <f t="shared" si="310"/>
        <v>0</v>
      </c>
      <c r="BM289" s="51">
        <f t="shared" si="311"/>
        <v>0</v>
      </c>
      <c r="BN289" s="51">
        <f t="shared" si="312"/>
        <v>0</v>
      </c>
      <c r="BO289" s="51">
        <f t="shared" si="313"/>
        <v>0</v>
      </c>
      <c r="BP289" s="51">
        <f t="shared" si="314"/>
        <v>0</v>
      </c>
      <c r="BQ289" s="51">
        <f t="shared" si="315"/>
        <v>0</v>
      </c>
      <c r="BR289" s="51">
        <f t="shared" si="316"/>
        <v>0</v>
      </c>
      <c r="BS289" s="51">
        <f t="shared" si="317"/>
        <v>0</v>
      </c>
      <c r="BT289" s="51">
        <f t="shared" si="318"/>
        <v>0</v>
      </c>
      <c r="BU289" s="20">
        <f t="shared" si="319"/>
        <v>4761.4396153846155</v>
      </c>
      <c r="BV289" s="20">
        <f t="shared" si="320"/>
        <v>4761.4396153846164</v>
      </c>
      <c r="BW289" s="20">
        <f t="shared" si="321"/>
        <v>57137.275384615386</v>
      </c>
      <c r="BX289" s="20">
        <f t="shared" si="322"/>
        <v>57137.275384615386</v>
      </c>
      <c r="BY289" s="20">
        <f t="shared" si="323"/>
        <v>57137.275384615394</v>
      </c>
      <c r="BZ289" s="21">
        <f t="shared" si="324"/>
        <v>57137.275384615386</v>
      </c>
      <c r="CA289" s="19">
        <f t="shared" si="346"/>
        <v>1428431.8846153847</v>
      </c>
      <c r="CB289" s="20">
        <f t="shared" si="325"/>
        <v>1428431.8846153847</v>
      </c>
      <c r="CC289" s="20">
        <f t="shared" si="326"/>
        <v>1428431.8846153843</v>
      </c>
      <c r="CD289" s="20">
        <f t="shared" si="351"/>
        <v>0</v>
      </c>
      <c r="CE289" s="20">
        <f t="shared" si="352"/>
        <v>1400000</v>
      </c>
      <c r="CF289" s="20">
        <f t="shared" si="349"/>
        <v>2642457.5414545396</v>
      </c>
      <c r="CG289" s="20">
        <f t="shared" si="327"/>
        <v>105698.30165818159</v>
      </c>
      <c r="CH289" s="20">
        <f t="shared" si="350"/>
        <v>8808.1918048484658</v>
      </c>
      <c r="CI289" s="20">
        <f t="shared" si="328"/>
        <v>2628586.4548986936</v>
      </c>
      <c r="CJ289" s="24">
        <f t="shared" si="329"/>
        <v>1.8499009787687846</v>
      </c>
      <c r="CK289" s="24">
        <f t="shared" si="330"/>
        <v>5.2865574795692757E-3</v>
      </c>
      <c r="CL289" s="24">
        <f t="shared" si="331"/>
        <v>1.5941574581242433E-2</v>
      </c>
      <c r="CM289" s="25">
        <f t="shared" si="332"/>
        <v>6.5267195655743473E-2</v>
      </c>
      <c r="CN289" s="17"/>
      <c r="CO289" s="17"/>
      <c r="CP289" s="17"/>
      <c r="CQ289" s="17"/>
      <c r="CR289" s="17"/>
      <c r="CS289" s="17"/>
      <c r="CT289" s="17"/>
      <c r="CU289" s="17"/>
      <c r="CV289" s="17"/>
      <c r="CW289" s="30">
        <v>0</v>
      </c>
      <c r="CX289" s="17"/>
      <c r="CY289" s="17"/>
      <c r="CZ289" s="17"/>
      <c r="DA289" s="17"/>
      <c r="DB289" s="17"/>
    </row>
    <row r="290" spans="1:106" ht="15.75" thickBot="1" x14ac:dyDescent="0.3">
      <c r="A290" s="5">
        <f t="shared" si="353"/>
        <v>47</v>
      </c>
      <c r="B290" s="5">
        <f t="shared" si="353"/>
        <v>46</v>
      </c>
      <c r="C290" s="1"/>
      <c r="D290" s="4"/>
      <c r="E290" s="30"/>
      <c r="F290" s="30"/>
      <c r="G290" s="30">
        <f t="shared" si="303"/>
        <v>0</v>
      </c>
      <c r="H290" s="30"/>
      <c r="I290" s="10">
        <v>0</v>
      </c>
      <c r="J290" s="60">
        <v>9000</v>
      </c>
      <c r="K290" s="11">
        <v>550</v>
      </c>
      <c r="L290" s="60">
        <f t="shared" si="354"/>
        <v>12331.420849423159</v>
      </c>
      <c r="M290" s="11">
        <v>305</v>
      </c>
      <c r="N290" s="60">
        <v>0</v>
      </c>
      <c r="O290" s="11">
        <v>0</v>
      </c>
      <c r="P290" s="11">
        <v>0</v>
      </c>
      <c r="Q290" s="60">
        <f>(Q289*($K$1/12))+Q289 + $Q$8</f>
        <v>418888.42832484626</v>
      </c>
      <c r="R290" s="60">
        <f>(R289*($K$1/12))+R289</f>
        <v>17766.620657247269</v>
      </c>
      <c r="S290" s="60">
        <f>(S289*($K$1/12))+S289</f>
        <v>15424.990852192919</v>
      </c>
      <c r="T290" s="60">
        <f>(T289*($K$1/12))+T289+$T$8</f>
        <v>1574800.934741396</v>
      </c>
      <c r="U290" s="60">
        <f>(U289*$K$1/12) + U289</f>
        <v>187680.48664946563</v>
      </c>
      <c r="V290" s="60">
        <v>3100</v>
      </c>
      <c r="W290" s="60">
        <f>(W289*($K$1/12))+W289+$W$8</f>
        <v>130273.03534910842</v>
      </c>
      <c r="X290" s="11">
        <v>0</v>
      </c>
      <c r="Y290" s="60">
        <f>(Y289*($K$1/12))+Y289+$Y$8</f>
        <v>311594.35656316206</v>
      </c>
      <c r="Z290" s="60">
        <f>'Mortgage and Loans'!U252</f>
        <v>180000</v>
      </c>
      <c r="AA290" s="12">
        <f t="shared" si="347"/>
        <v>2861715.2739868416</v>
      </c>
      <c r="AB290" s="56">
        <f t="shared" si="357"/>
        <v>750</v>
      </c>
      <c r="AC290" s="56">
        <f t="shared" si="357"/>
        <v>750</v>
      </c>
      <c r="AD290" s="56">
        <f t="shared" si="357"/>
        <v>750</v>
      </c>
      <c r="AE290" s="56">
        <f t="shared" si="357"/>
        <v>750</v>
      </c>
      <c r="AF290" s="56">
        <f t="shared" si="356"/>
        <v>261.43961538461554</v>
      </c>
      <c r="AG290" s="56">
        <f t="shared" si="357"/>
        <v>750</v>
      </c>
      <c r="AH290" s="56">
        <f>'Mortgage and Loans'!AF247</f>
        <v>0</v>
      </c>
      <c r="AI290" s="56">
        <f>'Mortgage and Loans'!AQ247</f>
        <v>0</v>
      </c>
      <c r="AJ290" s="56">
        <f>'Mortgage and Loans'!BB247</f>
        <v>0</v>
      </c>
      <c r="AK290" s="56">
        <f>'Mortgage and Loans'!BM247</f>
        <v>0</v>
      </c>
      <c r="AL290" s="56">
        <f>'Mortgage and Loans'!T252</f>
        <v>0</v>
      </c>
      <c r="AM290" s="12">
        <f t="shared" si="345"/>
        <v>-4011.4396153846155</v>
      </c>
      <c r="AN290" s="75">
        <f t="shared" si="355"/>
        <v>2857703.8343714569</v>
      </c>
      <c r="AO290" s="86">
        <f>'Mortgage and Loans'!G253</f>
        <v>0</v>
      </c>
      <c r="AP290" s="79">
        <f>('Salary Tax Breakdown'!B$16/12)-Data!AO290</f>
        <v>3447.5</v>
      </c>
      <c r="AQ290" s="87"/>
      <c r="AR290" s="20">
        <f t="shared" si="304"/>
        <v>4011.4396153846155</v>
      </c>
      <c r="AS290" s="20">
        <v>750</v>
      </c>
      <c r="AT290" s="20">
        <v>0</v>
      </c>
      <c r="AU290" s="20">
        <f t="shared" si="305"/>
        <v>4761.4396153846155</v>
      </c>
      <c r="AV290" s="20">
        <f t="shared" si="306"/>
        <v>4761.4396153846155</v>
      </c>
      <c r="AW290" s="51">
        <f t="shared" si="348"/>
        <v>0</v>
      </c>
      <c r="AX290" s="51">
        <f t="shared" si="334"/>
        <v>0</v>
      </c>
      <c r="AY290" s="51">
        <f t="shared" si="335"/>
        <v>0</v>
      </c>
      <c r="AZ290" s="51">
        <f t="shared" si="336"/>
        <v>0</v>
      </c>
      <c r="BA290" s="51">
        <f t="shared" si="337"/>
        <v>0</v>
      </c>
      <c r="BB290" s="51">
        <f t="shared" si="338"/>
        <v>0</v>
      </c>
      <c r="BC290" s="51">
        <f t="shared" si="339"/>
        <v>0</v>
      </c>
      <c r="BD290" s="51">
        <f t="shared" si="340"/>
        <v>0</v>
      </c>
      <c r="BE290" s="51">
        <f t="shared" si="341"/>
        <v>0</v>
      </c>
      <c r="BF290" s="51">
        <f t="shared" si="342"/>
        <v>0</v>
      </c>
      <c r="BG290" s="51">
        <f t="shared" si="343"/>
        <v>0</v>
      </c>
      <c r="BH290" s="51">
        <f t="shared" si="344"/>
        <v>0</v>
      </c>
      <c r="BI290" s="51">
        <f t="shared" si="307"/>
        <v>0</v>
      </c>
      <c r="BJ290" s="51">
        <f t="shared" si="308"/>
        <v>0</v>
      </c>
      <c r="BK290" s="51">
        <f t="shared" si="309"/>
        <v>0</v>
      </c>
      <c r="BL290" s="51">
        <f t="shared" si="310"/>
        <v>0</v>
      </c>
      <c r="BM290" s="51">
        <f t="shared" si="311"/>
        <v>0</v>
      </c>
      <c r="BN290" s="51">
        <f t="shared" si="312"/>
        <v>0</v>
      </c>
      <c r="BO290" s="51">
        <f t="shared" si="313"/>
        <v>0</v>
      </c>
      <c r="BP290" s="51">
        <f t="shared" si="314"/>
        <v>0</v>
      </c>
      <c r="BQ290" s="51">
        <f t="shared" si="315"/>
        <v>0</v>
      </c>
      <c r="BR290" s="51">
        <f t="shared" si="316"/>
        <v>0</v>
      </c>
      <c r="BS290" s="51">
        <f t="shared" si="317"/>
        <v>0</v>
      </c>
      <c r="BT290" s="51">
        <f t="shared" si="318"/>
        <v>0</v>
      </c>
      <c r="BU290" s="20">
        <f t="shared" si="319"/>
        <v>4761.4396153846155</v>
      </c>
      <c r="BV290" s="20">
        <f t="shared" si="320"/>
        <v>4761.4396153846164</v>
      </c>
      <c r="BW290" s="20">
        <f t="shared" si="321"/>
        <v>57137.275384615386</v>
      </c>
      <c r="BX290" s="20">
        <f t="shared" si="322"/>
        <v>57137.275384615386</v>
      </c>
      <c r="BY290" s="20">
        <f t="shared" si="323"/>
        <v>57137.275384615394</v>
      </c>
      <c r="BZ290" s="21">
        <f t="shared" si="324"/>
        <v>57137.275384615386</v>
      </c>
      <c r="CA290" s="19">
        <f t="shared" si="346"/>
        <v>1428431.8846153847</v>
      </c>
      <c r="CB290" s="20">
        <f t="shared" si="325"/>
        <v>1428431.8846153847</v>
      </c>
      <c r="CC290" s="20">
        <f t="shared" si="326"/>
        <v>1428431.8846153843</v>
      </c>
      <c r="CD290" s="20">
        <f t="shared" si="351"/>
        <v>0</v>
      </c>
      <c r="CE290" s="20">
        <f t="shared" si="352"/>
        <v>1400000</v>
      </c>
      <c r="CF290" s="20">
        <f t="shared" si="349"/>
        <v>2656428.8531374186</v>
      </c>
      <c r="CG290" s="20">
        <f t="shared" si="327"/>
        <v>106257.15412549675</v>
      </c>
      <c r="CH290" s="20">
        <f t="shared" si="350"/>
        <v>8854.7628437913954</v>
      </c>
      <c r="CI290" s="20">
        <f t="shared" si="328"/>
        <v>2642482.631529395</v>
      </c>
      <c r="CJ290" s="24">
        <f t="shared" si="329"/>
        <v>1.8596818523500549</v>
      </c>
      <c r="CK290" s="24">
        <f t="shared" si="330"/>
        <v>5.2872416921365146E-3</v>
      </c>
      <c r="CL290" s="24">
        <f t="shared" si="331"/>
        <v>1.5943659690214114E-2</v>
      </c>
      <c r="CM290" s="25">
        <f t="shared" si="332"/>
        <v>6.5276146934309318E-2</v>
      </c>
      <c r="CN290" s="17"/>
      <c r="CO290" s="17"/>
      <c r="CP290" s="17"/>
      <c r="CQ290" s="17"/>
      <c r="CR290" s="17"/>
      <c r="CS290" s="17"/>
      <c r="CT290" s="17"/>
      <c r="CU290" s="17"/>
      <c r="CV290" s="17"/>
      <c r="CW290" s="30">
        <v>0</v>
      </c>
      <c r="CX290" s="17"/>
      <c r="CY290" s="17"/>
      <c r="CZ290" s="17"/>
      <c r="DA290" s="17"/>
      <c r="DB290" s="17"/>
    </row>
    <row r="291" spans="1:106" ht="15.75" thickBot="1" x14ac:dyDescent="0.3">
      <c r="A291" s="5">
        <f t="shared" si="353"/>
        <v>47</v>
      </c>
      <c r="B291" s="5">
        <f t="shared" si="353"/>
        <v>46</v>
      </c>
      <c r="C291" s="1"/>
      <c r="D291" s="4"/>
      <c r="E291" s="30"/>
      <c r="F291" s="30"/>
      <c r="G291" s="30">
        <f t="shared" si="303"/>
        <v>0</v>
      </c>
      <c r="H291" s="30"/>
      <c r="I291" s="10">
        <v>0</v>
      </c>
      <c r="J291" s="60">
        <v>9000</v>
      </c>
      <c r="K291" s="11">
        <v>550</v>
      </c>
      <c r="L291" s="60">
        <f t="shared" si="354"/>
        <v>12346.321316282878</v>
      </c>
      <c r="M291" s="11">
        <v>305</v>
      </c>
      <c r="N291" s="60">
        <v>0</v>
      </c>
      <c r="O291" s="11">
        <v>0</v>
      </c>
      <c r="P291" s="11">
        <v>0</v>
      </c>
      <c r="Q291" s="60">
        <f>(Q290*($K$1/12))+Q290 + $Q$8</f>
        <v>421615.40731160587</v>
      </c>
      <c r="R291" s="60">
        <f>(R290*($K$1/12))+R290</f>
        <v>17862.856519140692</v>
      </c>
      <c r="S291" s="60">
        <f>(S290*($K$1/12))+S290</f>
        <v>15508.54288597563</v>
      </c>
      <c r="T291" s="60">
        <f>(T290*($K$1/12))+T290+$T$8</f>
        <v>1584831.1064712452</v>
      </c>
      <c r="U291" s="60">
        <f>(U290*$K$1/12) + U290</f>
        <v>188697.08928548358</v>
      </c>
      <c r="V291" s="60">
        <v>3100</v>
      </c>
      <c r="W291" s="60">
        <f>(W290*($K$1/12))+W290+$W$8</f>
        <v>130978.68095724942</v>
      </c>
      <c r="X291" s="11">
        <v>0</v>
      </c>
      <c r="Y291" s="60">
        <f>(Y290*($K$1/12))+Y290+$Y$8</f>
        <v>310982.1593278792</v>
      </c>
      <c r="Z291" s="60">
        <f>'Mortgage and Loans'!U253</f>
        <v>180000</v>
      </c>
      <c r="AA291" s="12">
        <f t="shared" si="347"/>
        <v>2875777.1640748624</v>
      </c>
      <c r="AB291" s="56">
        <f t="shared" si="357"/>
        <v>750</v>
      </c>
      <c r="AC291" s="56">
        <f t="shared" si="357"/>
        <v>750</v>
      </c>
      <c r="AD291" s="56">
        <f t="shared" si="357"/>
        <v>750</v>
      </c>
      <c r="AE291" s="56">
        <f t="shared" si="357"/>
        <v>750</v>
      </c>
      <c r="AF291" s="56">
        <f t="shared" si="356"/>
        <v>261.43961538461554</v>
      </c>
      <c r="AG291" s="56">
        <f t="shared" si="357"/>
        <v>750</v>
      </c>
      <c r="AH291" s="56">
        <f>'Mortgage and Loans'!AF248</f>
        <v>0</v>
      </c>
      <c r="AI291" s="56">
        <f>'Mortgage and Loans'!AQ248</f>
        <v>0</v>
      </c>
      <c r="AJ291" s="56">
        <f>'Mortgage and Loans'!BB248</f>
        <v>0</v>
      </c>
      <c r="AK291" s="56">
        <f>'Mortgage and Loans'!BM248</f>
        <v>0</v>
      </c>
      <c r="AL291" s="56">
        <f>'Mortgage and Loans'!T253</f>
        <v>0</v>
      </c>
      <c r="AM291" s="12">
        <f t="shared" si="345"/>
        <v>-4011.4396153846155</v>
      </c>
      <c r="AN291" s="75">
        <f t="shared" si="355"/>
        <v>2871765.7244594777</v>
      </c>
      <c r="AO291" s="86">
        <f>'Mortgage and Loans'!G254</f>
        <v>0</v>
      </c>
      <c r="AP291" s="79">
        <f>('Salary Tax Breakdown'!B$16/12)-Data!AO291</f>
        <v>3447.5</v>
      </c>
      <c r="AQ291" s="87"/>
      <c r="AR291" s="20">
        <f t="shared" si="304"/>
        <v>4011.4396153846155</v>
      </c>
      <c r="AS291" s="20">
        <v>750</v>
      </c>
      <c r="AT291" s="20">
        <v>0</v>
      </c>
      <c r="AU291" s="20">
        <f t="shared" si="305"/>
        <v>4761.4396153846155</v>
      </c>
      <c r="AV291" s="20">
        <f t="shared" si="306"/>
        <v>4761.4396153846155</v>
      </c>
      <c r="AW291" s="51">
        <f t="shared" si="348"/>
        <v>0</v>
      </c>
      <c r="AX291" s="51">
        <f t="shared" si="334"/>
        <v>0</v>
      </c>
      <c r="AY291" s="51">
        <f t="shared" si="335"/>
        <v>0</v>
      </c>
      <c r="AZ291" s="51">
        <f t="shared" si="336"/>
        <v>0</v>
      </c>
      <c r="BA291" s="51">
        <f t="shared" si="337"/>
        <v>0</v>
      </c>
      <c r="BB291" s="51">
        <f t="shared" si="338"/>
        <v>0</v>
      </c>
      <c r="BC291" s="51">
        <f t="shared" si="339"/>
        <v>0</v>
      </c>
      <c r="BD291" s="51">
        <f t="shared" si="340"/>
        <v>0</v>
      </c>
      <c r="BE291" s="51">
        <f t="shared" si="341"/>
        <v>0</v>
      </c>
      <c r="BF291" s="51">
        <f t="shared" si="342"/>
        <v>0</v>
      </c>
      <c r="BG291" s="51">
        <f t="shared" si="343"/>
        <v>0</v>
      </c>
      <c r="BH291" s="51">
        <f t="shared" si="344"/>
        <v>0</v>
      </c>
      <c r="BI291" s="51">
        <f t="shared" si="307"/>
        <v>0</v>
      </c>
      <c r="BJ291" s="51">
        <f t="shared" si="308"/>
        <v>0</v>
      </c>
      <c r="BK291" s="51">
        <f t="shared" si="309"/>
        <v>0</v>
      </c>
      <c r="BL291" s="51">
        <f t="shared" si="310"/>
        <v>0</v>
      </c>
      <c r="BM291" s="51">
        <f t="shared" si="311"/>
        <v>0</v>
      </c>
      <c r="BN291" s="51">
        <f t="shared" si="312"/>
        <v>0</v>
      </c>
      <c r="BO291" s="51">
        <f t="shared" si="313"/>
        <v>0</v>
      </c>
      <c r="BP291" s="51">
        <f t="shared" si="314"/>
        <v>0</v>
      </c>
      <c r="BQ291" s="51">
        <f t="shared" si="315"/>
        <v>0</v>
      </c>
      <c r="BR291" s="51">
        <f t="shared" si="316"/>
        <v>0</v>
      </c>
      <c r="BS291" s="51">
        <f t="shared" si="317"/>
        <v>0</v>
      </c>
      <c r="BT291" s="51">
        <f t="shared" si="318"/>
        <v>0</v>
      </c>
      <c r="BU291" s="20">
        <f t="shared" si="319"/>
        <v>4761.4396153846155</v>
      </c>
      <c r="BV291" s="20">
        <f t="shared" si="320"/>
        <v>4761.4396153846164</v>
      </c>
      <c r="BW291" s="20">
        <f t="shared" si="321"/>
        <v>57137.275384615386</v>
      </c>
      <c r="BX291" s="20">
        <f t="shared" si="322"/>
        <v>57137.275384615386</v>
      </c>
      <c r="BY291" s="20">
        <f t="shared" si="323"/>
        <v>57137.275384615394</v>
      </c>
      <c r="BZ291" s="21">
        <f t="shared" si="324"/>
        <v>57137.275384615386</v>
      </c>
      <c r="CA291" s="19">
        <f t="shared" si="346"/>
        <v>1428431.8846153847</v>
      </c>
      <c r="CB291" s="20">
        <f t="shared" si="325"/>
        <v>1428431.8846153847</v>
      </c>
      <c r="CC291" s="20">
        <f t="shared" si="326"/>
        <v>1428431.8846153843</v>
      </c>
      <c r="CD291" s="20">
        <f t="shared" si="351"/>
        <v>0</v>
      </c>
      <c r="CE291" s="20">
        <f t="shared" si="352"/>
        <v>1400000</v>
      </c>
      <c r="CF291" s="20">
        <f t="shared" si="349"/>
        <v>2670475.8427585796</v>
      </c>
      <c r="CG291" s="20">
        <f t="shared" si="327"/>
        <v>106819.03371034318</v>
      </c>
      <c r="CH291" s="20">
        <f t="shared" si="350"/>
        <v>8901.5861425285984</v>
      </c>
      <c r="CI291" s="20">
        <f t="shared" si="328"/>
        <v>2656454.079116846</v>
      </c>
      <c r="CJ291" s="24">
        <f t="shared" si="329"/>
        <v>1.8695157056632237</v>
      </c>
      <c r="CK291" s="24">
        <f t="shared" si="330"/>
        <v>5.287922394221321E-3</v>
      </c>
      <c r="CL291" s="24">
        <f t="shared" si="331"/>
        <v>1.5945734106815865E-2</v>
      </c>
      <c r="CM291" s="25">
        <f t="shared" si="332"/>
        <v>6.5285052423830467E-2</v>
      </c>
      <c r="CN291" s="17"/>
      <c r="CO291" s="17"/>
      <c r="CP291" s="17"/>
      <c r="CQ291" s="17"/>
      <c r="CR291" s="17"/>
      <c r="CS291" s="17"/>
      <c r="CT291" s="17"/>
      <c r="CU291" s="17"/>
      <c r="CV291" s="17"/>
      <c r="CW291" s="30">
        <v>0</v>
      </c>
      <c r="CX291" s="17"/>
      <c r="CY291" s="17"/>
      <c r="CZ291" s="17"/>
      <c r="DA291" s="17"/>
      <c r="DB291" s="17"/>
    </row>
    <row r="292" spans="1:106" ht="15.75" thickBot="1" x14ac:dyDescent="0.3">
      <c r="A292" s="5">
        <f t="shared" si="353"/>
        <v>48</v>
      </c>
      <c r="B292" s="5">
        <f t="shared" si="353"/>
        <v>46</v>
      </c>
      <c r="C292" s="1"/>
      <c r="D292" s="4"/>
      <c r="E292" s="30"/>
      <c r="F292" s="30"/>
      <c r="G292" s="30">
        <f t="shared" si="303"/>
        <v>0</v>
      </c>
      <c r="H292" s="30"/>
      <c r="I292" s="10">
        <v>0</v>
      </c>
      <c r="J292" s="60">
        <v>9000</v>
      </c>
      <c r="K292" s="11">
        <v>550</v>
      </c>
      <c r="L292" s="60">
        <f t="shared" si="354"/>
        <v>12361.239787873385</v>
      </c>
      <c r="M292" s="11">
        <v>305</v>
      </c>
      <c r="N292" s="60">
        <v>0</v>
      </c>
      <c r="O292" s="11">
        <v>0</v>
      </c>
      <c r="P292" s="11">
        <v>0</v>
      </c>
      <c r="Q292" s="60">
        <f>(Q291*($K$1/12))+Q291 + $Q$8</f>
        <v>424357.15743454371</v>
      </c>
      <c r="R292" s="60">
        <f>(R291*($K$1/12))+R291</f>
        <v>17959.613658619372</v>
      </c>
      <c r="S292" s="60">
        <f>(S291*($K$1/12))+S291</f>
        <v>15592.547493274666</v>
      </c>
      <c r="T292" s="60">
        <f>(T291*($K$1/12))+T291+$T$8</f>
        <v>1594915.6082979643</v>
      </c>
      <c r="U292" s="60">
        <f>(U291*$K$1/12) + U291</f>
        <v>189719.1985191133</v>
      </c>
      <c r="V292" s="60">
        <v>3100</v>
      </c>
      <c r="W292" s="60">
        <f>(W291*($K$1/12))+W291+$W$8</f>
        <v>131688.14881243452</v>
      </c>
      <c r="X292" s="11">
        <v>0</v>
      </c>
      <c r="Y292" s="60">
        <f>(Y291*($K$1/12))+Y291+$Y$8</f>
        <v>310366.64602423855</v>
      </c>
      <c r="Z292" s="60">
        <f>'Mortgage and Loans'!U254</f>
        <v>180000</v>
      </c>
      <c r="AA292" s="12">
        <f t="shared" si="347"/>
        <v>2889915.1600280618</v>
      </c>
      <c r="AB292" s="56">
        <f t="shared" si="357"/>
        <v>750</v>
      </c>
      <c r="AC292" s="56">
        <f t="shared" si="357"/>
        <v>750</v>
      </c>
      <c r="AD292" s="56">
        <f t="shared" si="357"/>
        <v>750</v>
      </c>
      <c r="AE292" s="56">
        <f t="shared" si="357"/>
        <v>750</v>
      </c>
      <c r="AF292" s="56">
        <f t="shared" si="356"/>
        <v>261.43961538461554</v>
      </c>
      <c r="AG292" s="56">
        <f t="shared" si="357"/>
        <v>750</v>
      </c>
      <c r="AH292" s="56">
        <f>'Mortgage and Loans'!AF249</f>
        <v>0</v>
      </c>
      <c r="AI292" s="56">
        <f>'Mortgage and Loans'!AQ249</f>
        <v>0</v>
      </c>
      <c r="AJ292" s="56">
        <f>'Mortgage and Loans'!BB249</f>
        <v>0</v>
      </c>
      <c r="AK292" s="56">
        <f>'Mortgage and Loans'!BM249</f>
        <v>0</v>
      </c>
      <c r="AL292" s="56">
        <f>'Mortgage and Loans'!T254</f>
        <v>0</v>
      </c>
      <c r="AM292" s="12">
        <f t="shared" si="345"/>
        <v>-4011.4396153846155</v>
      </c>
      <c r="AN292" s="75">
        <f t="shared" si="355"/>
        <v>2885903.7204126772</v>
      </c>
      <c r="AO292" s="86">
        <f>'Mortgage and Loans'!G255</f>
        <v>0</v>
      </c>
      <c r="AP292" s="79">
        <f>('Salary Tax Breakdown'!B$16/12)-Data!AO292</f>
        <v>3447.5</v>
      </c>
      <c r="AQ292" s="87"/>
      <c r="AR292" s="20">
        <f t="shared" si="304"/>
        <v>4011.4396153846155</v>
      </c>
      <c r="AS292" s="20">
        <v>750</v>
      </c>
      <c r="AT292" s="20">
        <v>0</v>
      </c>
      <c r="AU292" s="20">
        <f t="shared" si="305"/>
        <v>4761.4396153846155</v>
      </c>
      <c r="AV292" s="20">
        <f t="shared" si="306"/>
        <v>4761.4396153846155</v>
      </c>
      <c r="AW292" s="51">
        <f t="shared" si="348"/>
        <v>0</v>
      </c>
      <c r="AX292" s="51">
        <f t="shared" si="334"/>
        <v>0</v>
      </c>
      <c r="AY292" s="51">
        <f t="shared" si="335"/>
        <v>0</v>
      </c>
      <c r="AZ292" s="51">
        <f t="shared" si="336"/>
        <v>0</v>
      </c>
      <c r="BA292" s="51">
        <f t="shared" si="337"/>
        <v>0</v>
      </c>
      <c r="BB292" s="51">
        <f t="shared" si="338"/>
        <v>0</v>
      </c>
      <c r="BC292" s="51">
        <f t="shared" si="339"/>
        <v>0</v>
      </c>
      <c r="BD292" s="51">
        <f t="shared" si="340"/>
        <v>0</v>
      </c>
      <c r="BE292" s="51">
        <f t="shared" si="341"/>
        <v>0</v>
      </c>
      <c r="BF292" s="51">
        <f t="shared" si="342"/>
        <v>0</v>
      </c>
      <c r="BG292" s="51">
        <f t="shared" si="343"/>
        <v>0</v>
      </c>
      <c r="BH292" s="51">
        <f t="shared" si="344"/>
        <v>0</v>
      </c>
      <c r="BI292" s="51">
        <f t="shared" si="307"/>
        <v>0</v>
      </c>
      <c r="BJ292" s="51">
        <f t="shared" si="308"/>
        <v>0</v>
      </c>
      <c r="BK292" s="51">
        <f t="shared" si="309"/>
        <v>0</v>
      </c>
      <c r="BL292" s="51">
        <f t="shared" si="310"/>
        <v>0</v>
      </c>
      <c r="BM292" s="51">
        <f t="shared" si="311"/>
        <v>0</v>
      </c>
      <c r="BN292" s="51">
        <f t="shared" si="312"/>
        <v>0</v>
      </c>
      <c r="BO292" s="51">
        <f t="shared" si="313"/>
        <v>0</v>
      </c>
      <c r="BP292" s="51">
        <f t="shared" si="314"/>
        <v>0</v>
      </c>
      <c r="BQ292" s="51">
        <f t="shared" si="315"/>
        <v>0</v>
      </c>
      <c r="BR292" s="51">
        <f t="shared" si="316"/>
        <v>0</v>
      </c>
      <c r="BS292" s="51">
        <f t="shared" si="317"/>
        <v>0</v>
      </c>
      <c r="BT292" s="51">
        <f t="shared" si="318"/>
        <v>0</v>
      </c>
      <c r="BU292" s="20">
        <f t="shared" si="319"/>
        <v>4761.4396153846155</v>
      </c>
      <c r="BV292" s="20">
        <f t="shared" si="320"/>
        <v>4761.4396153846164</v>
      </c>
      <c r="BW292" s="20">
        <f t="shared" si="321"/>
        <v>57137.275384615386</v>
      </c>
      <c r="BX292" s="20">
        <f t="shared" si="322"/>
        <v>57137.275384615386</v>
      </c>
      <c r="BY292" s="20">
        <f t="shared" si="323"/>
        <v>57137.275384615394</v>
      </c>
      <c r="BZ292" s="21">
        <f t="shared" si="324"/>
        <v>57137.275384615386</v>
      </c>
      <c r="CA292" s="19">
        <f t="shared" si="346"/>
        <v>1428431.8846153847</v>
      </c>
      <c r="CB292" s="20">
        <f t="shared" si="325"/>
        <v>1428431.8846153847</v>
      </c>
      <c r="CC292" s="20">
        <f t="shared" si="326"/>
        <v>1428431.8846153843</v>
      </c>
      <c r="CD292" s="20">
        <f t="shared" si="351"/>
        <v>0</v>
      </c>
      <c r="CE292" s="20">
        <f t="shared" si="352"/>
        <v>1400000</v>
      </c>
      <c r="CF292" s="20">
        <f t="shared" si="349"/>
        <v>2684598.9202401889</v>
      </c>
      <c r="CG292" s="20">
        <f t="shared" si="327"/>
        <v>107383.95680960757</v>
      </c>
      <c r="CH292" s="20">
        <f t="shared" si="350"/>
        <v>8948.6630674672979</v>
      </c>
      <c r="CI292" s="20">
        <f t="shared" si="328"/>
        <v>2670501.2053787289</v>
      </c>
      <c r="CJ292" s="24">
        <f t="shared" si="329"/>
        <v>1.8794028256818391</v>
      </c>
      <c r="CK292" s="24">
        <f t="shared" si="330"/>
        <v>5.288599602915816E-3</v>
      </c>
      <c r="CL292" s="24">
        <f t="shared" si="331"/>
        <v>1.5947797883046632E-2</v>
      </c>
      <c r="CM292" s="25">
        <f t="shared" si="332"/>
        <v>6.5293912345805977E-2</v>
      </c>
      <c r="CN292" s="17"/>
      <c r="CO292" s="17"/>
      <c r="CP292" s="17"/>
      <c r="CQ292" s="17"/>
      <c r="CR292" s="17"/>
      <c r="CS292" s="17"/>
      <c r="CT292" s="17"/>
      <c r="CU292" s="17"/>
      <c r="CV292" s="17"/>
      <c r="CW292" s="30">
        <v>0</v>
      </c>
      <c r="CX292" s="17"/>
      <c r="CY292" s="17"/>
      <c r="CZ292" s="17"/>
      <c r="DA292" s="17"/>
      <c r="DB292" s="17"/>
    </row>
    <row r="293" spans="1:106" ht="15.75" thickBot="1" x14ac:dyDescent="0.3">
      <c r="A293" s="5">
        <f t="shared" si="353"/>
        <v>48</v>
      </c>
      <c r="B293" s="5">
        <f t="shared" si="353"/>
        <v>46</v>
      </c>
      <c r="C293" s="1"/>
      <c r="D293" s="4"/>
      <c r="E293" s="30"/>
      <c r="F293" s="30"/>
      <c r="G293" s="30">
        <f t="shared" si="303"/>
        <v>0</v>
      </c>
      <c r="H293" s="30"/>
      <c r="I293" s="10">
        <v>0</v>
      </c>
      <c r="J293" s="60">
        <v>9000</v>
      </c>
      <c r="K293" s="11">
        <v>550</v>
      </c>
      <c r="L293" s="60">
        <f t="shared" si="354"/>
        <v>12376.176285950398</v>
      </c>
      <c r="M293" s="11">
        <v>305</v>
      </c>
      <c r="N293" s="60">
        <v>0</v>
      </c>
      <c r="O293" s="11">
        <v>0</v>
      </c>
      <c r="P293" s="11">
        <v>0</v>
      </c>
      <c r="Q293" s="60">
        <f>(Q292*($K$1/12))+Q292 + $Q$8</f>
        <v>427113.75870398083</v>
      </c>
      <c r="R293" s="60">
        <f>(R292*($K$1/12))+R292</f>
        <v>18056.894899270228</v>
      </c>
      <c r="S293" s="60">
        <f>(S292*($K$1/12))+S292</f>
        <v>15677.007125529903</v>
      </c>
      <c r="T293" s="60">
        <f>(T292*($K$1/12))+T292+$T$8</f>
        <v>1605054.7345095782</v>
      </c>
      <c r="U293" s="60">
        <f>(U292*$K$1/12) + U292</f>
        <v>190746.8441777585</v>
      </c>
      <c r="V293" s="60">
        <v>3100</v>
      </c>
      <c r="W293" s="60">
        <f>(W292*($K$1/12))+W292+$W$8</f>
        <v>132401.45961850186</v>
      </c>
      <c r="X293" s="11">
        <v>0</v>
      </c>
      <c r="Y293" s="60">
        <f>(Y292*($K$1/12))+Y292+$Y$8</f>
        <v>309747.79869020317</v>
      </c>
      <c r="Z293" s="60">
        <f>'Mortgage and Loans'!U255</f>
        <v>180000</v>
      </c>
      <c r="AA293" s="12">
        <f t="shared" si="347"/>
        <v>2904129.6740107727</v>
      </c>
      <c r="AB293" s="56">
        <f t="shared" si="357"/>
        <v>750</v>
      </c>
      <c r="AC293" s="56">
        <f t="shared" si="357"/>
        <v>750</v>
      </c>
      <c r="AD293" s="56">
        <f t="shared" si="357"/>
        <v>750</v>
      </c>
      <c r="AE293" s="56">
        <f t="shared" si="357"/>
        <v>750</v>
      </c>
      <c r="AF293" s="56">
        <f t="shared" si="356"/>
        <v>261.43961538461554</v>
      </c>
      <c r="AG293" s="56">
        <f t="shared" si="357"/>
        <v>750</v>
      </c>
      <c r="AH293" s="56">
        <f>'Mortgage and Loans'!AF250</f>
        <v>0</v>
      </c>
      <c r="AI293" s="56">
        <f>'Mortgage and Loans'!AQ250</f>
        <v>0</v>
      </c>
      <c r="AJ293" s="56">
        <f>'Mortgage and Loans'!BB250</f>
        <v>0</v>
      </c>
      <c r="AK293" s="56">
        <f>'Mortgage and Loans'!BM250</f>
        <v>0</v>
      </c>
      <c r="AL293" s="56">
        <f>'Mortgage and Loans'!T255</f>
        <v>0</v>
      </c>
      <c r="AM293" s="12">
        <f t="shared" si="345"/>
        <v>-4011.4396153846155</v>
      </c>
      <c r="AN293" s="75">
        <f t="shared" si="355"/>
        <v>2900118.234395388</v>
      </c>
      <c r="AO293" s="86">
        <f>'Mortgage and Loans'!G256</f>
        <v>0</v>
      </c>
      <c r="AP293" s="79">
        <f>('Salary Tax Breakdown'!B$16/12)-Data!AO293</f>
        <v>3447.5</v>
      </c>
      <c r="AQ293" s="87"/>
      <c r="AR293" s="20">
        <f t="shared" si="304"/>
        <v>4011.4396153846155</v>
      </c>
      <c r="AS293" s="20">
        <v>750</v>
      </c>
      <c r="AT293" s="20">
        <v>0</v>
      </c>
      <c r="AU293" s="20">
        <f t="shared" si="305"/>
        <v>4761.4396153846155</v>
      </c>
      <c r="AV293" s="20">
        <f t="shared" si="306"/>
        <v>4761.4396153846155</v>
      </c>
      <c r="AW293" s="51">
        <f t="shared" si="348"/>
        <v>0</v>
      </c>
      <c r="AX293" s="51">
        <f t="shared" si="334"/>
        <v>0</v>
      </c>
      <c r="AY293" s="51">
        <f t="shared" si="335"/>
        <v>0</v>
      </c>
      <c r="AZ293" s="51">
        <f t="shared" si="336"/>
        <v>0</v>
      </c>
      <c r="BA293" s="51">
        <f t="shared" si="337"/>
        <v>0</v>
      </c>
      <c r="BB293" s="51">
        <f t="shared" si="338"/>
        <v>0</v>
      </c>
      <c r="BC293" s="51">
        <f t="shared" si="339"/>
        <v>0</v>
      </c>
      <c r="BD293" s="51">
        <f t="shared" si="340"/>
        <v>0</v>
      </c>
      <c r="BE293" s="51">
        <f t="shared" si="341"/>
        <v>0</v>
      </c>
      <c r="BF293" s="51">
        <f t="shared" si="342"/>
        <v>0</v>
      </c>
      <c r="BG293" s="51">
        <f t="shared" si="343"/>
        <v>0</v>
      </c>
      <c r="BH293" s="51">
        <f t="shared" si="344"/>
        <v>0</v>
      </c>
      <c r="BI293" s="51">
        <f t="shared" si="307"/>
        <v>0</v>
      </c>
      <c r="BJ293" s="51">
        <f t="shared" si="308"/>
        <v>0</v>
      </c>
      <c r="BK293" s="51">
        <f t="shared" si="309"/>
        <v>0</v>
      </c>
      <c r="BL293" s="51">
        <f t="shared" si="310"/>
        <v>0</v>
      </c>
      <c r="BM293" s="51">
        <f t="shared" si="311"/>
        <v>0</v>
      </c>
      <c r="BN293" s="51">
        <f t="shared" si="312"/>
        <v>0</v>
      </c>
      <c r="BO293" s="51">
        <f t="shared" si="313"/>
        <v>0</v>
      </c>
      <c r="BP293" s="51">
        <f t="shared" si="314"/>
        <v>0</v>
      </c>
      <c r="BQ293" s="51">
        <f t="shared" si="315"/>
        <v>0</v>
      </c>
      <c r="BR293" s="51">
        <f t="shared" si="316"/>
        <v>0</v>
      </c>
      <c r="BS293" s="51">
        <f t="shared" si="317"/>
        <v>0</v>
      </c>
      <c r="BT293" s="51">
        <f t="shared" si="318"/>
        <v>0</v>
      </c>
      <c r="BU293" s="20">
        <f t="shared" si="319"/>
        <v>4761.4396153846155</v>
      </c>
      <c r="BV293" s="20">
        <f t="shared" si="320"/>
        <v>4761.4396153846164</v>
      </c>
      <c r="BW293" s="20">
        <f t="shared" si="321"/>
        <v>57137.275384615386</v>
      </c>
      <c r="BX293" s="20">
        <f t="shared" si="322"/>
        <v>57137.275384615386</v>
      </c>
      <c r="BY293" s="20">
        <f t="shared" si="323"/>
        <v>57137.275384615394</v>
      </c>
      <c r="BZ293" s="21">
        <f t="shared" si="324"/>
        <v>57137.275384615386</v>
      </c>
      <c r="CA293" s="19">
        <f t="shared" si="346"/>
        <v>1428431.8846153847</v>
      </c>
      <c r="CB293" s="20">
        <f t="shared" si="325"/>
        <v>1428431.8846153847</v>
      </c>
      <c r="CC293" s="20">
        <f t="shared" si="326"/>
        <v>1428431.8846153843</v>
      </c>
      <c r="CD293" s="20">
        <f t="shared" si="351"/>
        <v>0</v>
      </c>
      <c r="CE293" s="20">
        <f t="shared" si="352"/>
        <v>1400000</v>
      </c>
      <c r="CF293" s="20">
        <f t="shared" si="349"/>
        <v>2698798.4977248227</v>
      </c>
      <c r="CG293" s="20">
        <f t="shared" si="327"/>
        <v>107951.93990899291</v>
      </c>
      <c r="CH293" s="20">
        <f t="shared" si="350"/>
        <v>8995.9949924160755</v>
      </c>
      <c r="CI293" s="20">
        <f t="shared" si="328"/>
        <v>2684624.4202411971</v>
      </c>
      <c r="CJ293" s="24">
        <f t="shared" si="329"/>
        <v>1.8893435009338881</v>
      </c>
      <c r="CK293" s="24">
        <f t="shared" si="330"/>
        <v>5.2892733352374842E-3</v>
      </c>
      <c r="CL293" s="24">
        <f t="shared" si="331"/>
        <v>1.5949851070681881E-2</v>
      </c>
      <c r="CM293" s="25">
        <f t="shared" si="332"/>
        <v>6.5302726920796375E-2</v>
      </c>
      <c r="CN293" s="17"/>
      <c r="CO293" s="17"/>
      <c r="CP293" s="17"/>
      <c r="CQ293" s="17"/>
      <c r="CR293" s="17"/>
      <c r="CS293" s="17"/>
      <c r="CT293" s="17"/>
      <c r="CU293" s="17"/>
      <c r="CV293" s="17"/>
      <c r="CW293" s="30">
        <v>0</v>
      </c>
      <c r="CX293" s="17"/>
      <c r="CY293" s="17"/>
      <c r="CZ293" s="17"/>
      <c r="DA293" s="17"/>
      <c r="DB293" s="17"/>
    </row>
    <row r="294" spans="1:106" ht="15.75" thickBot="1" x14ac:dyDescent="0.3">
      <c r="A294" s="5">
        <f t="shared" si="353"/>
        <v>48</v>
      </c>
      <c r="B294" s="5">
        <f t="shared" si="353"/>
        <v>46</v>
      </c>
      <c r="C294" s="1"/>
      <c r="D294" s="4"/>
      <c r="E294" s="30"/>
      <c r="F294" s="30"/>
      <c r="G294" s="30">
        <f t="shared" si="303"/>
        <v>0</v>
      </c>
      <c r="H294" s="30"/>
      <c r="I294" s="10">
        <v>0</v>
      </c>
      <c r="J294" s="60">
        <v>9000</v>
      </c>
      <c r="K294" s="11">
        <v>550</v>
      </c>
      <c r="L294" s="60">
        <f t="shared" si="354"/>
        <v>12391.130832295921</v>
      </c>
      <c r="M294" s="11">
        <v>305</v>
      </c>
      <c r="N294" s="60">
        <v>0</v>
      </c>
      <c r="O294" s="11">
        <v>0</v>
      </c>
      <c r="P294" s="11">
        <v>0</v>
      </c>
      <c r="Q294" s="60">
        <f>(Q293*($K$1/12))+Q293 + $Q$8</f>
        <v>429885.29156362737</v>
      </c>
      <c r="R294" s="60">
        <f>(R293*($K$1/12))+R293</f>
        <v>18154.70307997461</v>
      </c>
      <c r="S294" s="60">
        <f>(S293*($K$1/12))+S293</f>
        <v>15761.924247459856</v>
      </c>
      <c r="T294" s="60">
        <f>(T293*($K$1/12))+T293+$T$8</f>
        <v>1615248.7809881717</v>
      </c>
      <c r="U294" s="60">
        <f>(U293*$K$1/12) + U293</f>
        <v>191780.05625038804</v>
      </c>
      <c r="V294" s="60">
        <v>3100</v>
      </c>
      <c r="W294" s="60">
        <f>(W293*($K$1/12))+W293+$W$8</f>
        <v>133118.63419143541</v>
      </c>
      <c r="X294" s="11">
        <v>0</v>
      </c>
      <c r="Y294" s="60">
        <f>(Y293*($K$1/12))+Y293+$Y$8</f>
        <v>309125.59926644177</v>
      </c>
      <c r="Z294" s="60">
        <f>'Mortgage and Loans'!U256</f>
        <v>180000</v>
      </c>
      <c r="AA294" s="12">
        <f t="shared" si="347"/>
        <v>2918421.1204197947</v>
      </c>
      <c r="AB294" s="56">
        <f t="shared" si="357"/>
        <v>750</v>
      </c>
      <c r="AC294" s="56">
        <f t="shared" si="357"/>
        <v>750</v>
      </c>
      <c r="AD294" s="56">
        <f t="shared" si="357"/>
        <v>750</v>
      </c>
      <c r="AE294" s="56">
        <f t="shared" si="357"/>
        <v>750</v>
      </c>
      <c r="AF294" s="56">
        <f t="shared" si="356"/>
        <v>261.43961538461554</v>
      </c>
      <c r="AG294" s="56">
        <f t="shared" si="357"/>
        <v>750</v>
      </c>
      <c r="AH294" s="56">
        <f>'Mortgage and Loans'!AF251</f>
        <v>0</v>
      </c>
      <c r="AI294" s="56">
        <f>'Mortgage and Loans'!AQ251</f>
        <v>0</v>
      </c>
      <c r="AJ294" s="56">
        <f>'Mortgage and Loans'!BB251</f>
        <v>0</v>
      </c>
      <c r="AK294" s="56">
        <f>'Mortgage and Loans'!BM251</f>
        <v>0</v>
      </c>
      <c r="AL294" s="56">
        <f>'Mortgage and Loans'!T256</f>
        <v>0</v>
      </c>
      <c r="AM294" s="12">
        <f t="shared" si="345"/>
        <v>-4011.4396153846155</v>
      </c>
      <c r="AN294" s="75">
        <f t="shared" si="355"/>
        <v>2914409.68080441</v>
      </c>
      <c r="AO294" s="86">
        <f>'Mortgage and Loans'!G257</f>
        <v>0</v>
      </c>
      <c r="AP294" s="79">
        <f>('Salary Tax Breakdown'!B$16/12)-Data!AO294</f>
        <v>3447.5</v>
      </c>
      <c r="AQ294" s="87"/>
      <c r="AR294" s="20">
        <f t="shared" si="304"/>
        <v>4011.4396153846155</v>
      </c>
      <c r="AS294" s="20">
        <v>750</v>
      </c>
      <c r="AT294" s="20">
        <v>0</v>
      </c>
      <c r="AU294" s="20">
        <f t="shared" si="305"/>
        <v>4761.4396153846155</v>
      </c>
      <c r="AV294" s="20">
        <f t="shared" si="306"/>
        <v>4761.4396153846155</v>
      </c>
      <c r="AW294" s="51">
        <f t="shared" si="348"/>
        <v>0</v>
      </c>
      <c r="AX294" s="51">
        <f t="shared" si="334"/>
        <v>0</v>
      </c>
      <c r="AY294" s="51">
        <f t="shared" si="335"/>
        <v>0</v>
      </c>
      <c r="AZ294" s="51">
        <f t="shared" si="336"/>
        <v>0</v>
      </c>
      <c r="BA294" s="51">
        <f t="shared" si="337"/>
        <v>0</v>
      </c>
      <c r="BB294" s="51">
        <f t="shared" si="338"/>
        <v>0</v>
      </c>
      <c r="BC294" s="51">
        <f t="shared" si="339"/>
        <v>0</v>
      </c>
      <c r="BD294" s="51">
        <f t="shared" si="340"/>
        <v>0</v>
      </c>
      <c r="BE294" s="51">
        <f t="shared" si="341"/>
        <v>0</v>
      </c>
      <c r="BF294" s="51">
        <f t="shared" si="342"/>
        <v>0</v>
      </c>
      <c r="BG294" s="51">
        <f t="shared" si="343"/>
        <v>0</v>
      </c>
      <c r="BH294" s="51">
        <f t="shared" si="344"/>
        <v>0</v>
      </c>
      <c r="BI294" s="51">
        <f t="shared" si="307"/>
        <v>0</v>
      </c>
      <c r="BJ294" s="51">
        <f t="shared" si="308"/>
        <v>0</v>
      </c>
      <c r="BK294" s="51">
        <f t="shared" si="309"/>
        <v>0</v>
      </c>
      <c r="BL294" s="51">
        <f t="shared" si="310"/>
        <v>0</v>
      </c>
      <c r="BM294" s="51">
        <f t="shared" si="311"/>
        <v>0</v>
      </c>
      <c r="BN294" s="51">
        <f t="shared" si="312"/>
        <v>0</v>
      </c>
      <c r="BO294" s="51">
        <f t="shared" si="313"/>
        <v>0</v>
      </c>
      <c r="BP294" s="51">
        <f t="shared" si="314"/>
        <v>0</v>
      </c>
      <c r="BQ294" s="51">
        <f t="shared" si="315"/>
        <v>0</v>
      </c>
      <c r="BR294" s="51">
        <f t="shared" si="316"/>
        <v>0</v>
      </c>
      <c r="BS294" s="51">
        <f t="shared" si="317"/>
        <v>0</v>
      </c>
      <c r="BT294" s="51">
        <f t="shared" si="318"/>
        <v>0</v>
      </c>
      <c r="BU294" s="20">
        <f t="shared" si="319"/>
        <v>4761.4396153846155</v>
      </c>
      <c r="BV294" s="20">
        <f t="shared" si="320"/>
        <v>4761.4396153846164</v>
      </c>
      <c r="BW294" s="20">
        <f t="shared" si="321"/>
        <v>57137.275384615386</v>
      </c>
      <c r="BX294" s="20">
        <f t="shared" si="322"/>
        <v>57137.275384615386</v>
      </c>
      <c r="BY294" s="20">
        <f t="shared" si="323"/>
        <v>57137.275384615394</v>
      </c>
      <c r="BZ294" s="21">
        <f t="shared" si="324"/>
        <v>57137.275384615386</v>
      </c>
      <c r="CA294" s="19">
        <f t="shared" si="346"/>
        <v>1428431.8846153847</v>
      </c>
      <c r="CB294" s="20">
        <f t="shared" si="325"/>
        <v>1428431.8846153847</v>
      </c>
      <c r="CC294" s="20">
        <f t="shared" si="326"/>
        <v>1428431.8846153843</v>
      </c>
      <c r="CD294" s="20">
        <f t="shared" si="351"/>
        <v>0</v>
      </c>
      <c r="CE294" s="20">
        <f t="shared" si="352"/>
        <v>1400000</v>
      </c>
      <c r="CF294" s="20">
        <f t="shared" si="349"/>
        <v>2713074.9895874988</v>
      </c>
      <c r="CG294" s="20">
        <f t="shared" si="327"/>
        <v>108522.99958349996</v>
      </c>
      <c r="CH294" s="20">
        <f t="shared" si="350"/>
        <v>9043.583298624997</v>
      </c>
      <c r="CI294" s="20">
        <f t="shared" si="328"/>
        <v>2698824.135850837</v>
      </c>
      <c r="CJ294" s="24">
        <f t="shared" si="329"/>
        <v>1.8993380215102194</v>
      </c>
      <c r="CK294" s="24">
        <f t="shared" si="330"/>
        <v>5.2899436081321619E-3</v>
      </c>
      <c r="CL294" s="24">
        <f t="shared" si="331"/>
        <v>1.595189372127576E-2</v>
      </c>
      <c r="CM294" s="25">
        <f t="shared" si="332"/>
        <v>6.5311496368427591E-2</v>
      </c>
      <c r="CN294" s="17"/>
      <c r="CO294" s="17"/>
      <c r="CP294" s="17"/>
      <c r="CQ294" s="17"/>
      <c r="CR294" s="17"/>
      <c r="CS294" s="17"/>
      <c r="CT294" s="17"/>
      <c r="CU294" s="17"/>
      <c r="CV294" s="17"/>
      <c r="CW294" s="30">
        <v>0</v>
      </c>
      <c r="CX294" s="17"/>
      <c r="CY294" s="17"/>
      <c r="CZ294" s="17"/>
      <c r="DA294" s="17"/>
      <c r="DB294" s="17"/>
    </row>
    <row r="295" spans="1:106" ht="15.75" thickBot="1" x14ac:dyDescent="0.3">
      <c r="A295" s="5">
        <f t="shared" si="353"/>
        <v>48</v>
      </c>
      <c r="B295" s="5">
        <f t="shared" si="353"/>
        <v>46</v>
      </c>
      <c r="C295" s="1"/>
      <c r="D295" s="4"/>
      <c r="E295" s="30"/>
      <c r="F295" s="30"/>
      <c r="G295" s="30">
        <f t="shared" si="303"/>
        <v>0</v>
      </c>
      <c r="H295" s="30"/>
      <c r="I295" s="10">
        <v>0</v>
      </c>
      <c r="J295" s="60">
        <v>9000</v>
      </c>
      <c r="K295" s="11">
        <v>550</v>
      </c>
      <c r="L295" s="60">
        <f t="shared" si="354"/>
        <v>12406.103448718277</v>
      </c>
      <c r="M295" s="11">
        <v>305</v>
      </c>
      <c r="N295" s="60">
        <v>0</v>
      </c>
      <c r="O295" s="11">
        <v>0</v>
      </c>
      <c r="P295" s="11">
        <v>0</v>
      </c>
      <c r="Q295" s="60">
        <f>(Q294*($K$1/12))+Q294 + $Q$8</f>
        <v>432671.83689293033</v>
      </c>
      <c r="R295" s="60">
        <f>(R294*($K$1/12))+R294</f>
        <v>18253.041054991139</v>
      </c>
      <c r="S295" s="60">
        <f>(S294*($K$1/12))+S294</f>
        <v>15847.301337133596</v>
      </c>
      <c r="T295" s="60">
        <f>(T294*($K$1/12))+T294+$T$8</f>
        <v>1625498.0452185243</v>
      </c>
      <c r="U295" s="60">
        <f>(U294*$K$1/12) + U294</f>
        <v>192818.86488841096</v>
      </c>
      <c r="V295" s="60">
        <v>3100</v>
      </c>
      <c r="W295" s="60">
        <f>(W294*($K$1/12))+W294+$W$8</f>
        <v>133839.69345997236</v>
      </c>
      <c r="X295" s="11">
        <v>0</v>
      </c>
      <c r="Y295" s="60">
        <f>(Y294*($K$1/12))+Y294+$Y$8</f>
        <v>308500.02959580166</v>
      </c>
      <c r="Z295" s="60">
        <f>'Mortgage and Loans'!U257</f>
        <v>180000</v>
      </c>
      <c r="AA295" s="12">
        <f t="shared" si="347"/>
        <v>2932789.9158964823</v>
      </c>
      <c r="AB295" s="56">
        <f t="shared" si="357"/>
        <v>750</v>
      </c>
      <c r="AC295" s="56">
        <f t="shared" si="357"/>
        <v>750</v>
      </c>
      <c r="AD295" s="56">
        <f t="shared" si="357"/>
        <v>750</v>
      </c>
      <c r="AE295" s="56">
        <f t="shared" si="357"/>
        <v>750</v>
      </c>
      <c r="AF295" s="56">
        <f t="shared" si="356"/>
        <v>261.43961538461554</v>
      </c>
      <c r="AG295" s="56">
        <f t="shared" si="357"/>
        <v>750</v>
      </c>
      <c r="AH295" s="56">
        <f>'Mortgage and Loans'!AF252</f>
        <v>0</v>
      </c>
      <c r="AI295" s="56">
        <f>'Mortgage and Loans'!AQ252</f>
        <v>0</v>
      </c>
      <c r="AJ295" s="56">
        <f>'Mortgage and Loans'!BB252</f>
        <v>0</v>
      </c>
      <c r="AK295" s="56">
        <f>'Mortgage and Loans'!BM252</f>
        <v>0</v>
      </c>
      <c r="AL295" s="56">
        <f>'Mortgage and Loans'!T257</f>
        <v>0</v>
      </c>
      <c r="AM295" s="12">
        <f t="shared" si="345"/>
        <v>-4011.4396153846155</v>
      </c>
      <c r="AN295" s="75">
        <f t="shared" si="355"/>
        <v>2928778.4762810976</v>
      </c>
      <c r="AO295" s="86">
        <f>'Mortgage and Loans'!G258</f>
        <v>0</v>
      </c>
      <c r="AP295" s="79">
        <f>('Salary Tax Breakdown'!B$16/12)-Data!AO295</f>
        <v>3447.5</v>
      </c>
      <c r="AQ295" s="87"/>
      <c r="AR295" s="20">
        <f t="shared" si="304"/>
        <v>4011.4396153846155</v>
      </c>
      <c r="AS295" s="20">
        <v>750</v>
      </c>
      <c r="AT295" s="20">
        <v>0</v>
      </c>
      <c r="AU295" s="20">
        <f t="shared" si="305"/>
        <v>4761.4396153846155</v>
      </c>
      <c r="AV295" s="20">
        <f t="shared" si="306"/>
        <v>4761.4396153846155</v>
      </c>
      <c r="AW295" s="51">
        <f t="shared" si="348"/>
        <v>0</v>
      </c>
      <c r="AX295" s="51">
        <f t="shared" si="334"/>
        <v>0</v>
      </c>
      <c r="AY295" s="51">
        <f t="shared" si="335"/>
        <v>0</v>
      </c>
      <c r="AZ295" s="51">
        <f t="shared" si="336"/>
        <v>0</v>
      </c>
      <c r="BA295" s="51">
        <f t="shared" si="337"/>
        <v>0</v>
      </c>
      <c r="BB295" s="51">
        <f t="shared" si="338"/>
        <v>0</v>
      </c>
      <c r="BC295" s="51">
        <f t="shared" si="339"/>
        <v>0</v>
      </c>
      <c r="BD295" s="51">
        <f t="shared" si="340"/>
        <v>0</v>
      </c>
      <c r="BE295" s="51">
        <f t="shared" si="341"/>
        <v>0</v>
      </c>
      <c r="BF295" s="51">
        <f t="shared" si="342"/>
        <v>0</v>
      </c>
      <c r="BG295" s="51">
        <f t="shared" si="343"/>
        <v>0</v>
      </c>
      <c r="BH295" s="51">
        <f t="shared" si="344"/>
        <v>0</v>
      </c>
      <c r="BI295" s="51">
        <f t="shared" si="307"/>
        <v>0</v>
      </c>
      <c r="BJ295" s="51">
        <f t="shared" si="308"/>
        <v>0</v>
      </c>
      <c r="BK295" s="51">
        <f t="shared" si="309"/>
        <v>0</v>
      </c>
      <c r="BL295" s="51">
        <f t="shared" si="310"/>
        <v>0</v>
      </c>
      <c r="BM295" s="51">
        <f t="shared" si="311"/>
        <v>0</v>
      </c>
      <c r="BN295" s="51">
        <f t="shared" si="312"/>
        <v>0</v>
      </c>
      <c r="BO295" s="51">
        <f t="shared" si="313"/>
        <v>0</v>
      </c>
      <c r="BP295" s="51">
        <f t="shared" si="314"/>
        <v>0</v>
      </c>
      <c r="BQ295" s="51">
        <f t="shared" si="315"/>
        <v>0</v>
      </c>
      <c r="BR295" s="51">
        <f t="shared" si="316"/>
        <v>0</v>
      </c>
      <c r="BS295" s="51">
        <f t="shared" si="317"/>
        <v>0</v>
      </c>
      <c r="BT295" s="51">
        <f t="shared" si="318"/>
        <v>0</v>
      </c>
      <c r="BU295" s="20">
        <f t="shared" si="319"/>
        <v>4761.4396153846155</v>
      </c>
      <c r="BV295" s="20">
        <f t="shared" si="320"/>
        <v>4761.4396153846164</v>
      </c>
      <c r="BW295" s="20">
        <f t="shared" si="321"/>
        <v>57137.275384615386</v>
      </c>
      <c r="BX295" s="20">
        <f t="shared" si="322"/>
        <v>57137.275384615386</v>
      </c>
      <c r="BY295" s="20">
        <f t="shared" si="323"/>
        <v>57137.275384615394</v>
      </c>
      <c r="BZ295" s="21">
        <f t="shared" si="324"/>
        <v>57137.275384615386</v>
      </c>
      <c r="CA295" s="19">
        <f t="shared" si="346"/>
        <v>1428431.8846153847</v>
      </c>
      <c r="CB295" s="20">
        <f t="shared" si="325"/>
        <v>1428431.8846153847</v>
      </c>
      <c r="CC295" s="20">
        <f t="shared" si="326"/>
        <v>1428431.8846153843</v>
      </c>
      <c r="CD295" s="20">
        <f t="shared" si="351"/>
        <v>0</v>
      </c>
      <c r="CE295" s="20">
        <f t="shared" si="352"/>
        <v>1400000</v>
      </c>
      <c r="CF295" s="20">
        <f t="shared" si="349"/>
        <v>2727428.8124477644</v>
      </c>
      <c r="CG295" s="20">
        <f t="shared" si="327"/>
        <v>109097.15249791057</v>
      </c>
      <c r="CH295" s="20">
        <f t="shared" si="350"/>
        <v>9091.4293748258806</v>
      </c>
      <c r="CI295" s="20">
        <f t="shared" si="328"/>
        <v>2713100.7665866953</v>
      </c>
      <c r="CJ295" s="24">
        <f t="shared" si="329"/>
        <v>1.9093866790730059</v>
      </c>
      <c r="CK295" s="24">
        <f t="shared" si="330"/>
        <v>5.2906104384707773E-3</v>
      </c>
      <c r="CL295" s="24">
        <f t="shared" si="331"/>
        <v>1.595392588615939E-2</v>
      </c>
      <c r="CM295" s="25">
        <f t="shared" si="332"/>
        <v>6.532022090739166E-2</v>
      </c>
      <c r="CN295" s="17"/>
      <c r="CO295" s="17"/>
      <c r="CP295" s="17"/>
      <c r="CQ295" s="17"/>
      <c r="CR295" s="17"/>
      <c r="CS295" s="17"/>
      <c r="CT295" s="17"/>
      <c r="CU295" s="17"/>
      <c r="CV295" s="17"/>
      <c r="CW295" s="30">
        <v>0</v>
      </c>
      <c r="CX295" s="17"/>
      <c r="CY295" s="17"/>
      <c r="CZ295" s="17"/>
      <c r="DA295" s="17"/>
      <c r="DB295" s="17"/>
    </row>
    <row r="296" spans="1:106" ht="15.75" thickBot="1" x14ac:dyDescent="0.3">
      <c r="A296" s="5">
        <f t="shared" si="353"/>
        <v>48</v>
      </c>
      <c r="B296" s="5">
        <f t="shared" si="353"/>
        <v>46</v>
      </c>
      <c r="C296" s="1"/>
      <c r="D296" s="4"/>
      <c r="E296" s="30"/>
      <c r="F296" s="30"/>
      <c r="G296" s="30">
        <f t="shared" si="303"/>
        <v>0</v>
      </c>
      <c r="H296" s="30"/>
      <c r="I296" s="10">
        <v>0</v>
      </c>
      <c r="J296" s="60">
        <v>9000</v>
      </c>
      <c r="K296" s="11">
        <v>550</v>
      </c>
      <c r="L296" s="60">
        <f t="shared" si="354"/>
        <v>12421.094157052145</v>
      </c>
      <c r="M296" s="11">
        <v>305</v>
      </c>
      <c r="N296" s="60">
        <v>0</v>
      </c>
      <c r="O296" s="11">
        <v>0</v>
      </c>
      <c r="P296" s="11">
        <v>0</v>
      </c>
      <c r="Q296" s="60">
        <f>(Q295*($K$1/12))+Q295 + $Q$8</f>
        <v>435473.47600943368</v>
      </c>
      <c r="R296" s="60">
        <f>(R295*($K$1/12))+R295</f>
        <v>18351.911694039009</v>
      </c>
      <c r="S296" s="60">
        <f>(S295*($K$1/12))+S295</f>
        <v>15933.140886043069</v>
      </c>
      <c r="T296" s="60">
        <f>(T295*($K$1/12))+T295+$T$8</f>
        <v>1635802.8262967912</v>
      </c>
      <c r="U296" s="60">
        <f>(U295*$K$1/12) + U295</f>
        <v>193863.30040655652</v>
      </c>
      <c r="V296" s="60">
        <v>3100</v>
      </c>
      <c r="W296" s="60">
        <f>(W295*($K$1/12))+W295+$W$8</f>
        <v>134564.65846621388</v>
      </c>
      <c r="X296" s="11">
        <v>0</v>
      </c>
      <c r="Y296" s="60">
        <f>(Y295*($K$1/12))+Y295+$Y$8</f>
        <v>307871.07142277894</v>
      </c>
      <c r="Z296" s="60">
        <f>'Mortgage and Loans'!U258</f>
        <v>180000</v>
      </c>
      <c r="AA296" s="12">
        <f t="shared" si="347"/>
        <v>2947236.4793389086</v>
      </c>
      <c r="AB296" s="56">
        <f t="shared" si="357"/>
        <v>750</v>
      </c>
      <c r="AC296" s="56">
        <f t="shared" si="357"/>
        <v>750</v>
      </c>
      <c r="AD296" s="56">
        <f t="shared" si="357"/>
        <v>750</v>
      </c>
      <c r="AE296" s="56">
        <f t="shared" si="357"/>
        <v>750</v>
      </c>
      <c r="AF296" s="56">
        <f t="shared" si="356"/>
        <v>261.43961538461554</v>
      </c>
      <c r="AG296" s="56">
        <f t="shared" si="357"/>
        <v>750</v>
      </c>
      <c r="AH296" s="56">
        <f>'Mortgage and Loans'!AF253</f>
        <v>0</v>
      </c>
      <c r="AI296" s="56">
        <f>'Mortgage and Loans'!AQ253</f>
        <v>0</v>
      </c>
      <c r="AJ296" s="56">
        <f>'Mortgage and Loans'!BB253</f>
        <v>0</v>
      </c>
      <c r="AK296" s="56">
        <f>'Mortgage and Loans'!BM253</f>
        <v>0</v>
      </c>
      <c r="AL296" s="56">
        <f>'Mortgage and Loans'!T258</f>
        <v>0</v>
      </c>
      <c r="AM296" s="12">
        <f t="shared" si="345"/>
        <v>-4011.4396153846155</v>
      </c>
      <c r="AN296" s="75">
        <f t="shared" si="355"/>
        <v>2943225.0397235239</v>
      </c>
      <c r="AO296" s="86">
        <f>'Mortgage and Loans'!G259</f>
        <v>0</v>
      </c>
      <c r="AP296" s="79">
        <f>('Salary Tax Breakdown'!B$16/12)-Data!AO296</f>
        <v>3447.5</v>
      </c>
      <c r="AQ296" s="87"/>
      <c r="AR296" s="20">
        <f t="shared" si="304"/>
        <v>4011.4396153846155</v>
      </c>
      <c r="AS296" s="20">
        <v>750</v>
      </c>
      <c r="AT296" s="20">
        <v>0</v>
      </c>
      <c r="AU296" s="20">
        <f t="shared" si="305"/>
        <v>4761.4396153846155</v>
      </c>
      <c r="AV296" s="20">
        <f t="shared" si="306"/>
        <v>4761.4396153846155</v>
      </c>
      <c r="AW296" s="51">
        <f t="shared" si="348"/>
        <v>0</v>
      </c>
      <c r="AX296" s="51">
        <f t="shared" si="334"/>
        <v>0</v>
      </c>
      <c r="AY296" s="51">
        <f t="shared" si="335"/>
        <v>0</v>
      </c>
      <c r="AZ296" s="51">
        <f t="shared" si="336"/>
        <v>0</v>
      </c>
      <c r="BA296" s="51">
        <f t="shared" si="337"/>
        <v>0</v>
      </c>
      <c r="BB296" s="51">
        <f t="shared" si="338"/>
        <v>0</v>
      </c>
      <c r="BC296" s="51">
        <f t="shared" si="339"/>
        <v>0</v>
      </c>
      <c r="BD296" s="51">
        <f t="shared" si="340"/>
        <v>0</v>
      </c>
      <c r="BE296" s="51">
        <f t="shared" si="341"/>
        <v>0</v>
      </c>
      <c r="BF296" s="51">
        <f t="shared" si="342"/>
        <v>0</v>
      </c>
      <c r="BG296" s="51">
        <f t="shared" si="343"/>
        <v>0</v>
      </c>
      <c r="BH296" s="51">
        <f t="shared" si="344"/>
        <v>0</v>
      </c>
      <c r="BI296" s="51">
        <f t="shared" si="307"/>
        <v>0</v>
      </c>
      <c r="BJ296" s="51">
        <f t="shared" si="308"/>
        <v>0</v>
      </c>
      <c r="BK296" s="51">
        <f t="shared" si="309"/>
        <v>0</v>
      </c>
      <c r="BL296" s="51">
        <f t="shared" si="310"/>
        <v>0</v>
      </c>
      <c r="BM296" s="51">
        <f t="shared" si="311"/>
        <v>0</v>
      </c>
      <c r="BN296" s="51">
        <f t="shared" si="312"/>
        <v>0</v>
      </c>
      <c r="BO296" s="51">
        <f t="shared" si="313"/>
        <v>0</v>
      </c>
      <c r="BP296" s="51">
        <f t="shared" si="314"/>
        <v>0</v>
      </c>
      <c r="BQ296" s="51">
        <f t="shared" si="315"/>
        <v>0</v>
      </c>
      <c r="BR296" s="51">
        <f t="shared" si="316"/>
        <v>0</v>
      </c>
      <c r="BS296" s="51">
        <f t="shared" si="317"/>
        <v>0</v>
      </c>
      <c r="BT296" s="51">
        <f t="shared" si="318"/>
        <v>0</v>
      </c>
      <c r="BU296" s="20">
        <f t="shared" si="319"/>
        <v>4761.4396153846155</v>
      </c>
      <c r="BV296" s="20">
        <f t="shared" si="320"/>
        <v>4761.4396153846164</v>
      </c>
      <c r="BW296" s="20">
        <f t="shared" si="321"/>
        <v>57137.275384615386</v>
      </c>
      <c r="BX296" s="20">
        <f t="shared" si="322"/>
        <v>57137.275384615386</v>
      </c>
      <c r="BY296" s="20">
        <f t="shared" si="323"/>
        <v>57137.275384615394</v>
      </c>
      <c r="BZ296" s="21">
        <f t="shared" si="324"/>
        <v>57137.275384615386</v>
      </c>
      <c r="CA296" s="19">
        <f t="shared" si="346"/>
        <v>1428431.8846153847</v>
      </c>
      <c r="CB296" s="20">
        <f t="shared" si="325"/>
        <v>1428431.8846153847</v>
      </c>
      <c r="CC296" s="20">
        <f t="shared" si="326"/>
        <v>1428431.8846153843</v>
      </c>
      <c r="CD296" s="20">
        <f t="shared" si="351"/>
        <v>0</v>
      </c>
      <c r="CE296" s="20">
        <f t="shared" si="352"/>
        <v>1400000</v>
      </c>
      <c r="CF296" s="20">
        <f t="shared" si="349"/>
        <v>2741860.3851818563</v>
      </c>
      <c r="CG296" s="20">
        <f t="shared" si="327"/>
        <v>109674.41540727425</v>
      </c>
      <c r="CH296" s="20">
        <f t="shared" si="350"/>
        <v>9139.534617272855</v>
      </c>
      <c r="CI296" s="20">
        <f t="shared" si="328"/>
        <v>2727454.7290723729</v>
      </c>
      <c r="CJ296" s="24">
        <f t="shared" si="329"/>
        <v>1.9194897668642572</v>
      </c>
      <c r="CK296" s="24">
        <f t="shared" si="330"/>
        <v>5.2912738430522426E-3</v>
      </c>
      <c r="CL296" s="24">
        <f t="shared" si="331"/>
        <v>1.5955947616443478E-2</v>
      </c>
      <c r="CM296" s="25">
        <f t="shared" si="332"/>
        <v>6.5328900755451627E-2</v>
      </c>
      <c r="CN296" s="17"/>
      <c r="CO296" s="17"/>
      <c r="CP296" s="17"/>
      <c r="CQ296" s="17"/>
      <c r="CR296" s="17"/>
      <c r="CS296" s="17"/>
      <c r="CT296" s="17"/>
      <c r="CU296" s="17"/>
      <c r="CV296" s="17"/>
      <c r="CW296" s="30">
        <v>0</v>
      </c>
      <c r="CX296" s="17"/>
      <c r="CY296" s="17"/>
      <c r="CZ296" s="17"/>
      <c r="DA296" s="17"/>
      <c r="DB296" s="17"/>
    </row>
    <row r="297" spans="1:106" ht="15.75" thickBot="1" x14ac:dyDescent="0.3">
      <c r="A297" s="5">
        <f t="shared" si="353"/>
        <v>48</v>
      </c>
      <c r="B297" s="5">
        <f t="shared" si="353"/>
        <v>46</v>
      </c>
      <c r="C297" s="1"/>
      <c r="D297" s="4"/>
      <c r="E297" s="30"/>
      <c r="F297" s="30"/>
      <c r="G297" s="30">
        <f t="shared" si="303"/>
        <v>0</v>
      </c>
      <c r="H297" s="30"/>
      <c r="I297" s="10">
        <v>0</v>
      </c>
      <c r="J297" s="60">
        <v>9000</v>
      </c>
      <c r="K297" s="11">
        <v>550</v>
      </c>
      <c r="L297" s="60">
        <f t="shared" si="354"/>
        <v>12436.102979158582</v>
      </c>
      <c r="M297" s="11">
        <v>305</v>
      </c>
      <c r="N297" s="60">
        <v>0</v>
      </c>
      <c r="O297" s="11">
        <v>0</v>
      </c>
      <c r="P297" s="11">
        <v>0</v>
      </c>
      <c r="Q297" s="60">
        <f>(Q296*($K$1/12))+Q296 + $Q$8</f>
        <v>438290.29067115142</v>
      </c>
      <c r="R297" s="60">
        <f>(R296*($K$1/12))+R296</f>
        <v>18451.317882381722</v>
      </c>
      <c r="S297" s="60">
        <f>(S296*($K$1/12))+S296</f>
        <v>16019.445399175802</v>
      </c>
      <c r="T297" s="60">
        <f>(T296*($K$1/12))+T296+$T$8</f>
        <v>1646163.4249392322</v>
      </c>
      <c r="U297" s="60">
        <f>(U296*$K$1/12) + U296</f>
        <v>194913.39328375869</v>
      </c>
      <c r="V297" s="60">
        <v>3100</v>
      </c>
      <c r="W297" s="60">
        <f>(W296*($K$1/12))+W296+$W$8</f>
        <v>135293.55036623921</v>
      </c>
      <c r="X297" s="11">
        <v>0</v>
      </c>
      <c r="Y297" s="60">
        <f>(Y296*($K$1/12))+Y296+$Y$8</f>
        <v>307238.70639298565</v>
      </c>
      <c r="Z297" s="60">
        <f>'Mortgage and Loans'!U259</f>
        <v>180000</v>
      </c>
      <c r="AA297" s="12">
        <f t="shared" si="347"/>
        <v>2961761.2319140835</v>
      </c>
      <c r="AB297" s="56">
        <f t="shared" si="357"/>
        <v>750</v>
      </c>
      <c r="AC297" s="56">
        <f t="shared" si="357"/>
        <v>750</v>
      </c>
      <c r="AD297" s="56">
        <f t="shared" si="357"/>
        <v>750</v>
      </c>
      <c r="AE297" s="56">
        <f t="shared" si="357"/>
        <v>750</v>
      </c>
      <c r="AF297" s="56">
        <f t="shared" si="356"/>
        <v>261.43961538461554</v>
      </c>
      <c r="AG297" s="56">
        <f t="shared" si="357"/>
        <v>750</v>
      </c>
      <c r="AH297" s="56">
        <f>'Mortgage and Loans'!AF254</f>
        <v>0</v>
      </c>
      <c r="AI297" s="56">
        <f>'Mortgage and Loans'!AQ254</f>
        <v>0</v>
      </c>
      <c r="AJ297" s="56">
        <f>'Mortgage and Loans'!BB254</f>
        <v>0</v>
      </c>
      <c r="AK297" s="56">
        <f>'Mortgage and Loans'!BM254</f>
        <v>0</v>
      </c>
      <c r="AL297" s="56">
        <f>'Mortgage and Loans'!T259</f>
        <v>0</v>
      </c>
      <c r="AM297" s="12">
        <f t="shared" si="345"/>
        <v>-4011.4396153846155</v>
      </c>
      <c r="AN297" s="75">
        <f t="shared" si="355"/>
        <v>2957749.7922986988</v>
      </c>
      <c r="AO297" s="86">
        <f>'Mortgage and Loans'!G260</f>
        <v>0</v>
      </c>
      <c r="AP297" s="79">
        <f>('Salary Tax Breakdown'!B$16/12)-Data!AO297</f>
        <v>3447.5</v>
      </c>
      <c r="AQ297" s="87"/>
      <c r="AR297" s="20">
        <f t="shared" si="304"/>
        <v>4011.4396153846155</v>
      </c>
      <c r="AS297" s="20">
        <v>750</v>
      </c>
      <c r="AT297" s="20">
        <v>0</v>
      </c>
      <c r="AU297" s="20">
        <f t="shared" si="305"/>
        <v>4761.4396153846155</v>
      </c>
      <c r="AV297" s="20">
        <f t="shared" si="306"/>
        <v>4761.4396153846155</v>
      </c>
      <c r="AW297" s="51">
        <f t="shared" si="348"/>
        <v>0</v>
      </c>
      <c r="AX297" s="51">
        <f t="shared" si="334"/>
        <v>0</v>
      </c>
      <c r="AY297" s="51">
        <f t="shared" si="335"/>
        <v>0</v>
      </c>
      <c r="AZ297" s="51">
        <f t="shared" si="336"/>
        <v>0</v>
      </c>
      <c r="BA297" s="51">
        <f t="shared" si="337"/>
        <v>0</v>
      </c>
      <c r="BB297" s="51">
        <f t="shared" si="338"/>
        <v>0</v>
      </c>
      <c r="BC297" s="51">
        <f t="shared" si="339"/>
        <v>0</v>
      </c>
      <c r="BD297" s="51">
        <f t="shared" si="340"/>
        <v>0</v>
      </c>
      <c r="BE297" s="51">
        <f t="shared" si="341"/>
        <v>0</v>
      </c>
      <c r="BF297" s="51">
        <f t="shared" si="342"/>
        <v>0</v>
      </c>
      <c r="BG297" s="51">
        <f t="shared" si="343"/>
        <v>0</v>
      </c>
      <c r="BH297" s="51">
        <f t="shared" si="344"/>
        <v>0</v>
      </c>
      <c r="BI297" s="51">
        <f t="shared" si="307"/>
        <v>0</v>
      </c>
      <c r="BJ297" s="51">
        <f t="shared" si="308"/>
        <v>0</v>
      </c>
      <c r="BK297" s="51">
        <f t="shared" si="309"/>
        <v>0</v>
      </c>
      <c r="BL297" s="51">
        <f t="shared" si="310"/>
        <v>0</v>
      </c>
      <c r="BM297" s="51">
        <f t="shared" si="311"/>
        <v>0</v>
      </c>
      <c r="BN297" s="51">
        <f t="shared" si="312"/>
        <v>0</v>
      </c>
      <c r="BO297" s="51">
        <f t="shared" si="313"/>
        <v>0</v>
      </c>
      <c r="BP297" s="51">
        <f t="shared" si="314"/>
        <v>0</v>
      </c>
      <c r="BQ297" s="51">
        <f t="shared" si="315"/>
        <v>0</v>
      </c>
      <c r="BR297" s="51">
        <f t="shared" si="316"/>
        <v>0</v>
      </c>
      <c r="BS297" s="51">
        <f t="shared" si="317"/>
        <v>0</v>
      </c>
      <c r="BT297" s="51">
        <f t="shared" si="318"/>
        <v>0</v>
      </c>
      <c r="BU297" s="20">
        <f t="shared" si="319"/>
        <v>4761.4396153846155</v>
      </c>
      <c r="BV297" s="20">
        <f t="shared" si="320"/>
        <v>4761.4396153846164</v>
      </c>
      <c r="BW297" s="20">
        <f t="shared" si="321"/>
        <v>57137.275384615386</v>
      </c>
      <c r="BX297" s="20">
        <f t="shared" si="322"/>
        <v>57137.275384615386</v>
      </c>
      <c r="BY297" s="20">
        <f t="shared" si="323"/>
        <v>57137.275384615394</v>
      </c>
      <c r="BZ297" s="21">
        <f t="shared" si="324"/>
        <v>57137.275384615386</v>
      </c>
      <c r="CA297" s="19">
        <f t="shared" si="346"/>
        <v>1428431.8846153847</v>
      </c>
      <c r="CB297" s="20">
        <f t="shared" si="325"/>
        <v>1428431.8846153847</v>
      </c>
      <c r="CC297" s="20">
        <f t="shared" si="326"/>
        <v>1428431.8846153843</v>
      </c>
      <c r="CD297" s="20">
        <f t="shared" si="351"/>
        <v>0</v>
      </c>
      <c r="CE297" s="20">
        <f t="shared" si="352"/>
        <v>1400000</v>
      </c>
      <c r="CF297" s="20">
        <f t="shared" si="349"/>
        <v>2756370.128934925</v>
      </c>
      <c r="CG297" s="20">
        <f t="shared" si="327"/>
        <v>110254.805157397</v>
      </c>
      <c r="CH297" s="20">
        <f t="shared" si="350"/>
        <v>9187.9004297830834</v>
      </c>
      <c r="CI297" s="20">
        <f t="shared" si="328"/>
        <v>2741886.4421881824</v>
      </c>
      <c r="CJ297" s="24">
        <f t="shared" si="329"/>
        <v>1.9296475797143782</v>
      </c>
      <c r="CK297" s="24">
        <f t="shared" si="330"/>
        <v>5.2919338386028881E-3</v>
      </c>
      <c r="CL297" s="24">
        <f t="shared" si="331"/>
        <v>1.5957958963017386E-2</v>
      </c>
      <c r="CM297" s="25">
        <f t="shared" si="332"/>
        <v>6.5337536129441612E-2</v>
      </c>
      <c r="CN297" s="17"/>
      <c r="CO297" s="17"/>
      <c r="CP297" s="17"/>
      <c r="CQ297" s="17"/>
      <c r="CR297" s="17"/>
      <c r="CS297" s="17"/>
      <c r="CT297" s="17"/>
      <c r="CU297" s="17"/>
      <c r="CV297" s="17"/>
      <c r="CW297" s="30">
        <v>0</v>
      </c>
      <c r="CX297" s="17"/>
      <c r="CY297" s="17"/>
      <c r="CZ297" s="17"/>
      <c r="DA297" s="17"/>
      <c r="DB297" s="17"/>
    </row>
    <row r="298" spans="1:106" ht="15.75" thickBot="1" x14ac:dyDescent="0.3">
      <c r="A298" s="5">
        <f t="shared" si="353"/>
        <v>48</v>
      </c>
      <c r="B298" s="5">
        <f t="shared" si="353"/>
        <v>46</v>
      </c>
      <c r="C298" s="1"/>
      <c r="D298" s="4"/>
      <c r="E298" s="30"/>
      <c r="F298" s="30"/>
      <c r="G298" s="30">
        <f t="shared" si="303"/>
        <v>0</v>
      </c>
      <c r="H298" s="30"/>
      <c r="I298" s="10">
        <v>0</v>
      </c>
      <c r="J298" s="60">
        <v>9000</v>
      </c>
      <c r="K298" s="11">
        <v>550</v>
      </c>
      <c r="L298" s="60">
        <f t="shared" si="354"/>
        <v>12451.129936925065</v>
      </c>
      <c r="M298" s="11">
        <v>305</v>
      </c>
      <c r="N298" s="60">
        <v>0</v>
      </c>
      <c r="O298" s="11">
        <v>0</v>
      </c>
      <c r="P298" s="11">
        <v>0</v>
      </c>
      <c r="Q298" s="60">
        <f>(Q297*($K$1/12))+Q297 + $Q$8</f>
        <v>441122.36307895347</v>
      </c>
      <c r="R298" s="60">
        <f>(R297*($K$1/12))+R297</f>
        <v>18551.262520911288</v>
      </c>
      <c r="S298" s="60">
        <f>(S297*($K$1/12))+S297</f>
        <v>16106.217395088004</v>
      </c>
      <c r="T298" s="60">
        <f>(T297*($K$1/12))+T297+$T$8</f>
        <v>1656580.1434909864</v>
      </c>
      <c r="U298" s="60">
        <f>(U297*$K$1/12) + U297</f>
        <v>195969.17416404572</v>
      </c>
      <c r="V298" s="60">
        <v>3100</v>
      </c>
      <c r="W298" s="60">
        <f>(W297*($K$1/12))+W297+$W$8</f>
        <v>136026.390430723</v>
      </c>
      <c r="X298" s="11">
        <v>0</v>
      </c>
      <c r="Y298" s="60">
        <f>(Y297*($K$1/12))+Y297+$Y$8</f>
        <v>306602.91605261434</v>
      </c>
      <c r="Z298" s="60">
        <f>'Mortgage and Loans'!U260</f>
        <v>180000</v>
      </c>
      <c r="AA298" s="12">
        <f t="shared" si="347"/>
        <v>2976364.5970702469</v>
      </c>
      <c r="AB298" s="56">
        <f t="shared" si="357"/>
        <v>750</v>
      </c>
      <c r="AC298" s="56">
        <f t="shared" si="357"/>
        <v>750</v>
      </c>
      <c r="AD298" s="56">
        <f t="shared" si="357"/>
        <v>750</v>
      </c>
      <c r="AE298" s="56">
        <f t="shared" si="357"/>
        <v>750</v>
      </c>
      <c r="AF298" s="56">
        <f t="shared" si="356"/>
        <v>261.43961538461554</v>
      </c>
      <c r="AG298" s="56">
        <f t="shared" si="357"/>
        <v>750</v>
      </c>
      <c r="AH298" s="56">
        <f>'Mortgage and Loans'!AF255</f>
        <v>0</v>
      </c>
      <c r="AI298" s="56">
        <f>'Mortgage and Loans'!AQ255</f>
        <v>0</v>
      </c>
      <c r="AJ298" s="56">
        <f>'Mortgage and Loans'!BB255</f>
        <v>0</v>
      </c>
      <c r="AK298" s="56">
        <f>'Mortgage and Loans'!BM255</f>
        <v>0</v>
      </c>
      <c r="AL298" s="56">
        <f>'Mortgage and Loans'!T260</f>
        <v>0</v>
      </c>
      <c r="AM298" s="12">
        <f t="shared" si="345"/>
        <v>-4011.4396153846155</v>
      </c>
      <c r="AN298" s="75">
        <f t="shared" si="355"/>
        <v>2972353.1574548623</v>
      </c>
      <c r="AO298" s="86">
        <f>'Mortgage and Loans'!G261</f>
        <v>0</v>
      </c>
      <c r="AP298" s="79">
        <f>('Salary Tax Breakdown'!B$16/12)-Data!AO298</f>
        <v>3447.5</v>
      </c>
      <c r="AQ298" s="87"/>
      <c r="AR298" s="20">
        <f t="shared" si="304"/>
        <v>4011.4396153846155</v>
      </c>
      <c r="AS298" s="20">
        <v>750</v>
      </c>
      <c r="AT298" s="20">
        <v>0</v>
      </c>
      <c r="AU298" s="20">
        <f t="shared" si="305"/>
        <v>4761.4396153846155</v>
      </c>
      <c r="AV298" s="20">
        <f t="shared" si="306"/>
        <v>4761.4396153846155</v>
      </c>
      <c r="AW298" s="51">
        <f t="shared" si="348"/>
        <v>0</v>
      </c>
      <c r="AX298" s="51">
        <f t="shared" si="334"/>
        <v>0</v>
      </c>
      <c r="AY298" s="51">
        <f t="shared" si="335"/>
        <v>0</v>
      </c>
      <c r="AZ298" s="51">
        <f t="shared" si="336"/>
        <v>0</v>
      </c>
      <c r="BA298" s="51">
        <f t="shared" si="337"/>
        <v>0</v>
      </c>
      <c r="BB298" s="51">
        <f t="shared" si="338"/>
        <v>0</v>
      </c>
      <c r="BC298" s="51">
        <f t="shared" si="339"/>
        <v>0</v>
      </c>
      <c r="BD298" s="51">
        <f t="shared" si="340"/>
        <v>0</v>
      </c>
      <c r="BE298" s="51">
        <f t="shared" si="341"/>
        <v>0</v>
      </c>
      <c r="BF298" s="51">
        <f t="shared" si="342"/>
        <v>0</v>
      </c>
      <c r="BG298" s="51">
        <f t="shared" si="343"/>
        <v>0</v>
      </c>
      <c r="BH298" s="51">
        <f t="shared" si="344"/>
        <v>0</v>
      </c>
      <c r="BI298" s="51">
        <f t="shared" si="307"/>
        <v>0</v>
      </c>
      <c r="BJ298" s="51">
        <f t="shared" si="308"/>
        <v>0</v>
      </c>
      <c r="BK298" s="51">
        <f t="shared" si="309"/>
        <v>0</v>
      </c>
      <c r="BL298" s="51">
        <f t="shared" si="310"/>
        <v>0</v>
      </c>
      <c r="BM298" s="51">
        <f t="shared" si="311"/>
        <v>0</v>
      </c>
      <c r="BN298" s="51">
        <f t="shared" si="312"/>
        <v>0</v>
      </c>
      <c r="BO298" s="51">
        <f t="shared" si="313"/>
        <v>0</v>
      </c>
      <c r="BP298" s="51">
        <f t="shared" si="314"/>
        <v>0</v>
      </c>
      <c r="BQ298" s="51">
        <f t="shared" si="315"/>
        <v>0</v>
      </c>
      <c r="BR298" s="51">
        <f t="shared" si="316"/>
        <v>0</v>
      </c>
      <c r="BS298" s="51">
        <f t="shared" si="317"/>
        <v>0</v>
      </c>
      <c r="BT298" s="51">
        <f t="shared" si="318"/>
        <v>0</v>
      </c>
      <c r="BU298" s="20">
        <f t="shared" si="319"/>
        <v>4761.4396153846155</v>
      </c>
      <c r="BV298" s="20">
        <f t="shared" si="320"/>
        <v>4761.4396153846164</v>
      </c>
      <c r="BW298" s="20">
        <f t="shared" si="321"/>
        <v>57137.275384615386</v>
      </c>
      <c r="BX298" s="20">
        <f t="shared" si="322"/>
        <v>57137.275384615386</v>
      </c>
      <c r="BY298" s="20">
        <f t="shared" si="323"/>
        <v>57137.275384615394</v>
      </c>
      <c r="BZ298" s="21">
        <f t="shared" si="324"/>
        <v>57137.275384615386</v>
      </c>
      <c r="CA298" s="19">
        <f t="shared" si="346"/>
        <v>1428431.8846153847</v>
      </c>
      <c r="CB298" s="20">
        <f t="shared" si="325"/>
        <v>1428431.8846153847</v>
      </c>
      <c r="CC298" s="20">
        <f t="shared" si="326"/>
        <v>1428431.8846153843</v>
      </c>
      <c r="CD298" s="20">
        <f t="shared" si="351"/>
        <v>0</v>
      </c>
      <c r="CE298" s="20">
        <f t="shared" si="352"/>
        <v>1400000</v>
      </c>
      <c r="CF298" s="20">
        <f t="shared" si="349"/>
        <v>2770958.4671333218</v>
      </c>
      <c r="CG298" s="20">
        <f t="shared" si="327"/>
        <v>110838.33868533287</v>
      </c>
      <c r="CH298" s="20">
        <f t="shared" si="350"/>
        <v>9236.5282237777392</v>
      </c>
      <c r="CI298" s="20">
        <f t="shared" si="328"/>
        <v>2756396.3270833674</v>
      </c>
      <c r="CJ298" s="24">
        <f t="shared" si="329"/>
        <v>1.9398604140507698</v>
      </c>
      <c r="CK298" s="24">
        <f t="shared" si="330"/>
        <v>5.2925904417756298E-3</v>
      </c>
      <c r="CL298" s="24">
        <f t="shared" si="331"/>
        <v>1.5959959976550638E-2</v>
      </c>
      <c r="CM298" s="25">
        <f t="shared" si="332"/>
        <v>6.5346127245270585E-2</v>
      </c>
      <c r="CN298" s="17"/>
      <c r="CO298" s="17"/>
      <c r="CP298" s="17"/>
      <c r="CQ298" s="17"/>
      <c r="CR298" s="17"/>
      <c r="CS298" s="17"/>
      <c r="CT298" s="17"/>
      <c r="CU298" s="17"/>
      <c r="CV298" s="17"/>
      <c r="CW298" s="30">
        <v>0</v>
      </c>
      <c r="CX298" s="17"/>
      <c r="CY298" s="17"/>
      <c r="CZ298" s="17"/>
      <c r="DA298" s="17"/>
      <c r="DB298" s="17"/>
    </row>
    <row r="299" spans="1:106" ht="15.75" thickBot="1" x14ac:dyDescent="0.3">
      <c r="A299" s="5">
        <f t="shared" si="353"/>
        <v>48</v>
      </c>
      <c r="B299" s="5">
        <f t="shared" si="353"/>
        <v>46</v>
      </c>
      <c r="C299" s="1"/>
      <c r="D299" s="4"/>
      <c r="E299" s="30"/>
      <c r="F299" s="30"/>
      <c r="G299" s="30">
        <f t="shared" si="303"/>
        <v>0</v>
      </c>
      <c r="H299" s="30"/>
      <c r="I299" s="10">
        <v>0</v>
      </c>
      <c r="J299" s="60">
        <v>9000</v>
      </c>
      <c r="K299" s="11">
        <v>550</v>
      </c>
      <c r="L299" s="60">
        <f t="shared" si="354"/>
        <v>12466.175052265515</v>
      </c>
      <c r="M299" s="11">
        <v>305</v>
      </c>
      <c r="N299" s="60">
        <v>0</v>
      </c>
      <c r="O299" s="11">
        <v>0</v>
      </c>
      <c r="P299" s="11">
        <v>0</v>
      </c>
      <c r="Q299" s="60">
        <f>(Q298*($K$1/12))+Q298 + $Q$8</f>
        <v>443969.77587896446</v>
      </c>
      <c r="R299" s="60">
        <f>(R298*($K$1/12))+R298</f>
        <v>18651.748526232892</v>
      </c>
      <c r="S299" s="60">
        <f>(S298*($K$1/12))+S298</f>
        <v>16193.459405978065</v>
      </c>
      <c r="T299" s="60">
        <f>(T298*($K$1/12))+T298+$T$8</f>
        <v>1667053.285934896</v>
      </c>
      <c r="U299" s="60">
        <f>(U298*$K$1/12) + U298</f>
        <v>197030.6738574343</v>
      </c>
      <c r="V299" s="60">
        <v>3100</v>
      </c>
      <c r="W299" s="60">
        <f>(W298*($K$1/12))+W298+$W$8</f>
        <v>136763.20004555609</v>
      </c>
      <c r="X299" s="11">
        <v>0</v>
      </c>
      <c r="Y299" s="60">
        <f>(Y298*($K$1/12))+Y298+$Y$8</f>
        <v>305963.68184789934</v>
      </c>
      <c r="Z299" s="60">
        <f>'Mortgage and Loans'!U261</f>
        <v>180000</v>
      </c>
      <c r="AA299" s="12">
        <f t="shared" si="347"/>
        <v>2991047.0005492265</v>
      </c>
      <c r="AB299" s="56">
        <f t="shared" si="357"/>
        <v>750</v>
      </c>
      <c r="AC299" s="56">
        <f t="shared" si="357"/>
        <v>750</v>
      </c>
      <c r="AD299" s="56">
        <f t="shared" si="357"/>
        <v>750</v>
      </c>
      <c r="AE299" s="56">
        <f t="shared" si="357"/>
        <v>750</v>
      </c>
      <c r="AF299" s="56">
        <f t="shared" si="356"/>
        <v>261.43961538461554</v>
      </c>
      <c r="AG299" s="56">
        <f t="shared" si="357"/>
        <v>750</v>
      </c>
      <c r="AH299" s="56">
        <f>'Mortgage and Loans'!AF256</f>
        <v>0</v>
      </c>
      <c r="AI299" s="56">
        <f>'Mortgage and Loans'!AQ256</f>
        <v>0</v>
      </c>
      <c r="AJ299" s="56">
        <f>'Mortgage and Loans'!BB256</f>
        <v>0</v>
      </c>
      <c r="AK299" s="56">
        <f>'Mortgage and Loans'!BM256</f>
        <v>0</v>
      </c>
      <c r="AL299" s="56">
        <f>'Mortgage and Loans'!T261</f>
        <v>0</v>
      </c>
      <c r="AM299" s="12">
        <f t="shared" si="345"/>
        <v>-4011.4396153846155</v>
      </c>
      <c r="AN299" s="75">
        <f t="shared" si="355"/>
        <v>2987035.5609338419</v>
      </c>
      <c r="AO299" s="86">
        <f>'Mortgage and Loans'!G262</f>
        <v>0</v>
      </c>
      <c r="AP299" s="79">
        <f>('Salary Tax Breakdown'!B$16/12)-Data!AO299</f>
        <v>3447.5</v>
      </c>
      <c r="AQ299" s="87"/>
      <c r="AR299" s="20">
        <f t="shared" si="304"/>
        <v>4011.4396153846155</v>
      </c>
      <c r="AS299" s="20">
        <v>750</v>
      </c>
      <c r="AT299" s="20">
        <v>0</v>
      </c>
      <c r="AU299" s="20">
        <f t="shared" si="305"/>
        <v>4761.4396153846155</v>
      </c>
      <c r="AV299" s="20">
        <f t="shared" si="306"/>
        <v>4761.4396153846155</v>
      </c>
      <c r="AW299" s="51">
        <f t="shared" si="348"/>
        <v>0</v>
      </c>
      <c r="AX299" s="51">
        <f t="shared" si="334"/>
        <v>0</v>
      </c>
      <c r="AY299" s="51">
        <f t="shared" si="335"/>
        <v>0</v>
      </c>
      <c r="AZ299" s="51">
        <f t="shared" si="336"/>
        <v>0</v>
      </c>
      <c r="BA299" s="51">
        <f t="shared" si="337"/>
        <v>0</v>
      </c>
      <c r="BB299" s="51">
        <f t="shared" si="338"/>
        <v>0</v>
      </c>
      <c r="BC299" s="51">
        <f t="shared" si="339"/>
        <v>0</v>
      </c>
      <c r="BD299" s="51">
        <f t="shared" si="340"/>
        <v>0</v>
      </c>
      <c r="BE299" s="51">
        <f t="shared" si="341"/>
        <v>0</v>
      </c>
      <c r="BF299" s="51">
        <f t="shared" si="342"/>
        <v>0</v>
      </c>
      <c r="BG299" s="51">
        <f t="shared" si="343"/>
        <v>0</v>
      </c>
      <c r="BH299" s="51">
        <f t="shared" si="344"/>
        <v>0</v>
      </c>
      <c r="BI299" s="51">
        <f t="shared" si="307"/>
        <v>0</v>
      </c>
      <c r="BJ299" s="51">
        <f t="shared" si="308"/>
        <v>0</v>
      </c>
      <c r="BK299" s="51">
        <f t="shared" si="309"/>
        <v>0</v>
      </c>
      <c r="BL299" s="51">
        <f t="shared" si="310"/>
        <v>0</v>
      </c>
      <c r="BM299" s="51">
        <f t="shared" si="311"/>
        <v>0</v>
      </c>
      <c r="BN299" s="51">
        <f t="shared" si="312"/>
        <v>0</v>
      </c>
      <c r="BO299" s="51">
        <f t="shared" si="313"/>
        <v>0</v>
      </c>
      <c r="BP299" s="51">
        <f t="shared" si="314"/>
        <v>0</v>
      </c>
      <c r="BQ299" s="51">
        <f t="shared" si="315"/>
        <v>0</v>
      </c>
      <c r="BR299" s="51">
        <f t="shared" si="316"/>
        <v>0</v>
      </c>
      <c r="BS299" s="51">
        <f t="shared" si="317"/>
        <v>0</v>
      </c>
      <c r="BT299" s="51">
        <f t="shared" si="318"/>
        <v>0</v>
      </c>
      <c r="BU299" s="20">
        <f t="shared" si="319"/>
        <v>4761.4396153846155</v>
      </c>
      <c r="BV299" s="20">
        <f t="shared" si="320"/>
        <v>4761.4396153846164</v>
      </c>
      <c r="BW299" s="20">
        <f t="shared" si="321"/>
        <v>57137.275384615386</v>
      </c>
      <c r="BX299" s="20">
        <f t="shared" si="322"/>
        <v>57137.275384615386</v>
      </c>
      <c r="BY299" s="20">
        <f t="shared" si="323"/>
        <v>57137.275384615394</v>
      </c>
      <c r="BZ299" s="21">
        <f t="shared" si="324"/>
        <v>57137.275384615386</v>
      </c>
      <c r="CA299" s="19">
        <f t="shared" si="346"/>
        <v>1428431.8846153847</v>
      </c>
      <c r="CB299" s="20">
        <f t="shared" si="325"/>
        <v>1428431.8846153847</v>
      </c>
      <c r="CC299" s="20">
        <f t="shared" si="326"/>
        <v>1428431.8846153843</v>
      </c>
      <c r="CD299" s="20">
        <f t="shared" si="351"/>
        <v>0</v>
      </c>
      <c r="CE299" s="20">
        <f t="shared" si="352"/>
        <v>1400000</v>
      </c>
      <c r="CF299" s="20">
        <f t="shared" si="349"/>
        <v>2785625.8254969614</v>
      </c>
      <c r="CG299" s="20">
        <f t="shared" si="327"/>
        <v>111425.03301987845</v>
      </c>
      <c r="CH299" s="20">
        <f t="shared" si="350"/>
        <v>9285.4194183232048</v>
      </c>
      <c r="CI299" s="20">
        <f t="shared" si="328"/>
        <v>2770984.8071884024</v>
      </c>
      <c r="CJ299" s="24">
        <f t="shared" si="329"/>
        <v>1.9501285679064848</v>
      </c>
      <c r="CK299" s="24">
        <f t="shared" si="330"/>
        <v>5.2932436691530745E-3</v>
      </c>
      <c r="CL299" s="24">
        <f t="shared" si="331"/>
        <v>1.5961950707494628E-2</v>
      </c>
      <c r="CM299" s="25">
        <f t="shared" si="332"/>
        <v>6.5354674317926145E-2</v>
      </c>
      <c r="CN299" s="17"/>
      <c r="CO299" s="17"/>
      <c r="CP299" s="17"/>
      <c r="CQ299" s="17"/>
      <c r="CR299" s="17"/>
      <c r="CS299" s="17"/>
      <c r="CT299" s="17"/>
      <c r="CU299" s="17"/>
      <c r="CV299" s="17"/>
      <c r="CW299" s="30">
        <v>0</v>
      </c>
      <c r="CX299" s="17"/>
      <c r="CY299" s="17"/>
      <c r="CZ299" s="17"/>
      <c r="DA299" s="17"/>
      <c r="DB299" s="17"/>
    </row>
    <row r="300" spans="1:106" ht="15.75" thickBot="1" x14ac:dyDescent="0.3">
      <c r="A300" s="5">
        <f t="shared" si="353"/>
        <v>48</v>
      </c>
      <c r="B300" s="5">
        <f t="shared" si="353"/>
        <v>46</v>
      </c>
      <c r="C300" s="1"/>
      <c r="D300" s="4"/>
      <c r="E300" s="30"/>
      <c r="F300" s="30"/>
      <c r="G300" s="30">
        <f t="shared" si="303"/>
        <v>0</v>
      </c>
      <c r="H300" s="30"/>
      <c r="I300" s="10">
        <v>0</v>
      </c>
      <c r="J300" s="60">
        <v>9000</v>
      </c>
      <c r="K300" s="11">
        <v>550</v>
      </c>
      <c r="L300" s="60">
        <f t="shared" si="354"/>
        <v>12481.238347120334</v>
      </c>
      <c r="M300" s="11">
        <v>305</v>
      </c>
      <c r="N300" s="60">
        <v>0</v>
      </c>
      <c r="O300" s="11">
        <v>0</v>
      </c>
      <c r="P300" s="11">
        <v>0</v>
      </c>
      <c r="Q300" s="60">
        <f>(Q299*($K$1/12))+Q299 + $Q$8</f>
        <v>446832.61216497549</v>
      </c>
      <c r="R300" s="60">
        <f>(R299*($K$1/12))+R299</f>
        <v>18752.778830749987</v>
      </c>
      <c r="S300" s="60">
        <f>(S299*($K$1/12))+S299</f>
        <v>16281.173977760445</v>
      </c>
      <c r="T300" s="60">
        <f>(T299*($K$1/12))+T299+$T$8</f>
        <v>1677583.1579003767</v>
      </c>
      <c r="U300" s="60">
        <f>(U299*$K$1/12) + U299</f>
        <v>198097.92334082874</v>
      </c>
      <c r="V300" s="60">
        <v>3100</v>
      </c>
      <c r="W300" s="60">
        <f>(W299*($K$1/12))+W299+$W$8</f>
        <v>137504.00071246951</v>
      </c>
      <c r="X300" s="11">
        <v>0</v>
      </c>
      <c r="Y300" s="60">
        <f>(Y299*($K$1/12))+Y299+$Y$8</f>
        <v>305320.98512457544</v>
      </c>
      <c r="Z300" s="60">
        <f>'Mortgage and Loans'!U262</f>
        <v>180000</v>
      </c>
      <c r="AA300" s="12">
        <f t="shared" si="347"/>
        <v>3005808.8703988567</v>
      </c>
      <c r="AB300" s="56">
        <f t="shared" si="357"/>
        <v>750</v>
      </c>
      <c r="AC300" s="56">
        <f t="shared" si="357"/>
        <v>750</v>
      </c>
      <c r="AD300" s="56">
        <f t="shared" si="357"/>
        <v>750</v>
      </c>
      <c r="AE300" s="56">
        <f t="shared" si="357"/>
        <v>750</v>
      </c>
      <c r="AF300" s="56">
        <f t="shared" si="356"/>
        <v>261.43961538461554</v>
      </c>
      <c r="AG300" s="56">
        <f t="shared" si="357"/>
        <v>750</v>
      </c>
      <c r="AH300" s="56">
        <f>'Mortgage and Loans'!AF257</f>
        <v>0</v>
      </c>
      <c r="AI300" s="56">
        <f>'Mortgage and Loans'!AQ257</f>
        <v>0</v>
      </c>
      <c r="AJ300" s="56">
        <f>'Mortgage and Loans'!BB257</f>
        <v>0</v>
      </c>
      <c r="AK300" s="56">
        <f>'Mortgage and Loans'!BM257</f>
        <v>0</v>
      </c>
      <c r="AL300" s="56">
        <f>'Mortgage and Loans'!T262</f>
        <v>0</v>
      </c>
      <c r="AM300" s="12">
        <f t="shared" si="345"/>
        <v>-4011.4396153846155</v>
      </c>
      <c r="AN300" s="75">
        <f t="shared" si="355"/>
        <v>3001797.430783472</v>
      </c>
      <c r="AO300" s="86">
        <f>'Mortgage and Loans'!G263</f>
        <v>0</v>
      </c>
      <c r="AP300" s="79">
        <f>('Salary Tax Breakdown'!B$16/12)-Data!AO300</f>
        <v>3447.5</v>
      </c>
      <c r="AQ300" s="87"/>
      <c r="AR300" s="20">
        <f t="shared" si="304"/>
        <v>4011.4396153846155</v>
      </c>
      <c r="AS300" s="20">
        <v>750</v>
      </c>
      <c r="AT300" s="20">
        <v>0</v>
      </c>
      <c r="AU300" s="20">
        <f t="shared" si="305"/>
        <v>4761.4396153846155</v>
      </c>
      <c r="AV300" s="20">
        <f t="shared" si="306"/>
        <v>4761.4396153846155</v>
      </c>
      <c r="AW300" s="51">
        <f t="shared" si="348"/>
        <v>0</v>
      </c>
      <c r="AX300" s="51">
        <f t="shared" si="334"/>
        <v>0</v>
      </c>
      <c r="AY300" s="51">
        <f t="shared" si="335"/>
        <v>0</v>
      </c>
      <c r="AZ300" s="51">
        <f t="shared" si="336"/>
        <v>0</v>
      </c>
      <c r="BA300" s="51">
        <f t="shared" si="337"/>
        <v>0</v>
      </c>
      <c r="BB300" s="51">
        <f t="shared" si="338"/>
        <v>0</v>
      </c>
      <c r="BC300" s="51">
        <f t="shared" si="339"/>
        <v>0</v>
      </c>
      <c r="BD300" s="51">
        <f t="shared" si="340"/>
        <v>0</v>
      </c>
      <c r="BE300" s="51">
        <f t="shared" si="341"/>
        <v>0</v>
      </c>
      <c r="BF300" s="51">
        <f t="shared" si="342"/>
        <v>0</v>
      </c>
      <c r="BG300" s="51">
        <f t="shared" si="343"/>
        <v>0</v>
      </c>
      <c r="BH300" s="51">
        <f t="shared" si="344"/>
        <v>0</v>
      </c>
      <c r="BI300" s="51">
        <f t="shared" si="307"/>
        <v>0</v>
      </c>
      <c r="BJ300" s="51">
        <f t="shared" si="308"/>
        <v>0</v>
      </c>
      <c r="BK300" s="51">
        <f t="shared" si="309"/>
        <v>0</v>
      </c>
      <c r="BL300" s="51">
        <f t="shared" si="310"/>
        <v>0</v>
      </c>
      <c r="BM300" s="51">
        <f t="shared" si="311"/>
        <v>0</v>
      </c>
      <c r="BN300" s="51">
        <f t="shared" si="312"/>
        <v>0</v>
      </c>
      <c r="BO300" s="51">
        <f t="shared" si="313"/>
        <v>0</v>
      </c>
      <c r="BP300" s="51">
        <f t="shared" si="314"/>
        <v>0</v>
      </c>
      <c r="BQ300" s="51">
        <f t="shared" si="315"/>
        <v>0</v>
      </c>
      <c r="BR300" s="51">
        <f t="shared" si="316"/>
        <v>0</v>
      </c>
      <c r="BS300" s="51">
        <f t="shared" si="317"/>
        <v>0</v>
      </c>
      <c r="BT300" s="51">
        <f t="shared" si="318"/>
        <v>0</v>
      </c>
      <c r="BU300" s="20">
        <f t="shared" si="319"/>
        <v>4761.4396153846155</v>
      </c>
      <c r="BV300" s="20">
        <f t="shared" si="320"/>
        <v>4761.4396153846164</v>
      </c>
      <c r="BW300" s="20">
        <f t="shared" si="321"/>
        <v>57137.275384615386</v>
      </c>
      <c r="BX300" s="20">
        <f t="shared" si="322"/>
        <v>57137.275384615386</v>
      </c>
      <c r="BY300" s="20">
        <f t="shared" si="323"/>
        <v>57137.275384615394</v>
      </c>
      <c r="BZ300" s="21">
        <f t="shared" si="324"/>
        <v>57137.275384615386</v>
      </c>
      <c r="CA300" s="19">
        <f t="shared" si="346"/>
        <v>1428431.8846153847</v>
      </c>
      <c r="CB300" s="20">
        <f t="shared" si="325"/>
        <v>1428431.8846153847</v>
      </c>
      <c r="CC300" s="20">
        <f t="shared" si="326"/>
        <v>1428431.8846153843</v>
      </c>
      <c r="CD300" s="20">
        <f t="shared" si="351"/>
        <v>0</v>
      </c>
      <c r="CE300" s="20">
        <f t="shared" si="352"/>
        <v>1400000</v>
      </c>
      <c r="CF300" s="20">
        <f t="shared" si="349"/>
        <v>2800372.6320517366</v>
      </c>
      <c r="CG300" s="20">
        <f t="shared" si="327"/>
        <v>112014.90528206946</v>
      </c>
      <c r="CH300" s="20">
        <f t="shared" si="350"/>
        <v>9334.5754401724553</v>
      </c>
      <c r="CI300" s="20">
        <f t="shared" si="328"/>
        <v>2785652.3082273398</v>
      </c>
      <c r="CJ300" s="24">
        <f t="shared" si="329"/>
        <v>1.9604523409289176</v>
      </c>
      <c r="CK300" s="24">
        <f t="shared" si="330"/>
        <v>5.2938935372428778E-3</v>
      </c>
      <c r="CL300" s="24">
        <f t="shared" si="331"/>
        <v>1.5963931206080226E-2</v>
      </c>
      <c r="CM300" s="25">
        <f t="shared" si="332"/>
        <v>6.5363177561474778E-2</v>
      </c>
      <c r="CN300" s="17"/>
      <c r="CO300" s="17"/>
      <c r="CP300" s="17"/>
      <c r="CQ300" s="17"/>
      <c r="CR300" s="17"/>
      <c r="CS300" s="17"/>
      <c r="CT300" s="17"/>
      <c r="CU300" s="17"/>
      <c r="CV300" s="17"/>
      <c r="CW300" s="30">
        <v>0</v>
      </c>
      <c r="CX300" s="17"/>
      <c r="CY300" s="17"/>
      <c r="CZ300" s="17"/>
      <c r="DA300" s="17"/>
      <c r="DB300" s="17"/>
    </row>
    <row r="301" spans="1:106" ht="15.75" thickBot="1" x14ac:dyDescent="0.3">
      <c r="A301" s="5">
        <f t="shared" si="353"/>
        <v>48</v>
      </c>
      <c r="B301" s="5">
        <f t="shared" si="353"/>
        <v>46</v>
      </c>
      <c r="C301" s="1"/>
      <c r="D301" s="4"/>
      <c r="E301" s="30"/>
      <c r="F301" s="30"/>
      <c r="G301" s="30">
        <f t="shared" si="303"/>
        <v>0</v>
      </c>
      <c r="H301" s="30"/>
      <c r="I301" s="10">
        <v>0</v>
      </c>
      <c r="J301" s="60">
        <v>9000</v>
      </c>
      <c r="K301" s="11">
        <v>550</v>
      </c>
      <c r="L301" s="60">
        <f t="shared" si="354"/>
        <v>12496.319843456437</v>
      </c>
      <c r="M301" s="11">
        <v>305</v>
      </c>
      <c r="N301" s="60">
        <v>0</v>
      </c>
      <c r="O301" s="11">
        <v>0</v>
      </c>
      <c r="P301" s="11">
        <v>0</v>
      </c>
      <c r="Q301" s="60">
        <f>(Q300*($K$1/12))+Q300 + $Q$8</f>
        <v>449710.9554808691</v>
      </c>
      <c r="R301" s="60">
        <f>(R300*($K$1/12))+R300</f>
        <v>18854.356382749884</v>
      </c>
      <c r="S301" s="60">
        <f>(S300*($K$1/12))+S300</f>
        <v>16369.363670139981</v>
      </c>
      <c r="T301" s="60">
        <f>(T300*($K$1/12))+T300+$T$8</f>
        <v>1688170.066672337</v>
      </c>
      <c r="U301" s="60">
        <f>(U300*$K$1/12) + U300</f>
        <v>199170.95375892491</v>
      </c>
      <c r="V301" s="60">
        <v>3100</v>
      </c>
      <c r="W301" s="60">
        <f>(W300*($K$1/12))+W300+$W$8</f>
        <v>138248.81404966206</v>
      </c>
      <c r="X301" s="11">
        <v>0</v>
      </c>
      <c r="Y301" s="60">
        <f>(Y300*($K$1/12))+Y300+$Y$8</f>
        <v>304674.80712733354</v>
      </c>
      <c r="Z301" s="60">
        <f>'Mortgage and Loans'!U263</f>
        <v>180000</v>
      </c>
      <c r="AA301" s="12">
        <f t="shared" si="347"/>
        <v>3020650.6369854729</v>
      </c>
      <c r="AB301" s="56">
        <f t="shared" si="357"/>
        <v>750</v>
      </c>
      <c r="AC301" s="56">
        <f t="shared" si="357"/>
        <v>750</v>
      </c>
      <c r="AD301" s="56">
        <f t="shared" si="357"/>
        <v>750</v>
      </c>
      <c r="AE301" s="56">
        <f t="shared" si="357"/>
        <v>750</v>
      </c>
      <c r="AF301" s="56">
        <f t="shared" si="356"/>
        <v>261.43961538461554</v>
      </c>
      <c r="AG301" s="56">
        <f t="shared" si="357"/>
        <v>750</v>
      </c>
      <c r="AH301" s="56">
        <f>'Mortgage and Loans'!AF258</f>
        <v>0</v>
      </c>
      <c r="AI301" s="56">
        <f>'Mortgage and Loans'!AQ258</f>
        <v>0</v>
      </c>
      <c r="AJ301" s="56">
        <f>'Mortgage and Loans'!BB258</f>
        <v>0</v>
      </c>
      <c r="AK301" s="56">
        <f>'Mortgage and Loans'!BM258</f>
        <v>0</v>
      </c>
      <c r="AL301" s="56">
        <f>'Mortgage and Loans'!T263</f>
        <v>0</v>
      </c>
      <c r="AM301" s="12">
        <f t="shared" si="345"/>
        <v>-4011.4396153846155</v>
      </c>
      <c r="AN301" s="75">
        <f t="shared" si="355"/>
        <v>3016639.1973700882</v>
      </c>
      <c r="AO301" s="86">
        <f>'Mortgage and Loans'!G264</f>
        <v>0</v>
      </c>
      <c r="AP301" s="79">
        <f>('Salary Tax Breakdown'!B$16/12)-Data!AO301</f>
        <v>3447.5</v>
      </c>
      <c r="AQ301" s="87"/>
      <c r="AR301" s="20">
        <f t="shared" si="304"/>
        <v>4011.4396153846155</v>
      </c>
      <c r="AS301" s="20">
        <v>750</v>
      </c>
      <c r="AT301" s="20">
        <v>0</v>
      </c>
      <c r="AU301" s="20">
        <f t="shared" si="305"/>
        <v>4761.4396153846155</v>
      </c>
      <c r="AV301" s="20">
        <f t="shared" si="306"/>
        <v>4761.4396153846155</v>
      </c>
      <c r="AW301" s="51">
        <f t="shared" si="348"/>
        <v>0</v>
      </c>
      <c r="AX301" s="51">
        <f t="shared" si="334"/>
        <v>0</v>
      </c>
      <c r="AY301" s="51">
        <f t="shared" si="335"/>
        <v>0</v>
      </c>
      <c r="AZ301" s="51">
        <f t="shared" si="336"/>
        <v>0</v>
      </c>
      <c r="BA301" s="51">
        <f t="shared" si="337"/>
        <v>0</v>
      </c>
      <c r="BB301" s="51">
        <f t="shared" si="338"/>
        <v>0</v>
      </c>
      <c r="BC301" s="51">
        <f t="shared" si="339"/>
        <v>0</v>
      </c>
      <c r="BD301" s="51">
        <f t="shared" si="340"/>
        <v>0</v>
      </c>
      <c r="BE301" s="51">
        <f t="shared" si="341"/>
        <v>0</v>
      </c>
      <c r="BF301" s="51">
        <f t="shared" si="342"/>
        <v>0</v>
      </c>
      <c r="BG301" s="51">
        <f t="shared" si="343"/>
        <v>0</v>
      </c>
      <c r="BH301" s="51">
        <f t="shared" si="344"/>
        <v>0</v>
      </c>
      <c r="BI301" s="51">
        <f t="shared" si="307"/>
        <v>0</v>
      </c>
      <c r="BJ301" s="51">
        <f t="shared" si="308"/>
        <v>0</v>
      </c>
      <c r="BK301" s="51">
        <f t="shared" si="309"/>
        <v>0</v>
      </c>
      <c r="BL301" s="51">
        <f t="shared" si="310"/>
        <v>0</v>
      </c>
      <c r="BM301" s="51">
        <f t="shared" si="311"/>
        <v>0</v>
      </c>
      <c r="BN301" s="51">
        <f t="shared" si="312"/>
        <v>0</v>
      </c>
      <c r="BO301" s="51">
        <f t="shared" si="313"/>
        <v>0</v>
      </c>
      <c r="BP301" s="51">
        <f t="shared" si="314"/>
        <v>0</v>
      </c>
      <c r="BQ301" s="51">
        <f t="shared" si="315"/>
        <v>0</v>
      </c>
      <c r="BR301" s="51">
        <f t="shared" si="316"/>
        <v>0</v>
      </c>
      <c r="BS301" s="51">
        <f t="shared" si="317"/>
        <v>0</v>
      </c>
      <c r="BT301" s="51">
        <f t="shared" si="318"/>
        <v>0</v>
      </c>
      <c r="BU301" s="20">
        <f t="shared" si="319"/>
        <v>4761.4396153846155</v>
      </c>
      <c r="BV301" s="20">
        <f t="shared" si="320"/>
        <v>4761.4396153846164</v>
      </c>
      <c r="BW301" s="20">
        <f t="shared" si="321"/>
        <v>57137.275384615386</v>
      </c>
      <c r="BX301" s="20">
        <f t="shared" si="322"/>
        <v>57137.275384615386</v>
      </c>
      <c r="BY301" s="20">
        <f t="shared" si="323"/>
        <v>57137.275384615394</v>
      </c>
      <c r="BZ301" s="21">
        <f t="shared" si="324"/>
        <v>57137.275384615386</v>
      </c>
      <c r="CA301" s="19">
        <f t="shared" si="346"/>
        <v>1428431.8846153847</v>
      </c>
      <c r="CB301" s="20">
        <f t="shared" si="325"/>
        <v>1428431.8846153847</v>
      </c>
      <c r="CC301" s="20">
        <f t="shared" si="326"/>
        <v>1428431.8846153843</v>
      </c>
      <c r="CD301" s="20">
        <f t="shared" si="351"/>
        <v>0</v>
      </c>
      <c r="CE301" s="20">
        <f t="shared" si="352"/>
        <v>1400000</v>
      </c>
      <c r="CF301" s="20">
        <f t="shared" si="349"/>
        <v>2815199.3171420163</v>
      </c>
      <c r="CG301" s="20">
        <f t="shared" si="327"/>
        <v>112607.97268568065</v>
      </c>
      <c r="CH301" s="20">
        <f t="shared" si="350"/>
        <v>9383.9977238067204</v>
      </c>
      <c r="CI301" s="20">
        <f t="shared" si="328"/>
        <v>2800399.2582302378</v>
      </c>
      <c r="CJ301" s="24">
        <f t="shared" si="329"/>
        <v>1.970832034388555</v>
      </c>
      <c r="CK301" s="24">
        <f t="shared" si="330"/>
        <v>5.2945400624832811E-3</v>
      </c>
      <c r="CL301" s="24">
        <f t="shared" si="331"/>
        <v>1.5965901522321826E-2</v>
      </c>
      <c r="CM301" s="25">
        <f t="shared" si="332"/>
        <v>6.5371637189065662E-2</v>
      </c>
      <c r="CN301" s="17"/>
      <c r="CO301" s="17"/>
      <c r="CP301" s="17"/>
      <c r="CQ301" s="17"/>
      <c r="CR301" s="17"/>
      <c r="CS301" s="17"/>
      <c r="CT301" s="17"/>
      <c r="CU301" s="17"/>
      <c r="CV301" s="17"/>
      <c r="CW301" s="30">
        <v>0</v>
      </c>
      <c r="CX301" s="17"/>
      <c r="CY301" s="17"/>
      <c r="CZ301" s="17"/>
      <c r="DA301" s="17"/>
      <c r="DB301" s="17"/>
    </row>
    <row r="302" spans="1:106" ht="15.75" thickBot="1" x14ac:dyDescent="0.3">
      <c r="A302" s="5">
        <f t="shared" si="353"/>
        <v>48</v>
      </c>
      <c r="B302" s="5">
        <f t="shared" si="353"/>
        <v>47</v>
      </c>
      <c r="C302" s="1"/>
      <c r="D302" s="4"/>
      <c r="E302" s="30"/>
      <c r="F302" s="30"/>
      <c r="G302" s="30">
        <f t="shared" si="303"/>
        <v>0</v>
      </c>
      <c r="H302" s="30"/>
      <c r="I302" s="10">
        <v>0</v>
      </c>
      <c r="J302" s="60">
        <v>9000</v>
      </c>
      <c r="K302" s="11">
        <v>550</v>
      </c>
      <c r="L302" s="60">
        <f t="shared" si="354"/>
        <v>12511.419563267278</v>
      </c>
      <c r="M302" s="11">
        <v>305</v>
      </c>
      <c r="N302" s="60">
        <v>0</v>
      </c>
      <c r="O302" s="11">
        <v>0</v>
      </c>
      <c r="P302" s="11">
        <v>0</v>
      </c>
      <c r="Q302" s="60">
        <f>(Q301*($K$1/12))+Q301 + $Q$8</f>
        <v>452604.88982305716</v>
      </c>
      <c r="R302" s="60">
        <f>(R301*($K$1/12))+R301</f>
        <v>18956.48414648978</v>
      </c>
      <c r="S302" s="60">
        <f>(S301*($K$1/12))+S301</f>
        <v>16458.031056686574</v>
      </c>
      <c r="T302" s="60">
        <f>(T301*($K$1/12))+T301+$T$8</f>
        <v>1698814.3212001454</v>
      </c>
      <c r="U302" s="60">
        <f>(U301*$K$1/12) + U301</f>
        <v>200249.79642511907</v>
      </c>
      <c r="V302" s="60">
        <v>3100</v>
      </c>
      <c r="W302" s="60">
        <f>(W301*($K$1/12))+W301+$W$8</f>
        <v>138997.66179243106</v>
      </c>
      <c r="X302" s="11">
        <v>0</v>
      </c>
      <c r="Y302" s="60">
        <f>(Y301*($K$1/12))+Y301+$Y$8</f>
        <v>304025.12899927323</v>
      </c>
      <c r="Z302" s="60">
        <f>'Mortgage and Loans'!U264</f>
        <v>180000</v>
      </c>
      <c r="AA302" s="12">
        <f t="shared" si="347"/>
        <v>3035572.7330064694</v>
      </c>
      <c r="AB302" s="56">
        <f t="shared" si="357"/>
        <v>750</v>
      </c>
      <c r="AC302" s="56">
        <f t="shared" si="357"/>
        <v>750</v>
      </c>
      <c r="AD302" s="56">
        <f t="shared" si="357"/>
        <v>750</v>
      </c>
      <c r="AE302" s="56">
        <f t="shared" si="357"/>
        <v>750</v>
      </c>
      <c r="AF302" s="56">
        <f t="shared" si="356"/>
        <v>261.43961538461554</v>
      </c>
      <c r="AG302" s="56">
        <f t="shared" si="357"/>
        <v>750</v>
      </c>
      <c r="AH302" s="56">
        <f>'Mortgage and Loans'!AF259</f>
        <v>0</v>
      </c>
      <c r="AI302" s="56">
        <f>'Mortgage and Loans'!AQ259</f>
        <v>0</v>
      </c>
      <c r="AJ302" s="56">
        <f>'Mortgage and Loans'!BB259</f>
        <v>0</v>
      </c>
      <c r="AK302" s="56">
        <f>'Mortgage and Loans'!BM259</f>
        <v>0</v>
      </c>
      <c r="AL302" s="56">
        <f>'Mortgage and Loans'!T264</f>
        <v>0</v>
      </c>
      <c r="AM302" s="12">
        <f t="shared" si="345"/>
        <v>-4011.4396153846155</v>
      </c>
      <c r="AN302" s="75">
        <f t="shared" si="355"/>
        <v>3031561.2933910848</v>
      </c>
      <c r="AO302" s="86">
        <f>'Mortgage and Loans'!G265</f>
        <v>0</v>
      </c>
      <c r="AP302" s="79">
        <f>('Salary Tax Breakdown'!B$16/12)-Data!AO302</f>
        <v>3447.5</v>
      </c>
      <c r="AQ302" s="87"/>
      <c r="AR302" s="20">
        <f t="shared" si="304"/>
        <v>4011.4396153846155</v>
      </c>
      <c r="AS302" s="20">
        <v>750</v>
      </c>
      <c r="AT302" s="20">
        <v>0</v>
      </c>
      <c r="AU302" s="20">
        <f t="shared" si="305"/>
        <v>4761.4396153846155</v>
      </c>
      <c r="AV302" s="20">
        <f t="shared" si="306"/>
        <v>4761.4396153846155</v>
      </c>
      <c r="AW302" s="51">
        <f t="shared" si="348"/>
        <v>0</v>
      </c>
      <c r="AX302" s="51">
        <f t="shared" si="334"/>
        <v>0</v>
      </c>
      <c r="AY302" s="51">
        <f t="shared" si="335"/>
        <v>0</v>
      </c>
      <c r="AZ302" s="51">
        <f t="shared" si="336"/>
        <v>0</v>
      </c>
      <c r="BA302" s="51">
        <f t="shared" si="337"/>
        <v>0</v>
      </c>
      <c r="BB302" s="51">
        <f t="shared" si="338"/>
        <v>0</v>
      </c>
      <c r="BC302" s="51">
        <f t="shared" si="339"/>
        <v>0</v>
      </c>
      <c r="BD302" s="51">
        <f t="shared" si="340"/>
        <v>0</v>
      </c>
      <c r="BE302" s="51">
        <f t="shared" si="341"/>
        <v>0</v>
      </c>
      <c r="BF302" s="51">
        <f t="shared" si="342"/>
        <v>0</v>
      </c>
      <c r="BG302" s="51">
        <f t="shared" si="343"/>
        <v>0</v>
      </c>
      <c r="BH302" s="51">
        <f t="shared" si="344"/>
        <v>0</v>
      </c>
      <c r="BI302" s="51">
        <f t="shared" si="307"/>
        <v>0</v>
      </c>
      <c r="BJ302" s="51">
        <f t="shared" si="308"/>
        <v>0</v>
      </c>
      <c r="BK302" s="51">
        <f t="shared" si="309"/>
        <v>0</v>
      </c>
      <c r="BL302" s="51">
        <f t="shared" si="310"/>
        <v>0</v>
      </c>
      <c r="BM302" s="51">
        <f t="shared" si="311"/>
        <v>0</v>
      </c>
      <c r="BN302" s="51">
        <f t="shared" si="312"/>
        <v>0</v>
      </c>
      <c r="BO302" s="51">
        <f t="shared" si="313"/>
        <v>0</v>
      </c>
      <c r="BP302" s="51">
        <f t="shared" si="314"/>
        <v>0</v>
      </c>
      <c r="BQ302" s="51">
        <f t="shared" si="315"/>
        <v>0</v>
      </c>
      <c r="BR302" s="51">
        <f t="shared" si="316"/>
        <v>0</v>
      </c>
      <c r="BS302" s="51">
        <f t="shared" si="317"/>
        <v>0</v>
      </c>
      <c r="BT302" s="51">
        <f t="shared" si="318"/>
        <v>0</v>
      </c>
      <c r="BU302" s="20">
        <f t="shared" si="319"/>
        <v>4761.4396153846155</v>
      </c>
      <c r="BV302" s="20">
        <f t="shared" si="320"/>
        <v>4761.4396153846164</v>
      </c>
      <c r="BW302" s="20">
        <f t="shared" si="321"/>
        <v>57137.275384615386</v>
      </c>
      <c r="BX302" s="20">
        <f t="shared" si="322"/>
        <v>57137.275384615386</v>
      </c>
      <c r="BY302" s="20">
        <f t="shared" si="323"/>
        <v>57137.275384615394</v>
      </c>
      <c r="BZ302" s="21">
        <f t="shared" si="324"/>
        <v>57137.275384615386</v>
      </c>
      <c r="CA302" s="19">
        <f t="shared" si="346"/>
        <v>1428431.8846153847</v>
      </c>
      <c r="CB302" s="20">
        <f t="shared" si="325"/>
        <v>1428431.8846153847</v>
      </c>
      <c r="CC302" s="20">
        <f t="shared" si="326"/>
        <v>1428431.8846153843</v>
      </c>
      <c r="CD302" s="20">
        <f t="shared" si="351"/>
        <v>0</v>
      </c>
      <c r="CE302" s="20">
        <f t="shared" si="352"/>
        <v>1400000</v>
      </c>
      <c r="CF302" s="20">
        <f t="shared" si="349"/>
        <v>2830106.3134432025</v>
      </c>
      <c r="CG302" s="20">
        <f t="shared" si="327"/>
        <v>113204.2525377281</v>
      </c>
      <c r="CH302" s="20">
        <f t="shared" si="350"/>
        <v>9433.6877114773415</v>
      </c>
      <c r="CI302" s="20">
        <f t="shared" si="328"/>
        <v>2815226.0875456519</v>
      </c>
      <c r="CJ302" s="24">
        <f t="shared" si="329"/>
        <v>1.9812679511877658</v>
      </c>
      <c r="CK302" s="24">
        <f t="shared" si="330"/>
        <v>5.2951832612405641E-3</v>
      </c>
      <c r="CL302" s="24">
        <f t="shared" si="331"/>
        <v>1.5967861706015649E-2</v>
      </c>
      <c r="CM302" s="25">
        <f t="shared" si="332"/>
        <v>6.5380053412934167E-2</v>
      </c>
      <c r="CN302" s="17"/>
      <c r="CO302" s="17"/>
      <c r="CP302" s="17"/>
      <c r="CQ302" s="17"/>
      <c r="CR302" s="17"/>
      <c r="CS302" s="17"/>
      <c r="CT302" s="17"/>
      <c r="CU302" s="17"/>
      <c r="CV302" s="17"/>
      <c r="CW302" s="30">
        <v>0</v>
      </c>
      <c r="CX302" s="17"/>
      <c r="CY302" s="17"/>
      <c r="CZ302" s="17"/>
      <c r="DA302" s="17"/>
      <c r="DB302" s="17"/>
    </row>
    <row r="303" spans="1:106" ht="15.75" thickBot="1" x14ac:dyDescent="0.3">
      <c r="A303" s="5">
        <f t="shared" si="353"/>
        <v>48</v>
      </c>
      <c r="B303" s="5">
        <f t="shared" si="353"/>
        <v>47</v>
      </c>
      <c r="C303" s="1"/>
      <c r="D303" s="4"/>
      <c r="E303" s="30"/>
      <c r="F303" s="30"/>
      <c r="G303" s="30">
        <f t="shared" si="303"/>
        <v>0</v>
      </c>
      <c r="H303" s="30"/>
      <c r="I303" s="10">
        <v>0</v>
      </c>
      <c r="J303" s="60">
        <v>9000</v>
      </c>
      <c r="K303" s="11">
        <v>550</v>
      </c>
      <c r="L303" s="60">
        <f t="shared" si="354"/>
        <v>12526.537528572891</v>
      </c>
      <c r="M303" s="11">
        <v>305</v>
      </c>
      <c r="N303" s="60">
        <v>0</v>
      </c>
      <c r="O303" s="11">
        <v>0</v>
      </c>
      <c r="P303" s="11">
        <v>0</v>
      </c>
      <c r="Q303" s="60">
        <f>(Q302*($K$1/12))+Q302 + $Q$8</f>
        <v>455514.49964293203</v>
      </c>
      <c r="R303" s="60">
        <f>(R302*($K$1/12))+R302</f>
        <v>19059.165102283267</v>
      </c>
      <c r="S303" s="60">
        <f>(S302*($K$1/12))+S302</f>
        <v>16547.178724910293</v>
      </c>
      <c r="T303" s="60">
        <f>(T302*($K$1/12))+T302+$T$8</f>
        <v>1709516.2321066463</v>
      </c>
      <c r="U303" s="60">
        <f>(U302*$K$1/12) + U302</f>
        <v>201334.48282242179</v>
      </c>
      <c r="V303" s="60">
        <v>3100</v>
      </c>
      <c r="W303" s="60">
        <f>(W302*($K$1/12))+W302+$W$8</f>
        <v>139750.56579380672</v>
      </c>
      <c r="X303" s="11">
        <v>0</v>
      </c>
      <c r="Y303" s="60">
        <f>(Y302*($K$1/12))+Y302+$Y$8</f>
        <v>303371.93178135261</v>
      </c>
      <c r="Z303" s="60">
        <f>'Mortgage and Loans'!U265</f>
        <v>180000</v>
      </c>
      <c r="AA303" s="12">
        <f t="shared" si="347"/>
        <v>3050575.5935029257</v>
      </c>
      <c r="AB303" s="56">
        <f t="shared" si="357"/>
        <v>750</v>
      </c>
      <c r="AC303" s="56">
        <f t="shared" si="357"/>
        <v>750</v>
      </c>
      <c r="AD303" s="56">
        <f t="shared" si="357"/>
        <v>750</v>
      </c>
      <c r="AE303" s="56">
        <f t="shared" si="357"/>
        <v>750</v>
      </c>
      <c r="AF303" s="56">
        <f t="shared" si="356"/>
        <v>261.43961538461554</v>
      </c>
      <c r="AG303" s="56">
        <f t="shared" si="357"/>
        <v>750</v>
      </c>
      <c r="AH303" s="56">
        <f>'Mortgage and Loans'!AF260</f>
        <v>0</v>
      </c>
      <c r="AI303" s="56">
        <f>'Mortgage and Loans'!AQ260</f>
        <v>0</v>
      </c>
      <c r="AJ303" s="56">
        <f>'Mortgage and Loans'!BB260</f>
        <v>0</v>
      </c>
      <c r="AK303" s="56">
        <f>'Mortgage and Loans'!BM260</f>
        <v>0</v>
      </c>
      <c r="AL303" s="56">
        <f>'Mortgage and Loans'!T265</f>
        <v>0</v>
      </c>
      <c r="AM303" s="12">
        <f t="shared" si="345"/>
        <v>-4011.4396153846155</v>
      </c>
      <c r="AN303" s="75">
        <f t="shared" si="355"/>
        <v>3046564.153887541</v>
      </c>
      <c r="AO303" s="86">
        <f>'Mortgage and Loans'!G266</f>
        <v>0</v>
      </c>
      <c r="AP303" s="79">
        <f>('Salary Tax Breakdown'!B$16/12)-Data!AO303</f>
        <v>3447.5</v>
      </c>
      <c r="AQ303" s="87"/>
      <c r="AR303" s="20">
        <f t="shared" si="304"/>
        <v>4011.4396153846155</v>
      </c>
      <c r="AS303" s="20">
        <v>750</v>
      </c>
      <c r="AT303" s="20">
        <v>0</v>
      </c>
      <c r="AU303" s="20">
        <f t="shared" si="305"/>
        <v>4761.4396153846155</v>
      </c>
      <c r="AV303" s="20">
        <f t="shared" si="306"/>
        <v>4761.4396153846155</v>
      </c>
      <c r="AW303" s="51">
        <f t="shared" si="348"/>
        <v>0</v>
      </c>
      <c r="AX303" s="51">
        <f t="shared" si="334"/>
        <v>0</v>
      </c>
      <c r="AY303" s="51">
        <f t="shared" si="335"/>
        <v>0</v>
      </c>
      <c r="AZ303" s="51">
        <f t="shared" si="336"/>
        <v>0</v>
      </c>
      <c r="BA303" s="51">
        <f t="shared" si="337"/>
        <v>0</v>
      </c>
      <c r="BB303" s="51">
        <f t="shared" si="338"/>
        <v>0</v>
      </c>
      <c r="BC303" s="51">
        <f t="shared" si="339"/>
        <v>0</v>
      </c>
      <c r="BD303" s="51">
        <f t="shared" si="340"/>
        <v>0</v>
      </c>
      <c r="BE303" s="51">
        <f t="shared" si="341"/>
        <v>0</v>
      </c>
      <c r="BF303" s="51">
        <f t="shared" si="342"/>
        <v>0</v>
      </c>
      <c r="BG303" s="51">
        <f t="shared" si="343"/>
        <v>0</v>
      </c>
      <c r="BH303" s="51">
        <f t="shared" si="344"/>
        <v>0</v>
      </c>
      <c r="BI303" s="51">
        <f t="shared" si="307"/>
        <v>0</v>
      </c>
      <c r="BJ303" s="51">
        <f t="shared" si="308"/>
        <v>0</v>
      </c>
      <c r="BK303" s="51">
        <f t="shared" si="309"/>
        <v>0</v>
      </c>
      <c r="BL303" s="51">
        <f t="shared" si="310"/>
        <v>0</v>
      </c>
      <c r="BM303" s="51">
        <f t="shared" si="311"/>
        <v>0</v>
      </c>
      <c r="BN303" s="51">
        <f t="shared" si="312"/>
        <v>0</v>
      </c>
      <c r="BO303" s="51">
        <f t="shared" si="313"/>
        <v>0</v>
      </c>
      <c r="BP303" s="51">
        <f t="shared" si="314"/>
        <v>0</v>
      </c>
      <c r="BQ303" s="51">
        <f t="shared" si="315"/>
        <v>0</v>
      </c>
      <c r="BR303" s="51">
        <f t="shared" si="316"/>
        <v>0</v>
      </c>
      <c r="BS303" s="51">
        <f t="shared" si="317"/>
        <v>0</v>
      </c>
      <c r="BT303" s="51">
        <f t="shared" si="318"/>
        <v>0</v>
      </c>
      <c r="BU303" s="20">
        <f t="shared" si="319"/>
        <v>4761.4396153846155</v>
      </c>
      <c r="BV303" s="20">
        <f t="shared" si="320"/>
        <v>4761.4396153846164</v>
      </c>
      <c r="BW303" s="20">
        <f t="shared" si="321"/>
        <v>57137.275384615386</v>
      </c>
      <c r="BX303" s="20">
        <f t="shared" si="322"/>
        <v>57137.275384615386</v>
      </c>
      <c r="BY303" s="20">
        <f t="shared" si="323"/>
        <v>57137.275384615394</v>
      </c>
      <c r="BZ303" s="21">
        <f t="shared" si="324"/>
        <v>57137.275384615386</v>
      </c>
      <c r="CA303" s="19">
        <f t="shared" si="346"/>
        <v>1428431.8846153847</v>
      </c>
      <c r="CB303" s="20">
        <f t="shared" si="325"/>
        <v>1428431.8846153847</v>
      </c>
      <c r="CC303" s="20">
        <f t="shared" si="326"/>
        <v>1428431.8846153843</v>
      </c>
      <c r="CD303" s="20">
        <f t="shared" si="351"/>
        <v>0</v>
      </c>
      <c r="CE303" s="20">
        <f t="shared" si="352"/>
        <v>1400000</v>
      </c>
      <c r="CF303" s="20">
        <f t="shared" si="349"/>
        <v>2845094.0559743531</v>
      </c>
      <c r="CG303" s="20">
        <f t="shared" si="327"/>
        <v>113803.76223897413</v>
      </c>
      <c r="CH303" s="20">
        <f t="shared" si="350"/>
        <v>9483.6468532478448</v>
      </c>
      <c r="CI303" s="20">
        <f t="shared" si="328"/>
        <v>2830133.2288531908</v>
      </c>
      <c r="CJ303" s="24">
        <f t="shared" si="329"/>
        <v>1.9917603958696388</v>
      </c>
      <c r="CK303" s="24">
        <f t="shared" si="330"/>
        <v>5.2958231498081033E-3</v>
      </c>
      <c r="CL303" s="24">
        <f t="shared" si="331"/>
        <v>1.5969811806741833E-2</v>
      </c>
      <c r="CM303" s="25">
        <f t="shared" si="332"/>
        <v>6.5388426444402611E-2</v>
      </c>
      <c r="CN303" s="17"/>
      <c r="CO303" s="17"/>
      <c r="CP303" s="17"/>
      <c r="CQ303" s="17"/>
      <c r="CR303" s="17"/>
      <c r="CS303" s="17"/>
      <c r="CT303" s="17"/>
      <c r="CU303" s="17"/>
      <c r="CV303" s="17"/>
      <c r="CW303" s="30">
        <v>0</v>
      </c>
      <c r="CX303" s="17"/>
      <c r="CY303" s="17"/>
      <c r="CZ303" s="17"/>
      <c r="DA303" s="17"/>
      <c r="DB303" s="17"/>
    </row>
    <row r="304" spans="1:106" ht="15.75" thickBot="1" x14ac:dyDescent="0.3">
      <c r="A304" s="5">
        <f t="shared" si="353"/>
        <v>49</v>
      </c>
      <c r="B304" s="5">
        <f t="shared" si="353"/>
        <v>47</v>
      </c>
      <c r="C304" s="1"/>
      <c r="D304" s="4"/>
      <c r="E304" s="30"/>
      <c r="F304" s="30"/>
      <c r="G304" s="30">
        <f t="shared" si="303"/>
        <v>0</v>
      </c>
      <c r="H304" s="30"/>
      <c r="I304" s="10">
        <v>0</v>
      </c>
      <c r="J304" s="60">
        <v>9000</v>
      </c>
      <c r="K304" s="11">
        <v>550</v>
      </c>
      <c r="L304" s="60">
        <f t="shared" si="354"/>
        <v>12541.673761419916</v>
      </c>
      <c r="M304" s="11">
        <v>305</v>
      </c>
      <c r="N304" s="60">
        <v>0</v>
      </c>
      <c r="O304" s="11">
        <v>0</v>
      </c>
      <c r="P304" s="11">
        <v>0</v>
      </c>
      <c r="Q304" s="60">
        <f>(Q303*($K$1/12))+Q303 + $Q$8</f>
        <v>458439.86984933127</v>
      </c>
      <c r="R304" s="60">
        <f>(R303*($K$1/12))+R303</f>
        <v>19162.402246587302</v>
      </c>
      <c r="S304" s="60">
        <f>(S303*($K$1/12))+S303</f>
        <v>16636.809276336891</v>
      </c>
      <c r="T304" s="60">
        <f>(T303*($K$1/12))+T303+$T$8</f>
        <v>1720276.111697224</v>
      </c>
      <c r="U304" s="60">
        <f>(U303*$K$1/12) + U303</f>
        <v>202425.04460437657</v>
      </c>
      <c r="V304" s="60">
        <v>3100</v>
      </c>
      <c r="W304" s="60">
        <f>(W303*($K$1/12))+W303+$W$8</f>
        <v>140507.54802518984</v>
      </c>
      <c r="X304" s="11">
        <v>0</v>
      </c>
      <c r="Y304" s="60">
        <f>(Y303*($K$1/12))+Y303+$Y$8</f>
        <v>302715.19641183491</v>
      </c>
      <c r="Z304" s="60">
        <f>'Mortgage and Loans'!U266</f>
        <v>180000</v>
      </c>
      <c r="AA304" s="12">
        <f t="shared" si="347"/>
        <v>3065659.6558723007</v>
      </c>
      <c r="AB304" s="56">
        <f t="shared" si="357"/>
        <v>750</v>
      </c>
      <c r="AC304" s="56">
        <f t="shared" si="357"/>
        <v>750</v>
      </c>
      <c r="AD304" s="56">
        <f t="shared" si="357"/>
        <v>750</v>
      </c>
      <c r="AE304" s="56">
        <f t="shared" si="357"/>
        <v>750</v>
      </c>
      <c r="AF304" s="56">
        <f t="shared" si="356"/>
        <v>261.43961538461554</v>
      </c>
      <c r="AG304" s="56">
        <f t="shared" si="357"/>
        <v>750</v>
      </c>
      <c r="AH304" s="56">
        <f>'Mortgage and Loans'!AF261</f>
        <v>0</v>
      </c>
      <c r="AI304" s="56">
        <f>'Mortgage and Loans'!AQ261</f>
        <v>0</v>
      </c>
      <c r="AJ304" s="56">
        <f>'Mortgage and Loans'!BB261</f>
        <v>0</v>
      </c>
      <c r="AK304" s="56">
        <f>'Mortgage and Loans'!BM261</f>
        <v>0</v>
      </c>
      <c r="AL304" s="56">
        <f>'Mortgage and Loans'!T266</f>
        <v>0</v>
      </c>
      <c r="AM304" s="12">
        <f t="shared" si="345"/>
        <v>-4011.4396153846155</v>
      </c>
      <c r="AN304" s="75">
        <f t="shared" si="355"/>
        <v>3061648.2162569161</v>
      </c>
      <c r="AO304" s="86">
        <f>'Mortgage and Loans'!G267</f>
        <v>0</v>
      </c>
      <c r="AP304" s="79">
        <f>('Salary Tax Breakdown'!B$16/12)-Data!AO304</f>
        <v>3447.5</v>
      </c>
      <c r="AQ304" s="87"/>
      <c r="AR304" s="20">
        <f t="shared" si="304"/>
        <v>4011.4396153846155</v>
      </c>
      <c r="AS304" s="20">
        <v>750</v>
      </c>
      <c r="AT304" s="20">
        <v>0</v>
      </c>
      <c r="AU304" s="20">
        <f t="shared" si="305"/>
        <v>4761.4396153846155</v>
      </c>
      <c r="AV304" s="20">
        <f t="shared" si="306"/>
        <v>4761.4396153846155</v>
      </c>
      <c r="AW304" s="51">
        <f t="shared" si="348"/>
        <v>0</v>
      </c>
      <c r="AX304" s="51">
        <f t="shared" si="334"/>
        <v>0</v>
      </c>
      <c r="AY304" s="51">
        <f t="shared" si="335"/>
        <v>0</v>
      </c>
      <c r="AZ304" s="51">
        <f t="shared" si="336"/>
        <v>0</v>
      </c>
      <c r="BA304" s="51">
        <f t="shared" si="337"/>
        <v>0</v>
      </c>
      <c r="BB304" s="51">
        <f t="shared" si="338"/>
        <v>0</v>
      </c>
      <c r="BC304" s="51">
        <f t="shared" si="339"/>
        <v>0</v>
      </c>
      <c r="BD304" s="51">
        <f t="shared" si="340"/>
        <v>0</v>
      </c>
      <c r="BE304" s="51">
        <f t="shared" si="341"/>
        <v>0</v>
      </c>
      <c r="BF304" s="51">
        <f t="shared" si="342"/>
        <v>0</v>
      </c>
      <c r="BG304" s="51">
        <f t="shared" si="343"/>
        <v>0</v>
      </c>
      <c r="BH304" s="51">
        <f t="shared" si="344"/>
        <v>0</v>
      </c>
      <c r="BI304" s="51">
        <f t="shared" si="307"/>
        <v>0</v>
      </c>
      <c r="BJ304" s="51">
        <f t="shared" si="308"/>
        <v>0</v>
      </c>
      <c r="BK304" s="51">
        <f t="shared" si="309"/>
        <v>0</v>
      </c>
      <c r="BL304" s="51">
        <f t="shared" si="310"/>
        <v>0</v>
      </c>
      <c r="BM304" s="51">
        <f t="shared" si="311"/>
        <v>0</v>
      </c>
      <c r="BN304" s="51">
        <f t="shared" si="312"/>
        <v>0</v>
      </c>
      <c r="BO304" s="51">
        <f t="shared" si="313"/>
        <v>0</v>
      </c>
      <c r="BP304" s="51">
        <f t="shared" si="314"/>
        <v>0</v>
      </c>
      <c r="BQ304" s="51">
        <f t="shared" si="315"/>
        <v>0</v>
      </c>
      <c r="BR304" s="51">
        <f t="shared" si="316"/>
        <v>0</v>
      </c>
      <c r="BS304" s="51">
        <f t="shared" si="317"/>
        <v>0</v>
      </c>
      <c r="BT304" s="51">
        <f t="shared" si="318"/>
        <v>0</v>
      </c>
      <c r="BU304" s="20">
        <f t="shared" si="319"/>
        <v>4761.4396153846155</v>
      </c>
      <c r="BV304" s="20">
        <f t="shared" si="320"/>
        <v>4761.4396153846164</v>
      </c>
      <c r="BW304" s="20">
        <f t="shared" si="321"/>
        <v>57137.275384615386</v>
      </c>
      <c r="BX304" s="20">
        <f t="shared" si="322"/>
        <v>57137.275384615386</v>
      </c>
      <c r="BY304" s="20">
        <f t="shared" si="323"/>
        <v>57137.275384615394</v>
      </c>
      <c r="BZ304" s="21">
        <f t="shared" si="324"/>
        <v>57137.275384615386</v>
      </c>
      <c r="CA304" s="19">
        <f t="shared" si="346"/>
        <v>1428431.8846153847</v>
      </c>
      <c r="CB304" s="20">
        <f t="shared" si="325"/>
        <v>1428431.8846153847</v>
      </c>
      <c r="CC304" s="20">
        <f t="shared" si="326"/>
        <v>1428431.8846153843</v>
      </c>
      <c r="CD304" s="20">
        <f t="shared" si="351"/>
        <v>0</v>
      </c>
      <c r="CE304" s="20">
        <f t="shared" si="352"/>
        <v>1400000</v>
      </c>
      <c r="CF304" s="20">
        <f t="shared" si="349"/>
        <v>2860162.9821108808</v>
      </c>
      <c r="CG304" s="20">
        <f t="shared" si="327"/>
        <v>114406.51928443523</v>
      </c>
      <c r="CH304" s="20">
        <f t="shared" si="350"/>
        <v>9533.876607036269</v>
      </c>
      <c r="CI304" s="20">
        <f t="shared" si="328"/>
        <v>2845121.1171761453</v>
      </c>
      <c r="CJ304" s="24">
        <f t="shared" si="329"/>
        <v>2.002309674626872</v>
      </c>
      <c r="CK304" s="24">
        <f t="shared" si="330"/>
        <v>5.296459744409769E-3</v>
      </c>
      <c r="CL304" s="24">
        <f t="shared" si="331"/>
        <v>1.597175187386431E-2</v>
      </c>
      <c r="CM304" s="25">
        <f t="shared" si="332"/>
        <v>6.5396756493884101E-2</v>
      </c>
      <c r="CN304" s="17"/>
      <c r="CO304" s="17"/>
      <c r="CP304" s="17"/>
      <c r="CQ304" s="17"/>
      <c r="CR304" s="17"/>
      <c r="CS304" s="17"/>
      <c r="CT304" s="17"/>
      <c r="CU304" s="17"/>
      <c r="CV304" s="17"/>
      <c r="CW304" s="30">
        <v>0</v>
      </c>
      <c r="CX304" s="17"/>
      <c r="CY304" s="17"/>
      <c r="CZ304" s="17"/>
      <c r="DA304" s="17"/>
      <c r="DB304" s="17"/>
    </row>
    <row r="305" spans="1:106" ht="15.75" thickBot="1" x14ac:dyDescent="0.3">
      <c r="A305" s="5">
        <f t="shared" si="353"/>
        <v>49</v>
      </c>
      <c r="B305" s="5">
        <f t="shared" si="353"/>
        <v>47</v>
      </c>
      <c r="C305" s="1"/>
      <c r="D305" s="4"/>
      <c r="E305" s="30"/>
      <c r="F305" s="30"/>
      <c r="G305" s="30">
        <f t="shared" si="303"/>
        <v>0</v>
      </c>
      <c r="H305" s="30"/>
      <c r="I305" s="10">
        <v>0</v>
      </c>
      <c r="J305" s="60">
        <v>9000</v>
      </c>
      <c r="K305" s="11">
        <v>550</v>
      </c>
      <c r="L305" s="60">
        <f t="shared" si="354"/>
        <v>12556.82828388163</v>
      </c>
      <c r="M305" s="11">
        <v>305</v>
      </c>
      <c r="N305" s="60">
        <v>0</v>
      </c>
      <c r="O305" s="11">
        <v>0</v>
      </c>
      <c r="P305" s="11">
        <v>0</v>
      </c>
      <c r="Q305" s="60">
        <f>(Q304*($K$1/12))+Q304 + $Q$8</f>
        <v>461381.08581101516</v>
      </c>
      <c r="R305" s="60">
        <f>(R304*($K$1/12))+R304</f>
        <v>19266.198592089651</v>
      </c>
      <c r="S305" s="60">
        <f>(S304*($K$1/12))+S304</f>
        <v>16726.925326583718</v>
      </c>
      <c r="T305" s="60">
        <f>(T304*($K$1/12))+T304+$T$8</f>
        <v>1731094.2739689173</v>
      </c>
      <c r="U305" s="60">
        <f>(U304*$K$1/12) + U304</f>
        <v>203521.51359598362</v>
      </c>
      <c r="V305" s="60">
        <v>3100</v>
      </c>
      <c r="W305" s="60">
        <f>(W304*($K$1/12))+W304+$W$8</f>
        <v>141268.63057699296</v>
      </c>
      <c r="X305" s="11">
        <v>0</v>
      </c>
      <c r="Y305" s="60">
        <f>(Y304*($K$1/12))+Y304+$Y$8</f>
        <v>302054.90372573235</v>
      </c>
      <c r="Z305" s="60">
        <f>'Mortgage and Loans'!U267</f>
        <v>180000</v>
      </c>
      <c r="AA305" s="12">
        <f t="shared" si="347"/>
        <v>3080825.3598811962</v>
      </c>
      <c r="AB305" s="56">
        <f t="shared" si="357"/>
        <v>750</v>
      </c>
      <c r="AC305" s="56">
        <f t="shared" si="357"/>
        <v>750</v>
      </c>
      <c r="AD305" s="56">
        <f t="shared" si="357"/>
        <v>750</v>
      </c>
      <c r="AE305" s="56">
        <f t="shared" si="357"/>
        <v>750</v>
      </c>
      <c r="AF305" s="56">
        <f t="shared" si="356"/>
        <v>261.43961538461554</v>
      </c>
      <c r="AG305" s="56">
        <f t="shared" si="357"/>
        <v>750</v>
      </c>
      <c r="AH305" s="56">
        <f>'Mortgage and Loans'!AF262</f>
        <v>0</v>
      </c>
      <c r="AI305" s="56">
        <f>'Mortgage and Loans'!AQ262</f>
        <v>0</v>
      </c>
      <c r="AJ305" s="56">
        <f>'Mortgage and Loans'!BB262</f>
        <v>0</v>
      </c>
      <c r="AK305" s="56">
        <f>'Mortgage and Loans'!BM262</f>
        <v>0</v>
      </c>
      <c r="AL305" s="56">
        <f>'Mortgage and Loans'!T267</f>
        <v>0</v>
      </c>
      <c r="AM305" s="12">
        <f t="shared" si="345"/>
        <v>-4011.4396153846155</v>
      </c>
      <c r="AN305" s="75">
        <f t="shared" si="355"/>
        <v>3076813.9202658115</v>
      </c>
      <c r="AO305" s="86">
        <f>'Mortgage and Loans'!G268</f>
        <v>0</v>
      </c>
      <c r="AP305" s="79">
        <f>('Salary Tax Breakdown'!B$16/12)-Data!AO305</f>
        <v>3447.5</v>
      </c>
      <c r="AQ305" s="87"/>
      <c r="AR305" s="20">
        <f t="shared" si="304"/>
        <v>4011.4396153846155</v>
      </c>
      <c r="AS305" s="20">
        <v>750</v>
      </c>
      <c r="AT305" s="20">
        <v>0</v>
      </c>
      <c r="AU305" s="20">
        <f t="shared" si="305"/>
        <v>4761.4396153846155</v>
      </c>
      <c r="AV305" s="20">
        <f t="shared" si="306"/>
        <v>4761.4396153846155</v>
      </c>
      <c r="AW305" s="51">
        <f t="shared" si="348"/>
        <v>0</v>
      </c>
      <c r="AX305" s="51">
        <f t="shared" si="334"/>
        <v>0</v>
      </c>
      <c r="AY305" s="51">
        <f t="shared" si="335"/>
        <v>0</v>
      </c>
      <c r="AZ305" s="51">
        <f t="shared" si="336"/>
        <v>0</v>
      </c>
      <c r="BA305" s="51">
        <f t="shared" si="337"/>
        <v>0</v>
      </c>
      <c r="BB305" s="51">
        <f t="shared" si="338"/>
        <v>0</v>
      </c>
      <c r="BC305" s="51">
        <f t="shared" si="339"/>
        <v>0</v>
      </c>
      <c r="BD305" s="51">
        <f t="shared" si="340"/>
        <v>0</v>
      </c>
      <c r="BE305" s="51">
        <f t="shared" si="341"/>
        <v>0</v>
      </c>
      <c r="BF305" s="51">
        <f t="shared" si="342"/>
        <v>0</v>
      </c>
      <c r="BG305" s="51">
        <f t="shared" si="343"/>
        <v>0</v>
      </c>
      <c r="BH305" s="51">
        <f t="shared" si="344"/>
        <v>0</v>
      </c>
      <c r="BI305" s="51">
        <f t="shared" si="307"/>
        <v>0</v>
      </c>
      <c r="BJ305" s="51">
        <f t="shared" si="308"/>
        <v>0</v>
      </c>
      <c r="BK305" s="51">
        <f t="shared" si="309"/>
        <v>0</v>
      </c>
      <c r="BL305" s="51">
        <f t="shared" si="310"/>
        <v>0</v>
      </c>
      <c r="BM305" s="51">
        <f t="shared" si="311"/>
        <v>0</v>
      </c>
      <c r="BN305" s="51">
        <f t="shared" si="312"/>
        <v>0</v>
      </c>
      <c r="BO305" s="51">
        <f t="shared" si="313"/>
        <v>0</v>
      </c>
      <c r="BP305" s="51">
        <f t="shared" si="314"/>
        <v>0</v>
      </c>
      <c r="BQ305" s="51">
        <f t="shared" si="315"/>
        <v>0</v>
      </c>
      <c r="BR305" s="51">
        <f t="shared" si="316"/>
        <v>0</v>
      </c>
      <c r="BS305" s="51">
        <f t="shared" si="317"/>
        <v>0</v>
      </c>
      <c r="BT305" s="51">
        <f t="shared" si="318"/>
        <v>0</v>
      </c>
      <c r="BU305" s="20">
        <f t="shared" si="319"/>
        <v>4761.4396153846155</v>
      </c>
      <c r="BV305" s="20">
        <f t="shared" si="320"/>
        <v>4761.4396153846164</v>
      </c>
      <c r="BW305" s="20">
        <f t="shared" si="321"/>
        <v>57137.275384615386</v>
      </c>
      <c r="BX305" s="20">
        <f t="shared" si="322"/>
        <v>57137.275384615386</v>
      </c>
      <c r="BY305" s="20">
        <f t="shared" si="323"/>
        <v>57137.275384615394</v>
      </c>
      <c r="BZ305" s="21">
        <f t="shared" si="324"/>
        <v>57137.275384615386</v>
      </c>
      <c r="CA305" s="19">
        <f t="shared" si="346"/>
        <v>1428431.8846153847</v>
      </c>
      <c r="CB305" s="20">
        <f t="shared" si="325"/>
        <v>1428431.8846153847</v>
      </c>
      <c r="CC305" s="20">
        <f t="shared" si="326"/>
        <v>1428431.8846153843</v>
      </c>
      <c r="CD305" s="20">
        <f t="shared" si="351"/>
        <v>0</v>
      </c>
      <c r="CE305" s="20">
        <f t="shared" si="352"/>
        <v>1400000</v>
      </c>
      <c r="CF305" s="20">
        <f t="shared" si="349"/>
        <v>2875313.5315973144</v>
      </c>
      <c r="CG305" s="20">
        <f t="shared" si="327"/>
        <v>115012.54126389258</v>
      </c>
      <c r="CH305" s="20">
        <f t="shared" si="350"/>
        <v>9584.3784386577154</v>
      </c>
      <c r="CI305" s="20">
        <f t="shared" si="328"/>
        <v>2860190.1898941826</v>
      </c>
      <c r="CJ305" s="24">
        <f t="shared" si="329"/>
        <v>2.012916095310707</v>
      </c>
      <c r="CK305" s="24">
        <f t="shared" si="330"/>
        <v>5.2970930611975437E-3</v>
      </c>
      <c r="CL305" s="24">
        <f t="shared" si="331"/>
        <v>1.5973681956530903E-2</v>
      </c>
      <c r="CM305" s="25">
        <f t="shared" si="332"/>
        <v>6.5405043770885365E-2</v>
      </c>
      <c r="CN305" s="17"/>
      <c r="CO305" s="17"/>
      <c r="CP305" s="17"/>
      <c r="CQ305" s="17"/>
      <c r="CR305" s="17"/>
      <c r="CS305" s="17"/>
      <c r="CT305" s="17"/>
      <c r="CU305" s="17"/>
      <c r="CV305" s="17"/>
      <c r="CW305" s="30">
        <v>0</v>
      </c>
      <c r="CX305" s="17"/>
      <c r="CY305" s="17"/>
      <c r="CZ305" s="17"/>
      <c r="DA305" s="17"/>
      <c r="DB305" s="17"/>
    </row>
    <row r="306" spans="1:106" ht="15.75" thickBot="1" x14ac:dyDescent="0.3">
      <c r="A306" s="5">
        <f t="shared" si="353"/>
        <v>49</v>
      </c>
      <c r="B306" s="5">
        <f t="shared" si="353"/>
        <v>47</v>
      </c>
      <c r="C306" s="1"/>
      <c r="D306" s="4"/>
      <c r="E306" s="30"/>
      <c r="F306" s="30"/>
      <c r="G306" s="30">
        <f t="shared" si="303"/>
        <v>0</v>
      </c>
      <c r="H306" s="30"/>
      <c r="I306" s="10">
        <v>0</v>
      </c>
      <c r="J306" s="60">
        <v>9000</v>
      </c>
      <c r="K306" s="11">
        <v>550</v>
      </c>
      <c r="L306" s="60">
        <f t="shared" si="354"/>
        <v>12572.001118057986</v>
      </c>
      <c r="M306" s="11">
        <v>305</v>
      </c>
      <c r="N306" s="60">
        <v>0</v>
      </c>
      <c r="O306" s="11">
        <v>0</v>
      </c>
      <c r="P306" s="11">
        <v>0</v>
      </c>
      <c r="Q306" s="60">
        <f>(Q305*($K$1/12))+Q305 + $Q$8</f>
        <v>464338.23335915816</v>
      </c>
      <c r="R306" s="60">
        <f>(R305*($K$1/12))+R305</f>
        <v>19370.557167796804</v>
      </c>
      <c r="S306" s="60">
        <f>(S305*($K$1/12))+S305</f>
        <v>16817.529505436047</v>
      </c>
      <c r="T306" s="60">
        <f>(T305*($K$1/12))+T305+$T$8</f>
        <v>1741971.0346195824</v>
      </c>
      <c r="U306" s="60">
        <f>(U305*$K$1/12) + U305</f>
        <v>204623.92179462852</v>
      </c>
      <c r="V306" s="60">
        <v>3100</v>
      </c>
      <c r="W306" s="60">
        <f>(W305*($K$1/12))+W305+$W$8</f>
        <v>142033.83565928502</v>
      </c>
      <c r="X306" s="11">
        <v>0</v>
      </c>
      <c r="Y306" s="60">
        <f>(Y305*($K$1/12))+Y305+$Y$8</f>
        <v>301391.03445424675</v>
      </c>
      <c r="Z306" s="60">
        <f>'Mortgage and Loans'!U268</f>
        <v>180000</v>
      </c>
      <c r="AA306" s="12">
        <f t="shared" si="347"/>
        <v>3096073.1476781918</v>
      </c>
      <c r="AB306" s="56">
        <f t="shared" si="357"/>
        <v>750</v>
      </c>
      <c r="AC306" s="56">
        <f t="shared" si="357"/>
        <v>750</v>
      </c>
      <c r="AD306" s="56">
        <f t="shared" si="357"/>
        <v>750</v>
      </c>
      <c r="AE306" s="56">
        <f t="shared" si="357"/>
        <v>750</v>
      </c>
      <c r="AF306" s="56">
        <f t="shared" si="356"/>
        <v>261.43961538461554</v>
      </c>
      <c r="AG306" s="56">
        <f t="shared" si="357"/>
        <v>750</v>
      </c>
      <c r="AH306" s="56">
        <f>'Mortgage and Loans'!AF263</f>
        <v>0</v>
      </c>
      <c r="AI306" s="56">
        <f>'Mortgage and Loans'!AQ263</f>
        <v>0</v>
      </c>
      <c r="AJ306" s="56">
        <f>'Mortgage and Loans'!BB263</f>
        <v>0</v>
      </c>
      <c r="AK306" s="56">
        <f>'Mortgage and Loans'!BM263</f>
        <v>0</v>
      </c>
      <c r="AL306" s="56">
        <f>'Mortgage and Loans'!T268</f>
        <v>0</v>
      </c>
      <c r="AM306" s="12">
        <f t="shared" si="345"/>
        <v>-4011.4396153846155</v>
      </c>
      <c r="AN306" s="75">
        <f t="shared" si="355"/>
        <v>3092061.7080628071</v>
      </c>
      <c r="AO306" s="86">
        <f>'Mortgage and Loans'!G269</f>
        <v>0</v>
      </c>
      <c r="AP306" s="79">
        <f>('Salary Tax Breakdown'!B$16/12)-Data!AO306</f>
        <v>3447.5</v>
      </c>
      <c r="AQ306" s="87"/>
      <c r="AR306" s="20">
        <f t="shared" si="304"/>
        <v>4011.4396153846155</v>
      </c>
      <c r="AS306" s="20">
        <v>750</v>
      </c>
      <c r="AT306" s="20">
        <v>0</v>
      </c>
      <c r="AU306" s="20">
        <f t="shared" si="305"/>
        <v>4761.4396153846155</v>
      </c>
      <c r="AV306" s="20">
        <f t="shared" si="306"/>
        <v>4761.4396153846155</v>
      </c>
      <c r="AW306" s="51">
        <f t="shared" si="348"/>
        <v>0</v>
      </c>
      <c r="AX306" s="51">
        <f t="shared" si="334"/>
        <v>0</v>
      </c>
      <c r="AY306" s="51">
        <f t="shared" si="335"/>
        <v>0</v>
      </c>
      <c r="AZ306" s="51">
        <f t="shared" si="336"/>
        <v>0</v>
      </c>
      <c r="BA306" s="51">
        <f t="shared" si="337"/>
        <v>0</v>
      </c>
      <c r="BB306" s="51">
        <f t="shared" si="338"/>
        <v>0</v>
      </c>
      <c r="BC306" s="51">
        <f t="shared" si="339"/>
        <v>0</v>
      </c>
      <c r="BD306" s="51">
        <f t="shared" si="340"/>
        <v>0</v>
      </c>
      <c r="BE306" s="51">
        <f t="shared" si="341"/>
        <v>0</v>
      </c>
      <c r="BF306" s="51">
        <f t="shared" si="342"/>
        <v>0</v>
      </c>
      <c r="BG306" s="51">
        <f t="shared" si="343"/>
        <v>0</v>
      </c>
      <c r="BH306" s="51">
        <f t="shared" si="344"/>
        <v>0</v>
      </c>
      <c r="BI306" s="51">
        <f t="shared" si="307"/>
        <v>0</v>
      </c>
      <c r="BJ306" s="51">
        <f t="shared" si="308"/>
        <v>0</v>
      </c>
      <c r="BK306" s="51">
        <f t="shared" si="309"/>
        <v>0</v>
      </c>
      <c r="BL306" s="51">
        <f t="shared" si="310"/>
        <v>0</v>
      </c>
      <c r="BM306" s="51">
        <f t="shared" si="311"/>
        <v>0</v>
      </c>
      <c r="BN306" s="51">
        <f t="shared" si="312"/>
        <v>0</v>
      </c>
      <c r="BO306" s="51">
        <f t="shared" si="313"/>
        <v>0</v>
      </c>
      <c r="BP306" s="51">
        <f t="shared" si="314"/>
        <v>0</v>
      </c>
      <c r="BQ306" s="51">
        <f t="shared" si="315"/>
        <v>0</v>
      </c>
      <c r="BR306" s="51">
        <f t="shared" si="316"/>
        <v>0</v>
      </c>
      <c r="BS306" s="51">
        <f t="shared" si="317"/>
        <v>0</v>
      </c>
      <c r="BT306" s="51">
        <f t="shared" si="318"/>
        <v>0</v>
      </c>
      <c r="BU306" s="20">
        <f t="shared" si="319"/>
        <v>4761.4396153846155</v>
      </c>
      <c r="BV306" s="20">
        <f t="shared" si="320"/>
        <v>4761.4396153846164</v>
      </c>
      <c r="BW306" s="20">
        <f t="shared" si="321"/>
        <v>57137.275384615386</v>
      </c>
      <c r="BX306" s="20">
        <f t="shared" si="322"/>
        <v>57137.275384615386</v>
      </c>
      <c r="BY306" s="20">
        <f t="shared" si="323"/>
        <v>57137.275384615394</v>
      </c>
      <c r="BZ306" s="21">
        <f t="shared" si="324"/>
        <v>57137.275384615386</v>
      </c>
      <c r="CA306" s="19">
        <f t="shared" si="346"/>
        <v>1428431.8846153847</v>
      </c>
      <c r="CB306" s="20">
        <f t="shared" si="325"/>
        <v>1428431.8846153847</v>
      </c>
      <c r="CC306" s="20">
        <f t="shared" si="326"/>
        <v>1428431.8846153843</v>
      </c>
      <c r="CD306" s="20">
        <f t="shared" si="351"/>
        <v>0</v>
      </c>
      <c r="CE306" s="20">
        <f t="shared" si="352"/>
        <v>1400000</v>
      </c>
      <c r="CF306" s="20">
        <f t="shared" si="349"/>
        <v>2890546.1465601344</v>
      </c>
      <c r="CG306" s="20">
        <f t="shared" si="327"/>
        <v>115621.84586240537</v>
      </c>
      <c r="CH306" s="20">
        <f t="shared" si="350"/>
        <v>9635.1538218671139</v>
      </c>
      <c r="CI306" s="20">
        <f t="shared" si="328"/>
        <v>2875340.8867561095</v>
      </c>
      <c r="CJ306" s="24">
        <f t="shared" si="329"/>
        <v>2.0235799674399133</v>
      </c>
      <c r="CK306" s="24">
        <f t="shared" si="330"/>
        <v>5.2977231162536333E-3</v>
      </c>
      <c r="CL306" s="24">
        <f t="shared" si="331"/>
        <v>1.5975602103676458E-2</v>
      </c>
      <c r="CM306" s="25">
        <f t="shared" si="332"/>
        <v>6.5413288484008542E-2</v>
      </c>
      <c r="CN306" s="17"/>
      <c r="CO306" s="17"/>
      <c r="CP306" s="17"/>
      <c r="CQ306" s="17"/>
      <c r="CR306" s="17"/>
      <c r="CS306" s="17"/>
      <c r="CT306" s="17"/>
      <c r="CU306" s="17"/>
      <c r="CV306" s="17"/>
      <c r="CW306" s="30">
        <v>0</v>
      </c>
      <c r="CX306" s="17"/>
      <c r="CY306" s="17"/>
      <c r="CZ306" s="17"/>
      <c r="DA306" s="17"/>
      <c r="DB306" s="17"/>
    </row>
    <row r="307" spans="1:106" ht="15.75" thickBot="1" x14ac:dyDescent="0.3">
      <c r="A307" s="5">
        <f t="shared" si="353"/>
        <v>49</v>
      </c>
      <c r="B307" s="5">
        <f t="shared" si="353"/>
        <v>47</v>
      </c>
      <c r="C307" s="1"/>
      <c r="D307" s="4"/>
      <c r="E307" s="30"/>
      <c r="F307" s="30"/>
      <c r="G307" s="30">
        <f t="shared" si="303"/>
        <v>0</v>
      </c>
      <c r="H307" s="30"/>
      <c r="I307" s="10">
        <v>0</v>
      </c>
      <c r="J307" s="60">
        <v>9000</v>
      </c>
      <c r="K307" s="11">
        <v>550</v>
      </c>
      <c r="L307" s="60">
        <f t="shared" si="354"/>
        <v>12587.192286075639</v>
      </c>
      <c r="M307" s="11">
        <v>305</v>
      </c>
      <c r="N307" s="60">
        <v>0</v>
      </c>
      <c r="O307" s="11">
        <v>0</v>
      </c>
      <c r="P307" s="11">
        <v>0</v>
      </c>
      <c r="Q307" s="60">
        <f>(Q306*($K$1/12))+Q306 + $Q$8</f>
        <v>467311.39878985361</v>
      </c>
      <c r="R307" s="60">
        <f>(R306*($K$1/12))+R306</f>
        <v>19475.48101912237</v>
      </c>
      <c r="S307" s="60">
        <f>(S306*($K$1/12))+S306</f>
        <v>16908.624456923826</v>
      </c>
      <c r="T307" s="60">
        <f>(T306*($K$1/12))+T306+$T$8</f>
        <v>1752906.7110571051</v>
      </c>
      <c r="U307" s="60">
        <f>(U306*$K$1/12) + U306</f>
        <v>205732.3013710161</v>
      </c>
      <c r="V307" s="60">
        <v>3100</v>
      </c>
      <c r="W307" s="60">
        <f>(W306*($K$1/12))+W306+$W$8</f>
        <v>142803.18560243948</v>
      </c>
      <c r="X307" s="11">
        <v>0</v>
      </c>
      <c r="Y307" s="60">
        <f>(Y306*($K$1/12))+Y306+$Y$8</f>
        <v>300723.56922420725</v>
      </c>
      <c r="Z307" s="60">
        <f>'Mortgage and Loans'!U269</f>
        <v>180000</v>
      </c>
      <c r="AA307" s="12">
        <f t="shared" si="347"/>
        <v>3111403.4638067433</v>
      </c>
      <c r="AB307" s="56">
        <f t="shared" si="357"/>
        <v>750</v>
      </c>
      <c r="AC307" s="56">
        <f t="shared" si="357"/>
        <v>750</v>
      </c>
      <c r="AD307" s="56">
        <f t="shared" si="357"/>
        <v>750</v>
      </c>
      <c r="AE307" s="56">
        <f t="shared" si="357"/>
        <v>750</v>
      </c>
      <c r="AF307" s="56">
        <f t="shared" si="356"/>
        <v>261.43961538461554</v>
      </c>
      <c r="AG307" s="56">
        <f t="shared" si="357"/>
        <v>750</v>
      </c>
      <c r="AH307" s="56">
        <f>'Mortgage and Loans'!AF264</f>
        <v>0</v>
      </c>
      <c r="AI307" s="56">
        <f>'Mortgage and Loans'!AQ264</f>
        <v>0</v>
      </c>
      <c r="AJ307" s="56">
        <f>'Mortgage and Loans'!BB264</f>
        <v>0</v>
      </c>
      <c r="AK307" s="56">
        <f>'Mortgage and Loans'!BM264</f>
        <v>0</v>
      </c>
      <c r="AL307" s="56">
        <f>'Mortgage and Loans'!T269</f>
        <v>0</v>
      </c>
      <c r="AM307" s="12">
        <f t="shared" si="345"/>
        <v>-4011.4396153846155</v>
      </c>
      <c r="AN307" s="75">
        <f t="shared" si="355"/>
        <v>3107392.0241913586</v>
      </c>
      <c r="AO307" s="86">
        <f>'Mortgage and Loans'!G270</f>
        <v>0</v>
      </c>
      <c r="AP307" s="79">
        <f>('Salary Tax Breakdown'!B$16/12)-Data!AO307</f>
        <v>3447.5</v>
      </c>
      <c r="AQ307" s="87"/>
      <c r="AR307" s="20">
        <f t="shared" si="304"/>
        <v>4011.4396153846155</v>
      </c>
      <c r="AS307" s="20">
        <v>750</v>
      </c>
      <c r="AT307" s="20">
        <v>0</v>
      </c>
      <c r="AU307" s="20">
        <f t="shared" si="305"/>
        <v>4761.4396153846155</v>
      </c>
      <c r="AV307" s="20">
        <f t="shared" si="306"/>
        <v>4761.4396153846155</v>
      </c>
      <c r="AW307" s="51">
        <f t="shared" si="348"/>
        <v>0</v>
      </c>
      <c r="AX307" s="51">
        <f t="shared" si="334"/>
        <v>0</v>
      </c>
      <c r="AY307" s="51">
        <f t="shared" si="335"/>
        <v>0</v>
      </c>
      <c r="AZ307" s="51">
        <f t="shared" si="336"/>
        <v>0</v>
      </c>
      <c r="BA307" s="51">
        <f t="shared" si="337"/>
        <v>0</v>
      </c>
      <c r="BB307" s="51">
        <f t="shared" si="338"/>
        <v>0</v>
      </c>
      <c r="BC307" s="51">
        <f t="shared" si="339"/>
        <v>0</v>
      </c>
      <c r="BD307" s="51">
        <f t="shared" si="340"/>
        <v>0</v>
      </c>
      <c r="BE307" s="51">
        <f t="shared" si="341"/>
        <v>0</v>
      </c>
      <c r="BF307" s="51">
        <f t="shared" si="342"/>
        <v>0</v>
      </c>
      <c r="BG307" s="51">
        <f t="shared" si="343"/>
        <v>0</v>
      </c>
      <c r="BH307" s="51">
        <f t="shared" si="344"/>
        <v>0</v>
      </c>
      <c r="BI307" s="51">
        <f t="shared" si="307"/>
        <v>0</v>
      </c>
      <c r="BJ307" s="51">
        <f t="shared" si="308"/>
        <v>0</v>
      </c>
      <c r="BK307" s="51">
        <f t="shared" si="309"/>
        <v>0</v>
      </c>
      <c r="BL307" s="51">
        <f t="shared" si="310"/>
        <v>0</v>
      </c>
      <c r="BM307" s="51">
        <f t="shared" si="311"/>
        <v>0</v>
      </c>
      <c r="BN307" s="51">
        <f t="shared" si="312"/>
        <v>0</v>
      </c>
      <c r="BO307" s="51">
        <f t="shared" si="313"/>
        <v>0</v>
      </c>
      <c r="BP307" s="51">
        <f t="shared" si="314"/>
        <v>0</v>
      </c>
      <c r="BQ307" s="51">
        <f t="shared" si="315"/>
        <v>0</v>
      </c>
      <c r="BR307" s="51">
        <f t="shared" si="316"/>
        <v>0</v>
      </c>
      <c r="BS307" s="51">
        <f t="shared" si="317"/>
        <v>0</v>
      </c>
      <c r="BT307" s="51">
        <f t="shared" si="318"/>
        <v>0</v>
      </c>
      <c r="BU307" s="20">
        <f t="shared" si="319"/>
        <v>4761.4396153846155</v>
      </c>
      <c r="BV307" s="20">
        <f t="shared" si="320"/>
        <v>4761.4396153846164</v>
      </c>
      <c r="BW307" s="20">
        <f t="shared" si="321"/>
        <v>57137.275384615386</v>
      </c>
      <c r="BX307" s="20">
        <f t="shared" si="322"/>
        <v>57137.275384615386</v>
      </c>
      <c r="BY307" s="20">
        <f t="shared" si="323"/>
        <v>57137.275384615394</v>
      </c>
      <c r="BZ307" s="21">
        <f t="shared" si="324"/>
        <v>57137.275384615386</v>
      </c>
      <c r="CA307" s="19">
        <f t="shared" si="346"/>
        <v>1428431.8846153847</v>
      </c>
      <c r="CB307" s="20">
        <f t="shared" si="325"/>
        <v>1428431.8846153847</v>
      </c>
      <c r="CC307" s="20">
        <f t="shared" si="326"/>
        <v>1428431.8846153843</v>
      </c>
      <c r="CD307" s="20">
        <f t="shared" si="351"/>
        <v>0</v>
      </c>
      <c r="CE307" s="20">
        <f t="shared" si="352"/>
        <v>1400000</v>
      </c>
      <c r="CF307" s="20">
        <f t="shared" si="349"/>
        <v>2905861.2715206677</v>
      </c>
      <c r="CG307" s="20">
        <f t="shared" si="327"/>
        <v>116234.45086082671</v>
      </c>
      <c r="CH307" s="20">
        <f t="shared" si="350"/>
        <v>9686.2042384022261</v>
      </c>
      <c r="CI307" s="20">
        <f t="shared" si="328"/>
        <v>2890573.649892705</v>
      </c>
      <c r="CJ307" s="24">
        <f t="shared" si="329"/>
        <v>2.0343016022098186</v>
      </c>
      <c r="CK307" s="24">
        <f t="shared" si="330"/>
        <v>5.2983499255872301E-3</v>
      </c>
      <c r="CL307" s="24">
        <f t="shared" si="331"/>
        <v>1.5977512364019307E-2</v>
      </c>
      <c r="CM307" s="25">
        <f t="shared" si="332"/>
        <v>6.5421490840953195E-2</v>
      </c>
      <c r="CN307" s="17"/>
      <c r="CO307" s="17"/>
      <c r="CP307" s="17"/>
      <c r="CQ307" s="17"/>
      <c r="CR307" s="17"/>
      <c r="CS307" s="17"/>
      <c r="CT307" s="17"/>
      <c r="CU307" s="17"/>
      <c r="CV307" s="17"/>
      <c r="CW307" s="30">
        <v>0</v>
      </c>
      <c r="CX307" s="17"/>
      <c r="CY307" s="17"/>
      <c r="CZ307" s="17"/>
      <c r="DA307" s="17"/>
      <c r="DB307" s="17"/>
    </row>
    <row r="308" spans="1:106" ht="15.75" thickBot="1" x14ac:dyDescent="0.3">
      <c r="A308" s="5">
        <f t="shared" si="353"/>
        <v>49</v>
      </c>
      <c r="B308" s="5">
        <f t="shared" si="353"/>
        <v>47</v>
      </c>
      <c r="C308" s="1"/>
      <c r="D308" s="4"/>
      <c r="E308" s="30"/>
      <c r="F308" s="30"/>
      <c r="G308" s="30">
        <f t="shared" si="303"/>
        <v>0</v>
      </c>
      <c r="H308" s="30"/>
      <c r="I308" s="10">
        <v>0</v>
      </c>
      <c r="J308" s="60">
        <v>9000</v>
      </c>
      <c r="K308" s="11">
        <v>550</v>
      </c>
      <c r="L308" s="60">
        <f t="shared" si="354"/>
        <v>12602.401810087978</v>
      </c>
      <c r="M308" s="11">
        <v>305</v>
      </c>
      <c r="N308" s="60">
        <v>0</v>
      </c>
      <c r="O308" s="11">
        <v>0</v>
      </c>
      <c r="P308" s="11">
        <v>0</v>
      </c>
      <c r="Q308" s="60">
        <f>(Q307*($K$1/12))+Q307 + $Q$8</f>
        <v>470300.66886663198</v>
      </c>
      <c r="R308" s="60">
        <f>(R307*($K$1/12))+R307</f>
        <v>19580.973207975949</v>
      </c>
      <c r="S308" s="60">
        <f>(S307*($K$1/12))+S307</f>
        <v>17000.212839398831</v>
      </c>
      <c r="T308" s="60">
        <f>(T307*($K$1/12))+T307+$T$8</f>
        <v>1763901.6224086643</v>
      </c>
      <c r="U308" s="60">
        <f>(U307*$K$1/12) + U307</f>
        <v>206846.6846701091</v>
      </c>
      <c r="V308" s="60">
        <v>3100</v>
      </c>
      <c r="W308" s="60">
        <f>(W307*($K$1/12))+W307+$W$8</f>
        <v>143576.70285778603</v>
      </c>
      <c r="X308" s="11">
        <v>0</v>
      </c>
      <c r="Y308" s="60">
        <f>(Y307*($K$1/12))+Y307+$Y$8</f>
        <v>300052.48855750507</v>
      </c>
      <c r="Z308" s="60">
        <f>'Mortgage and Loans'!U270</f>
        <v>180000</v>
      </c>
      <c r="AA308" s="12">
        <f t="shared" si="347"/>
        <v>3126816.7552181589</v>
      </c>
      <c r="AB308" s="56">
        <f t="shared" si="357"/>
        <v>750</v>
      </c>
      <c r="AC308" s="56">
        <f t="shared" si="357"/>
        <v>750</v>
      </c>
      <c r="AD308" s="56">
        <f t="shared" si="357"/>
        <v>750</v>
      </c>
      <c r="AE308" s="56">
        <f t="shared" si="357"/>
        <v>750</v>
      </c>
      <c r="AF308" s="56">
        <f t="shared" si="356"/>
        <v>261.43961538461554</v>
      </c>
      <c r="AG308" s="56">
        <f t="shared" si="357"/>
        <v>750</v>
      </c>
      <c r="AH308" s="56">
        <f>'Mortgage and Loans'!AF265</f>
        <v>0</v>
      </c>
      <c r="AI308" s="56">
        <f>'Mortgage and Loans'!AQ265</f>
        <v>0</v>
      </c>
      <c r="AJ308" s="56">
        <f>'Mortgage and Loans'!BB265</f>
        <v>0</v>
      </c>
      <c r="AK308" s="56">
        <f>'Mortgage and Loans'!BM265</f>
        <v>0</v>
      </c>
      <c r="AL308" s="56">
        <f>'Mortgage and Loans'!T270</f>
        <v>0</v>
      </c>
      <c r="AM308" s="12">
        <f t="shared" si="345"/>
        <v>-4011.4396153846155</v>
      </c>
      <c r="AN308" s="75">
        <f t="shared" si="355"/>
        <v>3122805.3156027743</v>
      </c>
      <c r="AO308" s="86">
        <f>'Mortgage and Loans'!G271</f>
        <v>0</v>
      </c>
      <c r="AP308" s="79">
        <f>('Salary Tax Breakdown'!B$16/12)-Data!AO308</f>
        <v>3447.5</v>
      </c>
      <c r="AQ308" s="87"/>
      <c r="AR308" s="20">
        <f t="shared" si="304"/>
        <v>4011.4396153846155</v>
      </c>
      <c r="AS308" s="20">
        <v>750</v>
      </c>
      <c r="AT308" s="20">
        <v>0</v>
      </c>
      <c r="AU308" s="20">
        <f t="shared" si="305"/>
        <v>4761.4396153846155</v>
      </c>
      <c r="AV308" s="20">
        <f t="shared" si="306"/>
        <v>4761.4396153846155</v>
      </c>
      <c r="AW308" s="51">
        <f t="shared" si="348"/>
        <v>0</v>
      </c>
      <c r="AX308" s="51">
        <f t="shared" si="334"/>
        <v>0</v>
      </c>
      <c r="AY308" s="51">
        <f t="shared" si="335"/>
        <v>0</v>
      </c>
      <c r="AZ308" s="51">
        <f t="shared" si="336"/>
        <v>0</v>
      </c>
      <c r="BA308" s="51">
        <f t="shared" si="337"/>
        <v>0</v>
      </c>
      <c r="BB308" s="51">
        <f t="shared" si="338"/>
        <v>0</v>
      </c>
      <c r="BC308" s="51">
        <f t="shared" si="339"/>
        <v>0</v>
      </c>
      <c r="BD308" s="51">
        <f t="shared" si="340"/>
        <v>0</v>
      </c>
      <c r="BE308" s="51">
        <f t="shared" si="341"/>
        <v>0</v>
      </c>
      <c r="BF308" s="51">
        <f t="shared" si="342"/>
        <v>0</v>
      </c>
      <c r="BG308" s="51">
        <f t="shared" si="343"/>
        <v>0</v>
      </c>
      <c r="BH308" s="51">
        <f t="shared" si="344"/>
        <v>0</v>
      </c>
      <c r="BI308" s="51">
        <f t="shared" si="307"/>
        <v>0</v>
      </c>
      <c r="BJ308" s="51">
        <f t="shared" si="308"/>
        <v>0</v>
      </c>
      <c r="BK308" s="51">
        <f t="shared" si="309"/>
        <v>0</v>
      </c>
      <c r="BL308" s="51">
        <f t="shared" si="310"/>
        <v>0</v>
      </c>
      <c r="BM308" s="51">
        <f t="shared" si="311"/>
        <v>0</v>
      </c>
      <c r="BN308" s="51">
        <f t="shared" si="312"/>
        <v>0</v>
      </c>
      <c r="BO308" s="51">
        <f t="shared" si="313"/>
        <v>0</v>
      </c>
      <c r="BP308" s="51">
        <f t="shared" si="314"/>
        <v>0</v>
      </c>
      <c r="BQ308" s="51">
        <f t="shared" si="315"/>
        <v>0</v>
      </c>
      <c r="BR308" s="51">
        <f t="shared" si="316"/>
        <v>0</v>
      </c>
      <c r="BS308" s="51">
        <f t="shared" si="317"/>
        <v>0</v>
      </c>
      <c r="BT308" s="51">
        <f t="shared" si="318"/>
        <v>0</v>
      </c>
      <c r="BU308" s="20">
        <f t="shared" si="319"/>
        <v>4761.4396153846155</v>
      </c>
      <c r="BV308" s="20">
        <f t="shared" si="320"/>
        <v>4761.4396153846164</v>
      </c>
      <c r="BW308" s="20">
        <f t="shared" si="321"/>
        <v>57137.275384615386</v>
      </c>
      <c r="BX308" s="20">
        <f t="shared" si="322"/>
        <v>57137.275384615386</v>
      </c>
      <c r="BY308" s="20">
        <f t="shared" si="323"/>
        <v>57137.275384615394</v>
      </c>
      <c r="BZ308" s="21">
        <f t="shared" si="324"/>
        <v>57137.275384615386</v>
      </c>
      <c r="CA308" s="19">
        <f t="shared" si="346"/>
        <v>1428431.8846153847</v>
      </c>
      <c r="CB308" s="20">
        <f t="shared" si="325"/>
        <v>1428431.8846153847</v>
      </c>
      <c r="CC308" s="20">
        <f t="shared" si="326"/>
        <v>1428431.8846153843</v>
      </c>
      <c r="CD308" s="20">
        <f t="shared" si="351"/>
        <v>0</v>
      </c>
      <c r="CE308" s="20">
        <f t="shared" si="352"/>
        <v>1400000</v>
      </c>
      <c r="CF308" s="20">
        <f t="shared" si="349"/>
        <v>2921259.3534080712</v>
      </c>
      <c r="CG308" s="20">
        <f t="shared" si="327"/>
        <v>116850.37413632285</v>
      </c>
      <c r="CH308" s="20">
        <f t="shared" si="350"/>
        <v>9737.5311780269039</v>
      </c>
      <c r="CI308" s="20">
        <f t="shared" si="328"/>
        <v>2905888.9238296244</v>
      </c>
      <c r="CJ308" s="24">
        <f t="shared" si="329"/>
        <v>2.0450813125013942</v>
      </c>
      <c r="CK308" s="24">
        <f t="shared" si="330"/>
        <v>5.2989735051410507E-3</v>
      </c>
      <c r="CL308" s="24">
        <f t="shared" si="331"/>
        <v>1.5979412786066731E-2</v>
      </c>
      <c r="CM308" s="25">
        <f t="shared" si="332"/>
        <v>6.5429651048521956E-2</v>
      </c>
      <c r="CN308" s="17"/>
      <c r="CO308" s="17"/>
      <c r="CP308" s="17"/>
      <c r="CQ308" s="17"/>
      <c r="CR308" s="17"/>
      <c r="CS308" s="17"/>
      <c r="CT308" s="17"/>
      <c r="CU308" s="17"/>
      <c r="CV308" s="17"/>
      <c r="CW308" s="30">
        <v>0</v>
      </c>
      <c r="CX308" s="17"/>
      <c r="CY308" s="17"/>
      <c r="CZ308" s="17"/>
      <c r="DA308" s="17"/>
      <c r="DB308" s="17"/>
    </row>
    <row r="309" spans="1:106" ht="15.75" thickBot="1" x14ac:dyDescent="0.3">
      <c r="A309" s="5">
        <f t="shared" si="353"/>
        <v>49</v>
      </c>
      <c r="B309" s="5">
        <f t="shared" si="353"/>
        <v>47</v>
      </c>
      <c r="C309" s="1"/>
      <c r="D309" s="4"/>
      <c r="E309" s="30"/>
      <c r="F309" s="30"/>
      <c r="G309" s="30">
        <f t="shared" si="303"/>
        <v>0</v>
      </c>
      <c r="H309" s="30"/>
      <c r="I309" s="10">
        <v>0</v>
      </c>
      <c r="J309" s="60">
        <v>9000</v>
      </c>
      <c r="K309" s="11">
        <v>550</v>
      </c>
      <c r="L309" s="60">
        <f t="shared" si="354"/>
        <v>12617.629712275168</v>
      </c>
      <c r="M309" s="11">
        <v>305</v>
      </c>
      <c r="N309" s="60">
        <v>0</v>
      </c>
      <c r="O309" s="11">
        <v>0</v>
      </c>
      <c r="P309" s="11">
        <v>0</v>
      </c>
      <c r="Q309" s="60">
        <f>(Q308*($K$1/12))+Q308 + $Q$8</f>
        <v>473306.13082299288</v>
      </c>
      <c r="R309" s="60">
        <f>(R308*($K$1/12))+R308</f>
        <v>19687.036812852486</v>
      </c>
      <c r="S309" s="60">
        <f>(S308*($K$1/12))+S308</f>
        <v>17092.297325612242</v>
      </c>
      <c r="T309" s="60">
        <f>(T308*($K$1/12))+T308+$T$8</f>
        <v>1774956.0895300447</v>
      </c>
      <c r="U309" s="60">
        <f>(U308*$K$1/12) + U308</f>
        <v>207967.10421207218</v>
      </c>
      <c r="V309" s="60">
        <v>3100</v>
      </c>
      <c r="W309" s="60">
        <f>(W308*($K$1/12))+W308+$W$8</f>
        <v>144354.40999826571</v>
      </c>
      <c r="X309" s="11">
        <v>0</v>
      </c>
      <c r="Y309" s="60">
        <f>(Y308*($K$1/12))+Y308+$Y$8</f>
        <v>299377.7728705249</v>
      </c>
      <c r="Z309" s="60">
        <f>'Mortgage and Loans'!U271</f>
        <v>180000</v>
      </c>
      <c r="AA309" s="12">
        <f t="shared" si="347"/>
        <v>3142313.47128464</v>
      </c>
      <c r="AB309" s="56">
        <f t="shared" si="357"/>
        <v>750</v>
      </c>
      <c r="AC309" s="56">
        <f t="shared" si="357"/>
        <v>750</v>
      </c>
      <c r="AD309" s="56">
        <f t="shared" si="357"/>
        <v>750</v>
      </c>
      <c r="AE309" s="56">
        <f t="shared" si="357"/>
        <v>750</v>
      </c>
      <c r="AF309" s="56">
        <f t="shared" si="356"/>
        <v>261.43961538461554</v>
      </c>
      <c r="AG309" s="56">
        <f t="shared" si="357"/>
        <v>750</v>
      </c>
      <c r="AH309" s="56">
        <f>'Mortgage and Loans'!AF266</f>
        <v>0</v>
      </c>
      <c r="AI309" s="56">
        <f>'Mortgage and Loans'!AQ266</f>
        <v>0</v>
      </c>
      <c r="AJ309" s="56">
        <f>'Mortgage and Loans'!BB266</f>
        <v>0</v>
      </c>
      <c r="AK309" s="56">
        <f>'Mortgage and Loans'!BM266</f>
        <v>0</v>
      </c>
      <c r="AL309" s="56">
        <f>'Mortgage and Loans'!T271</f>
        <v>0</v>
      </c>
      <c r="AM309" s="12">
        <f t="shared" si="345"/>
        <v>-4011.4396153846155</v>
      </c>
      <c r="AN309" s="75">
        <f t="shared" si="355"/>
        <v>3138302.0316692553</v>
      </c>
      <c r="AO309" s="86">
        <f>'Mortgage and Loans'!G272</f>
        <v>0</v>
      </c>
      <c r="AP309" s="79">
        <f>('Salary Tax Breakdown'!B$16/12)-Data!AO309</f>
        <v>3447.5</v>
      </c>
      <c r="AQ309" s="87"/>
      <c r="AR309" s="20">
        <f t="shared" si="304"/>
        <v>4011.4396153846155</v>
      </c>
      <c r="AS309" s="20">
        <v>750</v>
      </c>
      <c r="AT309" s="20">
        <v>0</v>
      </c>
      <c r="AU309" s="20">
        <f t="shared" si="305"/>
        <v>4761.4396153846155</v>
      </c>
      <c r="AV309" s="20">
        <f t="shared" si="306"/>
        <v>4761.4396153846155</v>
      </c>
      <c r="AW309" s="51">
        <f t="shared" si="348"/>
        <v>0</v>
      </c>
      <c r="AX309" s="51">
        <f t="shared" si="334"/>
        <v>0</v>
      </c>
      <c r="AY309" s="51">
        <f t="shared" si="335"/>
        <v>0</v>
      </c>
      <c r="AZ309" s="51">
        <f t="shared" si="336"/>
        <v>0</v>
      </c>
      <c r="BA309" s="51">
        <f t="shared" si="337"/>
        <v>0</v>
      </c>
      <c r="BB309" s="51">
        <f t="shared" si="338"/>
        <v>0</v>
      </c>
      <c r="BC309" s="51">
        <f t="shared" si="339"/>
        <v>0</v>
      </c>
      <c r="BD309" s="51">
        <f t="shared" si="340"/>
        <v>0</v>
      </c>
      <c r="BE309" s="51">
        <f t="shared" si="341"/>
        <v>0</v>
      </c>
      <c r="BF309" s="51">
        <f t="shared" si="342"/>
        <v>0</v>
      </c>
      <c r="BG309" s="51">
        <f t="shared" si="343"/>
        <v>0</v>
      </c>
      <c r="BH309" s="51">
        <f t="shared" si="344"/>
        <v>0</v>
      </c>
      <c r="BI309" s="51">
        <f t="shared" si="307"/>
        <v>0</v>
      </c>
      <c r="BJ309" s="51">
        <f t="shared" si="308"/>
        <v>0</v>
      </c>
      <c r="BK309" s="51">
        <f t="shared" si="309"/>
        <v>0</v>
      </c>
      <c r="BL309" s="51">
        <f t="shared" si="310"/>
        <v>0</v>
      </c>
      <c r="BM309" s="51">
        <f t="shared" si="311"/>
        <v>0</v>
      </c>
      <c r="BN309" s="51">
        <f t="shared" si="312"/>
        <v>0</v>
      </c>
      <c r="BO309" s="51">
        <f t="shared" si="313"/>
        <v>0</v>
      </c>
      <c r="BP309" s="51">
        <f t="shared" si="314"/>
        <v>0</v>
      </c>
      <c r="BQ309" s="51">
        <f t="shared" si="315"/>
        <v>0</v>
      </c>
      <c r="BR309" s="51">
        <f t="shared" si="316"/>
        <v>0</v>
      </c>
      <c r="BS309" s="51">
        <f t="shared" si="317"/>
        <v>0</v>
      </c>
      <c r="BT309" s="51">
        <f t="shared" si="318"/>
        <v>0</v>
      </c>
      <c r="BU309" s="20">
        <f t="shared" si="319"/>
        <v>4761.4396153846155</v>
      </c>
      <c r="BV309" s="20">
        <f t="shared" si="320"/>
        <v>4761.4396153846164</v>
      </c>
      <c r="BW309" s="20">
        <f t="shared" si="321"/>
        <v>57137.275384615386</v>
      </c>
      <c r="BX309" s="20">
        <f t="shared" si="322"/>
        <v>57137.275384615386</v>
      </c>
      <c r="BY309" s="20">
        <f t="shared" si="323"/>
        <v>57137.275384615394</v>
      </c>
      <c r="BZ309" s="21">
        <f t="shared" si="324"/>
        <v>57137.275384615386</v>
      </c>
      <c r="CA309" s="19">
        <f t="shared" si="346"/>
        <v>1428431.8846153847</v>
      </c>
      <c r="CB309" s="20">
        <f t="shared" si="325"/>
        <v>1428431.8846153847</v>
      </c>
      <c r="CC309" s="20">
        <f t="shared" si="326"/>
        <v>1428431.8846153843</v>
      </c>
      <c r="CD309" s="20">
        <f t="shared" si="351"/>
        <v>0</v>
      </c>
      <c r="CE309" s="20">
        <f t="shared" si="352"/>
        <v>1400000</v>
      </c>
      <c r="CF309" s="20">
        <f t="shared" si="349"/>
        <v>2936740.8415723648</v>
      </c>
      <c r="CG309" s="20">
        <f t="shared" si="327"/>
        <v>117469.6336628946</v>
      </c>
      <c r="CH309" s="20">
        <f t="shared" si="350"/>
        <v>9789.1361385745495</v>
      </c>
      <c r="CI309" s="20">
        <f t="shared" si="328"/>
        <v>2921287.1555003677</v>
      </c>
      <c r="CJ309" s="24">
        <f t="shared" si="329"/>
        <v>2.0559194128903826</v>
      </c>
      <c r="CK309" s="24">
        <f t="shared" si="330"/>
        <v>5.2995938707845937E-3</v>
      </c>
      <c r="CL309" s="24">
        <f t="shared" si="331"/>
        <v>1.5981303418111475E-2</v>
      </c>
      <c r="CM309" s="25">
        <f t="shared" si="332"/>
        <v>6.543776931261984E-2</v>
      </c>
      <c r="CN309" s="17"/>
      <c r="CO309" s="17"/>
      <c r="CP309" s="17"/>
      <c r="CQ309" s="17"/>
      <c r="CR309" s="17"/>
      <c r="CS309" s="17"/>
      <c r="CT309" s="17"/>
      <c r="CU309" s="17"/>
      <c r="CV309" s="17"/>
      <c r="CW309" s="30">
        <v>0</v>
      </c>
      <c r="CX309" s="17"/>
      <c r="CY309" s="17"/>
      <c r="CZ309" s="17"/>
      <c r="DA309" s="17"/>
      <c r="DB309" s="17"/>
    </row>
    <row r="310" spans="1:106" ht="15.75" thickBot="1" x14ac:dyDescent="0.3">
      <c r="A310" s="5">
        <f t="shared" si="353"/>
        <v>49</v>
      </c>
      <c r="B310" s="5">
        <f t="shared" si="353"/>
        <v>47</v>
      </c>
      <c r="C310" s="1"/>
      <c r="D310" s="4"/>
      <c r="E310" s="30"/>
      <c r="F310" s="30"/>
      <c r="G310" s="30">
        <f t="shared" si="303"/>
        <v>0</v>
      </c>
      <c r="H310" s="30"/>
      <c r="I310" s="10">
        <v>0</v>
      </c>
      <c r="J310" s="60">
        <v>9000</v>
      </c>
      <c r="K310" s="11">
        <v>550</v>
      </c>
      <c r="L310" s="60">
        <f t="shared" si="354"/>
        <v>12632.876014844165</v>
      </c>
      <c r="M310" s="11">
        <v>305</v>
      </c>
      <c r="N310" s="60">
        <v>0</v>
      </c>
      <c r="O310" s="11">
        <v>0</v>
      </c>
      <c r="P310" s="11">
        <v>0</v>
      </c>
      <c r="Q310" s="60">
        <f>(Q309*($K$1/12))+Q309 + $Q$8</f>
        <v>476327.87236495077</v>
      </c>
      <c r="R310" s="60">
        <f>(R309*($K$1/12))+R309</f>
        <v>19793.674928922104</v>
      </c>
      <c r="S310" s="60">
        <f>(S309*($K$1/12))+S309</f>
        <v>17184.88060279264</v>
      </c>
      <c r="T310" s="60">
        <f>(T309*($K$1/12))+T309+$T$8</f>
        <v>1786070.435014999</v>
      </c>
      <c r="U310" s="60">
        <f>(U309*$K$1/12) + U309</f>
        <v>209093.59269322091</v>
      </c>
      <c r="V310" s="60">
        <v>3100</v>
      </c>
      <c r="W310" s="60">
        <f>(W309*($K$1/12))+W309+$W$8</f>
        <v>145136.32971908964</v>
      </c>
      <c r="X310" s="11">
        <v>0</v>
      </c>
      <c r="Y310" s="60">
        <f>(Y309*($K$1/12))+Y309+$Y$8</f>
        <v>298699.40247357357</v>
      </c>
      <c r="Z310" s="60">
        <f>'Mortgage and Loans'!U272</f>
        <v>180000</v>
      </c>
      <c r="AA310" s="12">
        <f t="shared" si="347"/>
        <v>3157894.0638123923</v>
      </c>
      <c r="AB310" s="56">
        <f t="shared" si="357"/>
        <v>750</v>
      </c>
      <c r="AC310" s="56">
        <f t="shared" si="357"/>
        <v>750</v>
      </c>
      <c r="AD310" s="56">
        <f t="shared" si="357"/>
        <v>750</v>
      </c>
      <c r="AE310" s="56">
        <f t="shared" si="357"/>
        <v>750</v>
      </c>
      <c r="AF310" s="56">
        <f t="shared" si="356"/>
        <v>261.43961538461554</v>
      </c>
      <c r="AG310" s="56">
        <f t="shared" si="357"/>
        <v>750</v>
      </c>
      <c r="AH310" s="56">
        <f>'Mortgage and Loans'!AF267</f>
        <v>0</v>
      </c>
      <c r="AI310" s="56">
        <f>'Mortgage and Loans'!AQ267</f>
        <v>0</v>
      </c>
      <c r="AJ310" s="56">
        <f>'Mortgage and Loans'!BB267</f>
        <v>0</v>
      </c>
      <c r="AK310" s="56">
        <f>'Mortgage and Loans'!BM267</f>
        <v>0</v>
      </c>
      <c r="AL310" s="56">
        <f>'Mortgage and Loans'!T272</f>
        <v>0</v>
      </c>
      <c r="AM310" s="12">
        <f t="shared" si="345"/>
        <v>-4011.4396153846155</v>
      </c>
      <c r="AN310" s="75">
        <f t="shared" si="355"/>
        <v>3153882.6241970076</v>
      </c>
      <c r="AO310" s="86">
        <f>'Mortgage and Loans'!G273</f>
        <v>0</v>
      </c>
      <c r="AP310" s="79">
        <f>('Salary Tax Breakdown'!B$16/12)-Data!AO310</f>
        <v>3447.5</v>
      </c>
      <c r="AQ310" s="87"/>
      <c r="AR310" s="20">
        <f t="shared" si="304"/>
        <v>4011.4396153846155</v>
      </c>
      <c r="AS310" s="20">
        <v>750</v>
      </c>
      <c r="AT310" s="20">
        <v>0</v>
      </c>
      <c r="AU310" s="20">
        <f t="shared" si="305"/>
        <v>4761.4396153846155</v>
      </c>
      <c r="AV310" s="20">
        <f t="shared" si="306"/>
        <v>4761.4396153846155</v>
      </c>
      <c r="AW310" s="51">
        <f t="shared" si="348"/>
        <v>0</v>
      </c>
      <c r="AX310" s="51">
        <f t="shared" si="334"/>
        <v>0</v>
      </c>
      <c r="AY310" s="51">
        <f t="shared" si="335"/>
        <v>0</v>
      </c>
      <c r="AZ310" s="51">
        <f t="shared" si="336"/>
        <v>0</v>
      </c>
      <c r="BA310" s="51">
        <f t="shared" si="337"/>
        <v>0</v>
      </c>
      <c r="BB310" s="51">
        <f t="shared" si="338"/>
        <v>0</v>
      </c>
      <c r="BC310" s="51">
        <f t="shared" si="339"/>
        <v>0</v>
      </c>
      <c r="BD310" s="51">
        <f t="shared" si="340"/>
        <v>0</v>
      </c>
      <c r="BE310" s="51">
        <f t="shared" si="341"/>
        <v>0</v>
      </c>
      <c r="BF310" s="51">
        <f t="shared" si="342"/>
        <v>0</v>
      </c>
      <c r="BG310" s="51">
        <f t="shared" si="343"/>
        <v>0</v>
      </c>
      <c r="BH310" s="51">
        <f t="shared" si="344"/>
        <v>0</v>
      </c>
      <c r="BI310" s="51">
        <f t="shared" si="307"/>
        <v>0</v>
      </c>
      <c r="BJ310" s="51">
        <f t="shared" si="308"/>
        <v>0</v>
      </c>
      <c r="BK310" s="51">
        <f t="shared" si="309"/>
        <v>0</v>
      </c>
      <c r="BL310" s="51">
        <f t="shared" si="310"/>
        <v>0</v>
      </c>
      <c r="BM310" s="51">
        <f t="shared" si="311"/>
        <v>0</v>
      </c>
      <c r="BN310" s="51">
        <f t="shared" si="312"/>
        <v>0</v>
      </c>
      <c r="BO310" s="51">
        <f t="shared" si="313"/>
        <v>0</v>
      </c>
      <c r="BP310" s="51">
        <f t="shared" si="314"/>
        <v>0</v>
      </c>
      <c r="BQ310" s="51">
        <f t="shared" si="315"/>
        <v>0</v>
      </c>
      <c r="BR310" s="51">
        <f t="shared" si="316"/>
        <v>0</v>
      </c>
      <c r="BS310" s="51">
        <f t="shared" si="317"/>
        <v>0</v>
      </c>
      <c r="BT310" s="51">
        <f t="shared" si="318"/>
        <v>0</v>
      </c>
      <c r="BU310" s="20">
        <f t="shared" si="319"/>
        <v>4761.4396153846155</v>
      </c>
      <c r="BV310" s="20">
        <f t="shared" si="320"/>
        <v>4761.4396153846164</v>
      </c>
      <c r="BW310" s="20">
        <f t="shared" si="321"/>
        <v>57137.275384615386</v>
      </c>
      <c r="BX310" s="20">
        <f t="shared" si="322"/>
        <v>57137.275384615386</v>
      </c>
      <c r="BY310" s="20">
        <f t="shared" si="323"/>
        <v>57137.275384615394</v>
      </c>
      <c r="BZ310" s="21">
        <f t="shared" si="324"/>
        <v>57137.275384615386</v>
      </c>
      <c r="CA310" s="19">
        <f t="shared" si="346"/>
        <v>1428431.8846153847</v>
      </c>
      <c r="CB310" s="20">
        <f t="shared" si="325"/>
        <v>1428431.8846153847</v>
      </c>
      <c r="CC310" s="20">
        <f t="shared" si="326"/>
        <v>1428431.8846153843</v>
      </c>
      <c r="CD310" s="20">
        <f t="shared" si="351"/>
        <v>0</v>
      </c>
      <c r="CE310" s="20">
        <f t="shared" si="352"/>
        <v>1400000</v>
      </c>
      <c r="CF310" s="20">
        <f t="shared" si="349"/>
        <v>2952306.1877975482</v>
      </c>
      <c r="CG310" s="20">
        <f t="shared" si="327"/>
        <v>118092.24751190194</v>
      </c>
      <c r="CH310" s="20">
        <f t="shared" si="350"/>
        <v>9841.0206259918286</v>
      </c>
      <c r="CI310" s="20">
        <f t="shared" si="328"/>
        <v>2936768.7942593284</v>
      </c>
      <c r="CJ310" s="24">
        <f t="shared" si="329"/>
        <v>2.0668162196564781</v>
      </c>
      <c r="CK310" s="24">
        <f t="shared" si="330"/>
        <v>5.3002110383187891E-3</v>
      </c>
      <c r="CL310" s="24">
        <f t="shared" si="331"/>
        <v>1.598318430823624E-2</v>
      </c>
      <c r="CM310" s="25">
        <f t="shared" si="332"/>
        <v>6.5445845838259215E-2</v>
      </c>
      <c r="CN310" s="17"/>
      <c r="CO310" s="17"/>
      <c r="CP310" s="17"/>
      <c r="CQ310" s="17"/>
      <c r="CR310" s="17"/>
      <c r="CS310" s="17"/>
      <c r="CT310" s="17"/>
      <c r="CU310" s="17"/>
      <c r="CV310" s="17"/>
      <c r="CW310" s="30">
        <v>0</v>
      </c>
      <c r="CX310" s="17"/>
      <c r="CY310" s="17"/>
      <c r="CZ310" s="17"/>
      <c r="DA310" s="17"/>
      <c r="DB310" s="17"/>
    </row>
    <row r="311" spans="1:106" ht="15.75" thickBot="1" x14ac:dyDescent="0.3">
      <c r="A311" s="5">
        <f t="shared" si="353"/>
        <v>49</v>
      </c>
      <c r="B311" s="5">
        <f t="shared" si="353"/>
        <v>47</v>
      </c>
      <c r="C311" s="1"/>
      <c r="D311" s="4"/>
      <c r="E311" s="30"/>
      <c r="F311" s="30"/>
      <c r="G311" s="30">
        <f t="shared" si="303"/>
        <v>0</v>
      </c>
      <c r="H311" s="30"/>
      <c r="I311" s="10">
        <v>0</v>
      </c>
      <c r="J311" s="60">
        <v>9000</v>
      </c>
      <c r="K311" s="11">
        <v>550</v>
      </c>
      <c r="L311" s="60">
        <f t="shared" si="354"/>
        <v>12648.140740028768</v>
      </c>
      <c r="M311" s="11">
        <v>305</v>
      </c>
      <c r="N311" s="60">
        <v>0</v>
      </c>
      <c r="O311" s="11">
        <v>0</v>
      </c>
      <c r="P311" s="11">
        <v>0</v>
      </c>
      <c r="Q311" s="60">
        <f>(Q310*($K$1/12))+Q310 + $Q$8</f>
        <v>479365.98167359427</v>
      </c>
      <c r="R311" s="60">
        <f>(R310*($K$1/12))+R310</f>
        <v>19900.890668120432</v>
      </c>
      <c r="S311" s="60">
        <f>(S310*($K$1/12))+S310</f>
        <v>17277.965372724433</v>
      </c>
      <c r="T311" s="60">
        <f>(T310*($K$1/12))+T310+$T$8</f>
        <v>1797244.9832046635</v>
      </c>
      <c r="U311" s="60">
        <f>(U310*$K$1/12) + U310</f>
        <v>210226.18298697585</v>
      </c>
      <c r="V311" s="60">
        <v>3100</v>
      </c>
      <c r="W311" s="60">
        <f>(W310*($K$1/12))+W310+$W$8</f>
        <v>145922.48483840137</v>
      </c>
      <c r="X311" s="11">
        <v>0</v>
      </c>
      <c r="Y311" s="60">
        <f>(Y310*($K$1/12))+Y310+$Y$8</f>
        <v>298017.35757030541</v>
      </c>
      <c r="Z311" s="60">
        <f>'Mortgage and Loans'!U273</f>
        <v>180000</v>
      </c>
      <c r="AA311" s="12">
        <f t="shared" si="347"/>
        <v>3173558.9870548141</v>
      </c>
      <c r="AB311" s="56">
        <f t="shared" si="357"/>
        <v>750</v>
      </c>
      <c r="AC311" s="56">
        <f t="shared" si="357"/>
        <v>750</v>
      </c>
      <c r="AD311" s="56">
        <f t="shared" si="357"/>
        <v>750</v>
      </c>
      <c r="AE311" s="56">
        <f t="shared" si="357"/>
        <v>750</v>
      </c>
      <c r="AF311" s="56">
        <f t="shared" si="356"/>
        <v>261.43961538461554</v>
      </c>
      <c r="AG311" s="56">
        <f t="shared" si="357"/>
        <v>750</v>
      </c>
      <c r="AH311" s="56">
        <f>'Mortgage and Loans'!AF268</f>
        <v>0</v>
      </c>
      <c r="AI311" s="56">
        <f>'Mortgage and Loans'!AQ268</f>
        <v>0</v>
      </c>
      <c r="AJ311" s="56">
        <f>'Mortgage and Loans'!BB268</f>
        <v>0</v>
      </c>
      <c r="AK311" s="56">
        <f>'Mortgage and Loans'!BM268</f>
        <v>0</v>
      </c>
      <c r="AL311" s="56">
        <f>'Mortgage and Loans'!T273</f>
        <v>0</v>
      </c>
      <c r="AM311" s="12">
        <f t="shared" si="345"/>
        <v>-4011.4396153846155</v>
      </c>
      <c r="AN311" s="75">
        <f t="shared" si="355"/>
        <v>3169547.5474394294</v>
      </c>
      <c r="AO311" s="86">
        <f>'Mortgage and Loans'!G274</f>
        <v>0</v>
      </c>
      <c r="AP311" s="79">
        <f>('Salary Tax Breakdown'!B$16/12)-Data!AO311</f>
        <v>3447.5</v>
      </c>
      <c r="AQ311" s="87"/>
      <c r="AR311" s="20">
        <f t="shared" si="304"/>
        <v>4011.4396153846155</v>
      </c>
      <c r="AS311" s="20">
        <v>750</v>
      </c>
      <c r="AT311" s="20">
        <v>0</v>
      </c>
      <c r="AU311" s="20">
        <f t="shared" si="305"/>
        <v>4761.4396153846155</v>
      </c>
      <c r="AV311" s="20">
        <f t="shared" si="306"/>
        <v>4761.4396153846155</v>
      </c>
      <c r="AW311" s="51">
        <f t="shared" si="348"/>
        <v>0</v>
      </c>
      <c r="AX311" s="51">
        <f t="shared" si="334"/>
        <v>0</v>
      </c>
      <c r="AY311" s="51">
        <f t="shared" si="335"/>
        <v>0</v>
      </c>
      <c r="AZ311" s="51">
        <f t="shared" si="336"/>
        <v>0</v>
      </c>
      <c r="BA311" s="51">
        <f t="shared" si="337"/>
        <v>0</v>
      </c>
      <c r="BB311" s="51">
        <f t="shared" si="338"/>
        <v>0</v>
      </c>
      <c r="BC311" s="51">
        <f t="shared" si="339"/>
        <v>0</v>
      </c>
      <c r="BD311" s="51">
        <f t="shared" si="340"/>
        <v>0</v>
      </c>
      <c r="BE311" s="51">
        <f t="shared" si="341"/>
        <v>0</v>
      </c>
      <c r="BF311" s="51">
        <f t="shared" si="342"/>
        <v>0</v>
      </c>
      <c r="BG311" s="51">
        <f t="shared" si="343"/>
        <v>0</v>
      </c>
      <c r="BH311" s="51">
        <f t="shared" si="344"/>
        <v>0</v>
      </c>
      <c r="BI311" s="51">
        <f t="shared" si="307"/>
        <v>0</v>
      </c>
      <c r="BJ311" s="51">
        <f t="shared" si="308"/>
        <v>0</v>
      </c>
      <c r="BK311" s="51">
        <f t="shared" si="309"/>
        <v>0</v>
      </c>
      <c r="BL311" s="51">
        <f t="shared" si="310"/>
        <v>0</v>
      </c>
      <c r="BM311" s="51">
        <f t="shared" si="311"/>
        <v>0</v>
      </c>
      <c r="BN311" s="51">
        <f t="shared" si="312"/>
        <v>0</v>
      </c>
      <c r="BO311" s="51">
        <f t="shared" si="313"/>
        <v>0</v>
      </c>
      <c r="BP311" s="51">
        <f t="shared" si="314"/>
        <v>0</v>
      </c>
      <c r="BQ311" s="51">
        <f t="shared" si="315"/>
        <v>0</v>
      </c>
      <c r="BR311" s="51">
        <f t="shared" si="316"/>
        <v>0</v>
      </c>
      <c r="BS311" s="51">
        <f t="shared" si="317"/>
        <v>0</v>
      </c>
      <c r="BT311" s="51">
        <f t="shared" si="318"/>
        <v>0</v>
      </c>
      <c r="BU311" s="20">
        <f t="shared" si="319"/>
        <v>4761.4396153846155</v>
      </c>
      <c r="BV311" s="20">
        <f t="shared" si="320"/>
        <v>4761.4396153846164</v>
      </c>
      <c r="BW311" s="20">
        <f t="shared" si="321"/>
        <v>57137.275384615386</v>
      </c>
      <c r="BX311" s="20">
        <f t="shared" si="322"/>
        <v>57137.275384615386</v>
      </c>
      <c r="BY311" s="20">
        <f t="shared" si="323"/>
        <v>57137.275384615394</v>
      </c>
      <c r="BZ311" s="21">
        <f t="shared" si="324"/>
        <v>57137.275384615386</v>
      </c>
      <c r="CA311" s="19">
        <f t="shared" si="346"/>
        <v>1428431.8846153847</v>
      </c>
      <c r="CB311" s="20">
        <f t="shared" si="325"/>
        <v>1428431.8846153847</v>
      </c>
      <c r="CC311" s="20">
        <f t="shared" si="326"/>
        <v>1428431.8846153843</v>
      </c>
      <c r="CD311" s="20">
        <f t="shared" si="351"/>
        <v>0</v>
      </c>
      <c r="CE311" s="20">
        <f t="shared" si="352"/>
        <v>1400000</v>
      </c>
      <c r="CF311" s="20">
        <f t="shared" si="349"/>
        <v>2967955.8463147851</v>
      </c>
      <c r="CG311" s="20">
        <f t="shared" si="327"/>
        <v>118718.23385259141</v>
      </c>
      <c r="CH311" s="20">
        <f t="shared" si="350"/>
        <v>9893.186154382618</v>
      </c>
      <c r="CI311" s="20">
        <f t="shared" si="328"/>
        <v>2952334.2918948992</v>
      </c>
      <c r="CJ311" s="24">
        <f t="shared" si="329"/>
        <v>2.0777720507925568</v>
      </c>
      <c r="CK311" s="24">
        <f t="shared" si="330"/>
        <v>5.3008250234748292E-3</v>
      </c>
      <c r="CL311" s="24">
        <f t="shared" si="331"/>
        <v>1.5985055504310376E-2</v>
      </c>
      <c r="CM311" s="25">
        <f t="shared" si="332"/>
        <v>6.5453880829560329E-2</v>
      </c>
      <c r="CN311" s="17"/>
      <c r="CO311" s="17"/>
      <c r="CP311" s="17"/>
      <c r="CQ311" s="17"/>
      <c r="CR311" s="17"/>
      <c r="CS311" s="17"/>
      <c r="CT311" s="17"/>
      <c r="CU311" s="17"/>
      <c r="CV311" s="17"/>
      <c r="CW311" s="30">
        <v>0</v>
      </c>
      <c r="CX311" s="17"/>
      <c r="CY311" s="17"/>
      <c r="CZ311" s="17"/>
      <c r="DA311" s="17"/>
      <c r="DB311" s="17"/>
    </row>
    <row r="312" spans="1:106" ht="15.75" thickBot="1" x14ac:dyDescent="0.3">
      <c r="A312" s="5">
        <f t="shared" si="353"/>
        <v>49</v>
      </c>
      <c r="B312" s="5">
        <f t="shared" si="353"/>
        <v>47</v>
      </c>
      <c r="C312" s="1"/>
      <c r="D312" s="4"/>
      <c r="E312" s="30"/>
      <c r="F312" s="30"/>
      <c r="G312" s="30">
        <f t="shared" si="303"/>
        <v>0</v>
      </c>
      <c r="H312" s="30"/>
      <c r="I312" s="10">
        <v>0</v>
      </c>
      <c r="J312" s="60">
        <v>9000</v>
      </c>
      <c r="K312" s="11">
        <v>550</v>
      </c>
      <c r="L312" s="60">
        <f t="shared" si="354"/>
        <v>12663.423910089636</v>
      </c>
      <c r="M312" s="11">
        <v>305</v>
      </c>
      <c r="N312" s="60">
        <v>0</v>
      </c>
      <c r="O312" s="11">
        <v>0</v>
      </c>
      <c r="P312" s="11">
        <v>0</v>
      </c>
      <c r="Q312" s="60">
        <f>(Q311*($K$1/12))+Q311 + $Q$8</f>
        <v>482420.54740765959</v>
      </c>
      <c r="R312" s="60">
        <f>(R311*($K$1/12))+R311</f>
        <v>20008.687159239416</v>
      </c>
      <c r="S312" s="60">
        <f>(S311*($K$1/12))+S311</f>
        <v>17371.55435182669</v>
      </c>
      <c r="T312" s="60">
        <f>(T311*($K$1/12))+T311+$T$8</f>
        <v>1808480.060197022</v>
      </c>
      <c r="U312" s="60">
        <f>(U311*$K$1/12) + U311</f>
        <v>211364.90814482197</v>
      </c>
      <c r="V312" s="60">
        <v>3100</v>
      </c>
      <c r="W312" s="60">
        <f>(W311*($K$1/12))+W311+$W$8</f>
        <v>146712.89829794271</v>
      </c>
      <c r="X312" s="11">
        <v>0</v>
      </c>
      <c r="Y312" s="60">
        <f>(Y311*($K$1/12))+Y311+$Y$8</f>
        <v>297331.61825714458</v>
      </c>
      <c r="Z312" s="60">
        <f>'Mortgage and Loans'!U274</f>
        <v>180000</v>
      </c>
      <c r="AA312" s="12">
        <f t="shared" si="347"/>
        <v>3189308.6977257463</v>
      </c>
      <c r="AB312" s="56">
        <f t="shared" si="357"/>
        <v>750</v>
      </c>
      <c r="AC312" s="56">
        <f t="shared" si="357"/>
        <v>750</v>
      </c>
      <c r="AD312" s="56">
        <f t="shared" si="357"/>
        <v>750</v>
      </c>
      <c r="AE312" s="56">
        <f t="shared" si="357"/>
        <v>750</v>
      </c>
      <c r="AF312" s="56">
        <f t="shared" si="356"/>
        <v>261.43961538461554</v>
      </c>
      <c r="AG312" s="56">
        <f t="shared" si="357"/>
        <v>750</v>
      </c>
      <c r="AH312" s="56">
        <f>'Mortgage and Loans'!AF269</f>
        <v>0</v>
      </c>
      <c r="AI312" s="56">
        <f>'Mortgage and Loans'!AQ269</f>
        <v>0</v>
      </c>
      <c r="AJ312" s="56">
        <f>'Mortgage and Loans'!BB269</f>
        <v>0</v>
      </c>
      <c r="AK312" s="56">
        <f>'Mortgage and Loans'!BM269</f>
        <v>0</v>
      </c>
      <c r="AL312" s="56">
        <f>'Mortgage and Loans'!T274</f>
        <v>0</v>
      </c>
      <c r="AM312" s="12">
        <f t="shared" si="345"/>
        <v>-4011.4396153846155</v>
      </c>
      <c r="AN312" s="75">
        <f t="shared" si="355"/>
        <v>3185297.2581103616</v>
      </c>
      <c r="AO312" s="86">
        <f>'Mortgage and Loans'!G275</f>
        <v>0</v>
      </c>
      <c r="AP312" s="79">
        <f>('Salary Tax Breakdown'!B$16/12)-Data!AO312</f>
        <v>3447.5</v>
      </c>
      <c r="AQ312" s="87"/>
      <c r="AR312" s="20">
        <f t="shared" si="304"/>
        <v>4011.4396153846155</v>
      </c>
      <c r="AS312" s="20">
        <v>750</v>
      </c>
      <c r="AT312" s="20">
        <v>0</v>
      </c>
      <c r="AU312" s="20">
        <f t="shared" si="305"/>
        <v>4761.4396153846155</v>
      </c>
      <c r="AV312" s="20">
        <f t="shared" si="306"/>
        <v>4761.4396153846155</v>
      </c>
      <c r="AW312" s="51">
        <f t="shared" si="348"/>
        <v>0</v>
      </c>
      <c r="AX312" s="51">
        <f t="shared" si="334"/>
        <v>0</v>
      </c>
      <c r="AY312" s="51">
        <f t="shared" si="335"/>
        <v>0</v>
      </c>
      <c r="AZ312" s="51">
        <f t="shared" si="336"/>
        <v>0</v>
      </c>
      <c r="BA312" s="51">
        <f t="shared" si="337"/>
        <v>0</v>
      </c>
      <c r="BB312" s="51">
        <f t="shared" si="338"/>
        <v>0</v>
      </c>
      <c r="BC312" s="51">
        <f t="shared" si="339"/>
        <v>0</v>
      </c>
      <c r="BD312" s="51">
        <f t="shared" si="340"/>
        <v>0</v>
      </c>
      <c r="BE312" s="51">
        <f t="shared" si="341"/>
        <v>0</v>
      </c>
      <c r="BF312" s="51">
        <f t="shared" si="342"/>
        <v>0</v>
      </c>
      <c r="BG312" s="51">
        <f t="shared" si="343"/>
        <v>0</v>
      </c>
      <c r="BH312" s="51">
        <f t="shared" si="344"/>
        <v>0</v>
      </c>
      <c r="BI312" s="51">
        <f t="shared" si="307"/>
        <v>0</v>
      </c>
      <c r="BJ312" s="51">
        <f t="shared" si="308"/>
        <v>0</v>
      </c>
      <c r="BK312" s="51">
        <f t="shared" si="309"/>
        <v>0</v>
      </c>
      <c r="BL312" s="51">
        <f t="shared" si="310"/>
        <v>0</v>
      </c>
      <c r="BM312" s="51">
        <f t="shared" si="311"/>
        <v>0</v>
      </c>
      <c r="BN312" s="51">
        <f t="shared" si="312"/>
        <v>0</v>
      </c>
      <c r="BO312" s="51">
        <f t="shared" si="313"/>
        <v>0</v>
      </c>
      <c r="BP312" s="51">
        <f t="shared" si="314"/>
        <v>0</v>
      </c>
      <c r="BQ312" s="51">
        <f t="shared" si="315"/>
        <v>0</v>
      </c>
      <c r="BR312" s="51">
        <f t="shared" si="316"/>
        <v>0</v>
      </c>
      <c r="BS312" s="51">
        <f t="shared" si="317"/>
        <v>0</v>
      </c>
      <c r="BT312" s="51">
        <f t="shared" si="318"/>
        <v>0</v>
      </c>
      <c r="BU312" s="20">
        <f t="shared" si="319"/>
        <v>4761.4396153846155</v>
      </c>
      <c r="BV312" s="20">
        <f t="shared" si="320"/>
        <v>4761.4396153846164</v>
      </c>
      <c r="BW312" s="20">
        <f t="shared" si="321"/>
        <v>57137.275384615386</v>
      </c>
      <c r="BX312" s="20">
        <f t="shared" si="322"/>
        <v>57137.275384615386</v>
      </c>
      <c r="BY312" s="20">
        <f t="shared" si="323"/>
        <v>57137.275384615394</v>
      </c>
      <c r="BZ312" s="21">
        <f t="shared" si="324"/>
        <v>57137.275384615386</v>
      </c>
      <c r="CA312" s="19">
        <f t="shared" si="346"/>
        <v>1428431.8846153847</v>
      </c>
      <c r="CB312" s="20">
        <f t="shared" si="325"/>
        <v>1428431.8846153847</v>
      </c>
      <c r="CC312" s="20">
        <f t="shared" si="326"/>
        <v>1428431.8846153843</v>
      </c>
      <c r="CD312" s="20">
        <f t="shared" si="351"/>
        <v>0</v>
      </c>
      <c r="CE312" s="20">
        <f t="shared" si="352"/>
        <v>1400000</v>
      </c>
      <c r="CF312" s="20">
        <f t="shared" si="349"/>
        <v>2983690.273815657</v>
      </c>
      <c r="CG312" s="20">
        <f t="shared" si="327"/>
        <v>119347.61095262629</v>
      </c>
      <c r="CH312" s="20">
        <f t="shared" si="350"/>
        <v>9945.6342460521901</v>
      </c>
      <c r="CI312" s="20">
        <f t="shared" si="328"/>
        <v>2967984.1026426633</v>
      </c>
      <c r="CJ312" s="24">
        <f t="shared" si="329"/>
        <v>2.0887872260139564</v>
      </c>
      <c r="CK312" s="24">
        <f t="shared" si="330"/>
        <v>5.3014358419141818E-3</v>
      </c>
      <c r="CL312" s="24">
        <f t="shared" si="331"/>
        <v>1.5986917053993417E-2</v>
      </c>
      <c r="CM312" s="25">
        <f t="shared" si="332"/>
        <v>6.5461874489756711E-2</v>
      </c>
      <c r="CN312" s="17"/>
      <c r="CO312" s="17"/>
      <c r="CP312" s="17"/>
      <c r="CQ312" s="17"/>
      <c r="CR312" s="17"/>
      <c r="CS312" s="17"/>
      <c r="CT312" s="17"/>
      <c r="CU312" s="17"/>
      <c r="CV312" s="17"/>
      <c r="CW312" s="30">
        <v>0</v>
      </c>
      <c r="CX312" s="17"/>
      <c r="CY312" s="17"/>
      <c r="CZ312" s="17"/>
      <c r="DA312" s="17"/>
      <c r="DB312" s="17"/>
    </row>
    <row r="313" spans="1:106" ht="15.75" thickBot="1" x14ac:dyDescent="0.3">
      <c r="A313" s="5">
        <f t="shared" si="353"/>
        <v>49</v>
      </c>
      <c r="B313" s="5">
        <f t="shared" si="353"/>
        <v>47</v>
      </c>
      <c r="C313" s="1"/>
      <c r="D313" s="4"/>
      <c r="E313" s="30"/>
      <c r="F313" s="30"/>
      <c r="G313" s="30">
        <f t="shared" si="303"/>
        <v>0</v>
      </c>
      <c r="H313" s="30"/>
      <c r="I313" s="10">
        <v>0</v>
      </c>
      <c r="J313" s="60">
        <v>9000</v>
      </c>
      <c r="K313" s="11">
        <v>550</v>
      </c>
      <c r="L313" s="60">
        <f t="shared" si="354"/>
        <v>12678.725547314327</v>
      </c>
      <c r="M313" s="11">
        <v>305</v>
      </c>
      <c r="N313" s="60">
        <v>0</v>
      </c>
      <c r="O313" s="11">
        <v>0</v>
      </c>
      <c r="P313" s="11">
        <v>0</v>
      </c>
      <c r="Q313" s="60">
        <f>(Q312*($K$1/12))+Q312 + $Q$8</f>
        <v>485491.65870611777</v>
      </c>
      <c r="R313" s="60">
        <f>(R312*($K$1/12))+R312</f>
        <v>20117.067548018629</v>
      </c>
      <c r="S313" s="60">
        <f>(S312*($K$1/12))+S312</f>
        <v>17465.650271232418</v>
      </c>
      <c r="T313" s="60">
        <f>(T312*($K$1/12))+T312+$T$8</f>
        <v>1819775.9938564226</v>
      </c>
      <c r="U313" s="60">
        <f>(U312*$K$1/12) + U312</f>
        <v>212509.80139727308</v>
      </c>
      <c r="V313" s="60">
        <v>3100</v>
      </c>
      <c r="W313" s="60">
        <f>(W312*($K$1/12))+W312+$W$8</f>
        <v>147507.59316372324</v>
      </c>
      <c r="X313" s="11">
        <v>0</v>
      </c>
      <c r="Y313" s="60">
        <f>(Y312*($K$1/12))+Y312+$Y$8</f>
        <v>296642.16452270414</v>
      </c>
      <c r="Z313" s="60">
        <f>'Mortgage and Loans'!U275</f>
        <v>180000</v>
      </c>
      <c r="AA313" s="12">
        <f t="shared" si="347"/>
        <v>3205143.6550128064</v>
      </c>
      <c r="AB313" s="56">
        <f t="shared" ref="AB313:AG314" si="358">$AC$1/5</f>
        <v>750</v>
      </c>
      <c r="AC313" s="56">
        <f t="shared" si="358"/>
        <v>750</v>
      </c>
      <c r="AD313" s="56">
        <f t="shared" si="358"/>
        <v>750</v>
      </c>
      <c r="AE313" s="56">
        <f t="shared" si="358"/>
        <v>750</v>
      </c>
      <c r="AF313" s="56">
        <f t="shared" si="356"/>
        <v>261.43961538461554</v>
      </c>
      <c r="AG313" s="56">
        <f t="shared" si="358"/>
        <v>750</v>
      </c>
      <c r="AH313" s="56">
        <f>'Mortgage and Loans'!AF270</f>
        <v>0</v>
      </c>
      <c r="AI313" s="56">
        <f>'Mortgage and Loans'!AQ270</f>
        <v>0</v>
      </c>
      <c r="AJ313" s="56">
        <f>'Mortgage and Loans'!BB270</f>
        <v>0</v>
      </c>
      <c r="AK313" s="56">
        <f>'Mortgage and Loans'!BM270</f>
        <v>0</v>
      </c>
      <c r="AL313" s="56">
        <v>0</v>
      </c>
      <c r="AM313" s="12">
        <f t="shared" si="12"/>
        <v>-4011.4396153846155</v>
      </c>
      <c r="AN313" s="75">
        <f t="shared" si="85"/>
        <v>3201132.2153974217</v>
      </c>
      <c r="AO313" s="86">
        <f>'Mortgage and Loans'!G276</f>
        <v>0</v>
      </c>
      <c r="AP313" s="79">
        <f>('Salary Tax Breakdown'!B$16/12)-Data!AO313</f>
        <v>3447.5</v>
      </c>
      <c r="AQ313" s="87"/>
      <c r="AR313" s="20">
        <f t="shared" si="115"/>
        <v>4011.4396153846155</v>
      </c>
      <c r="AS313" s="20">
        <v>750</v>
      </c>
      <c r="AT313" s="20">
        <v>0</v>
      </c>
      <c r="AU313" s="20">
        <f t="shared" si="116"/>
        <v>4761.4396153846155</v>
      </c>
      <c r="AV313" s="20">
        <f>AU47</f>
        <v>4761.6275286612035</v>
      </c>
      <c r="AW313" s="51">
        <f t="shared" si="348"/>
        <v>0</v>
      </c>
      <c r="AX313" s="51">
        <f t="shared" si="14"/>
        <v>0</v>
      </c>
      <c r="AY313" s="51">
        <f t="shared" si="15"/>
        <v>0</v>
      </c>
      <c r="AZ313" s="51">
        <f t="shared" si="16"/>
        <v>0</v>
      </c>
      <c r="BA313" s="51">
        <f t="shared" si="17"/>
        <v>0</v>
      </c>
      <c r="BB313" s="51">
        <f t="shared" si="18"/>
        <v>0</v>
      </c>
      <c r="BC313" s="51">
        <f t="shared" si="19"/>
        <v>0</v>
      </c>
      <c r="BD313" s="51">
        <f t="shared" si="20"/>
        <v>0</v>
      </c>
      <c r="BE313" s="51">
        <f t="shared" si="21"/>
        <v>0</v>
      </c>
      <c r="BF313" s="51">
        <f t="shared" si="22"/>
        <v>0</v>
      </c>
      <c r="BG313" s="51">
        <f t="shared" si="23"/>
        <v>0</v>
      </c>
      <c r="BH313" s="51">
        <f t="shared" si="24"/>
        <v>0</v>
      </c>
      <c r="BI313" s="51">
        <f t="shared" si="117"/>
        <v>0</v>
      </c>
      <c r="BJ313" s="51">
        <f t="shared" si="118"/>
        <v>0</v>
      </c>
      <c r="BK313" s="51">
        <f t="shared" si="119"/>
        <v>0</v>
      </c>
      <c r="BL313" s="51">
        <f t="shared" si="120"/>
        <v>0</v>
      </c>
      <c r="BM313" s="51">
        <f t="shared" si="121"/>
        <v>0</v>
      </c>
      <c r="BN313" s="51">
        <f t="shared" si="122"/>
        <v>0</v>
      </c>
      <c r="BO313" s="51">
        <f t="shared" si="123"/>
        <v>0</v>
      </c>
      <c r="BP313" s="51">
        <f t="shared" si="124"/>
        <v>0</v>
      </c>
      <c r="BQ313" s="51">
        <f t="shared" si="125"/>
        <v>0</v>
      </c>
      <c r="BR313" s="51">
        <f t="shared" si="126"/>
        <v>0</v>
      </c>
      <c r="BS313" s="51">
        <f t="shared" si="127"/>
        <v>0</v>
      </c>
      <c r="BT313" s="51">
        <f t="shared" si="128"/>
        <v>0</v>
      </c>
      <c r="BU313" s="20">
        <f>AVERAGE(AU57:AU313)</f>
        <v>4761.4409990551821</v>
      </c>
      <c r="BV313" s="20">
        <f>AVERAGE(AU48:AU313)</f>
        <v>4761.4460714094648</v>
      </c>
      <c r="BW313" s="20">
        <f t="shared" si="130"/>
        <v>57137.275384615386</v>
      </c>
      <c r="BX313" s="20">
        <f t="shared" si="131"/>
        <v>57137.291988662182</v>
      </c>
      <c r="BY313" s="20">
        <f t="shared" si="132"/>
        <v>57137.352856913581</v>
      </c>
      <c r="BZ313" s="21">
        <f t="shared" si="133"/>
        <v>57137.30674339705</v>
      </c>
      <c r="CA313" s="19">
        <f>$BZ313/CA$11</f>
        <v>1428432.6685849263</v>
      </c>
      <c r="CB313" s="20">
        <f>AVERAGE(CA57:CA313)</f>
        <v>1428432.2307772264</v>
      </c>
      <c r="CC313" s="20">
        <f>AVERAGE(CA48:CA313)</f>
        <v>1428433.5119225907</v>
      </c>
      <c r="CD313" s="20">
        <f t="shared" si="351"/>
        <v>0</v>
      </c>
      <c r="CE313" s="20">
        <f>$CC$11</f>
        <v>1400000</v>
      </c>
      <c r="CF313" s="20">
        <f t="shared" si="349"/>
        <v>2999509.9294654923</v>
      </c>
      <c r="CG313" s="20">
        <f>CA$11*CF313</f>
        <v>119980.39717861969</v>
      </c>
      <c r="CH313" s="20">
        <f t="shared" si="350"/>
        <v>9998.3664315516417</v>
      </c>
      <c r="CI313" s="20">
        <f>AVERAGE(CF57:CF313)</f>
        <v>1388741.6938160791</v>
      </c>
      <c r="CJ313" s="24">
        <f t="shared" si="147"/>
        <v>2.0998615578937367</v>
      </c>
      <c r="CK313" s="24">
        <f>(CF313-CF58)/CF58</f>
        <v>26.497898715263812</v>
      </c>
      <c r="CL313" s="24">
        <f>(CF313-CF56)/CF56</f>
        <v>27.659835905425588</v>
      </c>
      <c r="CM313" s="25">
        <f>(CF313-CF47)/CF47</f>
        <v>24.136146630018413</v>
      </c>
      <c r="CN313" s="17"/>
      <c r="CO313" s="17"/>
      <c r="CP313" s="17"/>
      <c r="CQ313" s="17"/>
      <c r="CR313" s="17"/>
      <c r="CS313" s="17"/>
      <c r="CT313" s="17"/>
      <c r="CU313" s="17"/>
      <c r="CV313" s="17"/>
      <c r="CW313" s="30">
        <v>0</v>
      </c>
      <c r="CX313" s="17"/>
      <c r="CY313" s="17"/>
      <c r="CZ313" s="17"/>
      <c r="DA313" s="17"/>
      <c r="DB313" s="17"/>
    </row>
    <row r="314" spans="1:106" ht="15.75" thickBot="1" x14ac:dyDescent="0.3">
      <c r="A314" s="5">
        <f t="shared" si="353"/>
        <v>49</v>
      </c>
      <c r="B314" s="5">
        <f t="shared" si="353"/>
        <v>48</v>
      </c>
      <c r="C314" s="1"/>
      <c r="D314" s="4"/>
      <c r="E314" s="30"/>
      <c r="F314" s="30"/>
      <c r="G314" s="30">
        <f t="shared" si="303"/>
        <v>0</v>
      </c>
      <c r="H314" s="30"/>
      <c r="I314" s="10">
        <v>0</v>
      </c>
      <c r="J314" s="60">
        <v>9000</v>
      </c>
      <c r="K314" s="11">
        <v>550</v>
      </c>
      <c r="L314" s="60">
        <f t="shared" si="354"/>
        <v>12694.04567401733</v>
      </c>
      <c r="M314" s="11">
        <v>305</v>
      </c>
      <c r="N314" s="60">
        <v>0</v>
      </c>
      <c r="O314" s="11">
        <v>0</v>
      </c>
      <c r="P314" s="11">
        <v>0</v>
      </c>
      <c r="Q314" s="60">
        <f>(Q313*($K$1/12))+Q313 + $Q$8</f>
        <v>488579.40519077593</v>
      </c>
      <c r="R314" s="60">
        <f>(R313*($K$1/12))+R313</f>
        <v>20226.034997237064</v>
      </c>
      <c r="S314" s="60">
        <f>(S313*($K$1/12))+S313</f>
        <v>17560.255876868261</v>
      </c>
      <c r="T314" s="60">
        <f>(T313*($K$1/12))+T313+$T$8</f>
        <v>1831133.1138231449</v>
      </c>
      <c r="U314" s="60">
        <f>(U313*$K$1/12) + U313</f>
        <v>213660.89615484164</v>
      </c>
      <c r="V314" s="60">
        <v>3100</v>
      </c>
      <c r="W314" s="60">
        <f>(W313*($K$1/12))+W313+$W$8</f>
        <v>148306.5926266934</v>
      </c>
      <c r="X314" s="11">
        <v>0</v>
      </c>
      <c r="Y314" s="60">
        <f>(Y313*($K$1/12))+Y313+$Y$8</f>
        <v>295948.97624720214</v>
      </c>
      <c r="Z314" s="60">
        <f>'Mortgage and Loans'!U276</f>
        <v>180000</v>
      </c>
      <c r="AA314" s="12">
        <f t="shared" si="347"/>
        <v>3221064.3205907801</v>
      </c>
      <c r="AB314" s="56">
        <f t="shared" si="358"/>
        <v>750</v>
      </c>
      <c r="AC314" s="56">
        <f t="shared" si="358"/>
        <v>750</v>
      </c>
      <c r="AD314" s="56">
        <f t="shared" si="358"/>
        <v>750</v>
      </c>
      <c r="AE314" s="56">
        <f t="shared" si="358"/>
        <v>750</v>
      </c>
      <c r="AF314" s="56">
        <f t="shared" si="356"/>
        <v>261.43961538461554</v>
      </c>
      <c r="AG314" s="56">
        <f t="shared" si="358"/>
        <v>750</v>
      </c>
      <c r="AH314" s="56">
        <f>'Mortgage and Loans'!AF271</f>
        <v>0</v>
      </c>
      <c r="AI314" s="56">
        <f>'Mortgage and Loans'!AQ271</f>
        <v>0</v>
      </c>
      <c r="AJ314" s="56">
        <f>'Mortgage and Loans'!BB271</f>
        <v>0</v>
      </c>
      <c r="AK314" s="56">
        <f>'Mortgage and Loans'!BM271</f>
        <v>0</v>
      </c>
      <c r="AL314" s="56">
        <v>0</v>
      </c>
      <c r="AM314" s="12">
        <f t="shared" si="12"/>
        <v>-4011.4396153846155</v>
      </c>
      <c r="AN314" s="75">
        <f t="shared" si="85"/>
        <v>3217052.8809753954</v>
      </c>
      <c r="AO314" s="86">
        <f>'Mortgage and Loans'!G277</f>
        <v>0</v>
      </c>
      <c r="AP314" s="79">
        <f>('Salary Tax Breakdown'!B$16/12)-Data!AO314</f>
        <v>3447.5</v>
      </c>
      <c r="AQ314" s="87"/>
      <c r="AR314" s="20">
        <f t="shared" si="115"/>
        <v>4011.4396153846155</v>
      </c>
      <c r="AS314" s="20">
        <v>750</v>
      </c>
      <c r="AT314" s="20">
        <v>0</v>
      </c>
      <c r="AU314" s="20">
        <f t="shared" si="116"/>
        <v>4761.4396153846155</v>
      </c>
      <c r="AV314" s="20">
        <f>AU48</f>
        <v>4762.3040039543812</v>
      </c>
      <c r="AW314" s="51">
        <f t="shared" si="348"/>
        <v>0</v>
      </c>
      <c r="AX314" s="51">
        <f t="shared" si="14"/>
        <v>0</v>
      </c>
      <c r="AY314" s="51">
        <f t="shared" si="15"/>
        <v>0</v>
      </c>
      <c r="AZ314" s="51">
        <f t="shared" si="16"/>
        <v>0</v>
      </c>
      <c r="BA314" s="51">
        <f t="shared" si="17"/>
        <v>0</v>
      </c>
      <c r="BB314" s="51">
        <f t="shared" si="18"/>
        <v>0</v>
      </c>
      <c r="BC314" s="51">
        <f t="shared" si="19"/>
        <v>0</v>
      </c>
      <c r="BD314" s="51">
        <f t="shared" si="20"/>
        <v>0</v>
      </c>
      <c r="BE314" s="51">
        <f t="shared" si="21"/>
        <v>0</v>
      </c>
      <c r="BF314" s="51">
        <f t="shared" si="22"/>
        <v>0</v>
      </c>
      <c r="BG314" s="51">
        <f t="shared" si="23"/>
        <v>0</v>
      </c>
      <c r="BH314" s="51">
        <f t="shared" si="24"/>
        <v>0</v>
      </c>
      <c r="BI314" s="51">
        <f t="shared" si="117"/>
        <v>0</v>
      </c>
      <c r="BJ314" s="51">
        <f t="shared" si="118"/>
        <v>0</v>
      </c>
      <c r="BK314" s="51">
        <f t="shared" si="119"/>
        <v>0</v>
      </c>
      <c r="BL314" s="51">
        <f t="shared" si="120"/>
        <v>0</v>
      </c>
      <c r="BM314" s="51">
        <f t="shared" si="121"/>
        <v>0</v>
      </c>
      <c r="BN314" s="51">
        <f t="shared" si="122"/>
        <v>0</v>
      </c>
      <c r="BO314" s="51">
        <f t="shared" si="123"/>
        <v>0</v>
      </c>
      <c r="BP314" s="51">
        <f t="shared" si="124"/>
        <v>0</v>
      </c>
      <c r="BQ314" s="51">
        <f t="shared" si="125"/>
        <v>0</v>
      </c>
      <c r="BR314" s="51">
        <f t="shared" si="126"/>
        <v>0</v>
      </c>
      <c r="BS314" s="51">
        <f t="shared" si="127"/>
        <v>0</v>
      </c>
      <c r="BT314" s="51">
        <f t="shared" si="128"/>
        <v>0</v>
      </c>
      <c r="BU314" s="20">
        <f>AVERAGE(AU58:AU314)</f>
        <v>4761.440848472098</v>
      </c>
      <c r="BV314" s="20">
        <f>AVERAGE(AU49:AU314)</f>
        <v>4761.4428218283756</v>
      </c>
      <c r="BW314" s="20">
        <f t="shared" si="130"/>
        <v>57137.275384615386</v>
      </c>
      <c r="BX314" s="20">
        <f t="shared" si="131"/>
        <v>57137.290181665172</v>
      </c>
      <c r="BY314" s="20">
        <f t="shared" si="132"/>
        <v>57137.313861940507</v>
      </c>
      <c r="BZ314" s="21">
        <f t="shared" si="133"/>
        <v>57137.29314274036</v>
      </c>
      <c r="CA314" s="19">
        <f>$BZ314/CA$11</f>
        <v>1428432.3285685091</v>
      </c>
      <c r="CB314" s="20">
        <f>AVERAGE(CA58:CA314)</f>
        <v>1428432.215940268</v>
      </c>
      <c r="CC314" s="20">
        <f>AVERAGE(CA49:CA314)</f>
        <v>1428432.6718071597</v>
      </c>
      <c r="CD314" s="20">
        <f t="shared" si="351"/>
        <v>0</v>
      </c>
      <c r="CE314" s="20">
        <f>$CC$11</f>
        <v>1400000</v>
      </c>
      <c r="CF314" s="20">
        <f t="shared" si="349"/>
        <v>3015415.2749167634</v>
      </c>
      <c r="CG314" s="20">
        <f>CA$11*CF314</f>
        <v>120616.61099667054</v>
      </c>
      <c r="CH314" s="20">
        <f t="shared" si="350"/>
        <v>10051.384249722545</v>
      </c>
      <c r="CI314" s="20">
        <f>AVERAGE(CF58:CF314)</f>
        <v>1400059.0130103712</v>
      </c>
      <c r="CJ314" s="24">
        <f t="shared" si="147"/>
        <v>2.1109964065966276</v>
      </c>
      <c r="CK314" s="24">
        <f t="shared" si="148"/>
        <v>5.3026480409436314E-3</v>
      </c>
      <c r="CL314" s="24">
        <f>(CF314-CF57)/CF57</f>
        <v>27.217252272081073</v>
      </c>
      <c r="CM314" s="25">
        <f>(CF314-CF48)/CF48</f>
        <v>23.794714217710265</v>
      </c>
      <c r="CN314" s="17"/>
      <c r="CO314" s="17"/>
      <c r="CP314" s="17"/>
      <c r="CQ314" s="17"/>
      <c r="CR314" s="17"/>
      <c r="CS314" s="17"/>
      <c r="CT314" s="17"/>
      <c r="CU314" s="17"/>
      <c r="CV314" s="17"/>
      <c r="CW314" s="30">
        <v>0</v>
      </c>
      <c r="CX314" s="17"/>
      <c r="CY314" s="17"/>
      <c r="CZ314" s="17"/>
      <c r="DA314" s="17"/>
      <c r="DB314" s="17"/>
    </row>
    <row r="315" spans="1:106" ht="15.75" thickBot="1" x14ac:dyDescent="0.3">
      <c r="D315" s="4"/>
      <c r="E315" s="30"/>
      <c r="F315" s="30"/>
      <c r="G315" s="30"/>
      <c r="H315" s="30"/>
      <c r="I315" s="14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61"/>
      <c r="Z315" s="15"/>
      <c r="AA315" s="16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6"/>
      <c r="AN315" s="75"/>
      <c r="AO315" s="26"/>
      <c r="AP315" s="22"/>
      <c r="AQ315" s="76"/>
      <c r="AR315" s="20"/>
      <c r="AS315" s="20"/>
      <c r="AT315" s="20"/>
      <c r="AU315" s="20"/>
      <c r="AV315" s="20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20"/>
      <c r="BV315" s="20"/>
      <c r="BW315" s="20"/>
      <c r="BX315" s="20"/>
      <c r="BY315" s="20"/>
      <c r="BZ315" s="21"/>
      <c r="CA315" s="26"/>
      <c r="CB315" s="22"/>
      <c r="CC315" s="22"/>
      <c r="CD315" s="22"/>
      <c r="CE315" s="22"/>
      <c r="CF315" s="22"/>
      <c r="CG315" s="20"/>
      <c r="CH315" s="20"/>
      <c r="CI315" s="20"/>
      <c r="CJ315" s="27"/>
      <c r="CK315" s="27"/>
      <c r="CL315" s="27"/>
      <c r="CM315" s="28"/>
      <c r="CN315" s="17"/>
      <c r="CO315" s="17"/>
      <c r="CP315" s="17"/>
      <c r="CQ315" s="17"/>
      <c r="CR315" s="17"/>
      <c r="CS315" s="17"/>
      <c r="CT315" s="17"/>
      <c r="CU315" s="17"/>
      <c r="CV315" s="17"/>
      <c r="CW315" s="30">
        <v>0</v>
      </c>
      <c r="CX315" s="17"/>
      <c r="CY315" s="17"/>
      <c r="CZ315" s="17"/>
      <c r="DA315" s="17"/>
      <c r="DB315" s="17"/>
    </row>
    <row r="316" spans="1:106" s="44" customFormat="1" ht="15.75" thickBot="1" x14ac:dyDescent="0.3">
      <c r="D316" s="31"/>
      <c r="E316" s="31"/>
      <c r="F316" s="32"/>
      <c r="G316" s="32"/>
      <c r="H316" s="32"/>
      <c r="I316" s="33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5"/>
      <c r="AB316" s="33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6"/>
      <c r="AN316" s="37"/>
      <c r="AO316" s="73"/>
      <c r="AP316" s="73"/>
      <c r="AQ316" s="73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9"/>
      <c r="CA316" s="40"/>
      <c r="CB316" s="38"/>
      <c r="CC316" s="38"/>
      <c r="CD316" s="38"/>
      <c r="CE316" s="38"/>
      <c r="CF316" s="38"/>
      <c r="CG316" s="38"/>
      <c r="CH316" s="38"/>
      <c r="CI316" s="38"/>
      <c r="CJ316" s="41"/>
      <c r="CK316" s="41"/>
      <c r="CL316" s="41"/>
      <c r="CM316" s="42"/>
      <c r="CN316" s="43"/>
      <c r="CO316" s="43"/>
      <c r="CP316" s="43"/>
      <c r="CQ316" s="43"/>
      <c r="CR316" s="43"/>
      <c r="CS316" s="43"/>
      <c r="CT316" s="43"/>
      <c r="CU316" s="43"/>
      <c r="CV316" s="43"/>
      <c r="CW316" s="32"/>
      <c r="CX316" s="43"/>
      <c r="CY316" s="43"/>
      <c r="CZ316" s="43"/>
      <c r="DA316" s="43"/>
      <c r="DB316" s="43"/>
    </row>
    <row r="317" spans="1:106" s="46" customFormat="1" ht="60.75" x14ac:dyDescent="0.25">
      <c r="D317" s="5" t="s">
        <v>112</v>
      </c>
      <c r="E317" s="5"/>
      <c r="F317" s="5"/>
      <c r="G317" s="5"/>
      <c r="H317" s="5"/>
      <c r="I317" s="47" t="s">
        <v>60</v>
      </c>
      <c r="J317" s="47" t="s">
        <v>61</v>
      </c>
      <c r="K317" s="47" t="s">
        <v>126</v>
      </c>
      <c r="L317" s="47" t="s">
        <v>56</v>
      </c>
      <c r="M317" s="47" t="s">
        <v>126</v>
      </c>
      <c r="N317" s="47" t="s">
        <v>55</v>
      </c>
      <c r="O317" s="47" t="s">
        <v>60</v>
      </c>
      <c r="P317" s="47" t="s">
        <v>60</v>
      </c>
      <c r="Q317" s="47"/>
      <c r="R317" s="47"/>
      <c r="S317" s="47"/>
      <c r="T317" s="47"/>
      <c r="U317" s="47"/>
      <c r="V317" s="47"/>
      <c r="W317" s="47"/>
      <c r="X317" s="47" t="s">
        <v>60</v>
      </c>
      <c r="Y317" s="47" t="s">
        <v>59</v>
      </c>
      <c r="Z317" s="47"/>
      <c r="AA317" s="48"/>
      <c r="AB317" s="47" t="s">
        <v>57</v>
      </c>
      <c r="AC317" s="47" t="s">
        <v>57</v>
      </c>
      <c r="AD317" s="47" t="s">
        <v>57</v>
      </c>
      <c r="AE317" s="47" t="s">
        <v>57</v>
      </c>
      <c r="AF317" s="47"/>
      <c r="AG317" s="47" t="s">
        <v>57</v>
      </c>
      <c r="AH317" s="47" t="s">
        <v>58</v>
      </c>
      <c r="AI317" s="47" t="s">
        <v>58</v>
      </c>
      <c r="AJ317" s="47" t="s">
        <v>58</v>
      </c>
      <c r="AK317" s="47" t="s">
        <v>58</v>
      </c>
      <c r="AL317" s="47"/>
      <c r="AM317" s="49"/>
      <c r="AN317" s="49"/>
      <c r="AO317" s="49"/>
      <c r="AP317" s="49"/>
      <c r="AQ317" s="49"/>
      <c r="AW317" s="52">
        <f t="shared" ref="AW317:BT317" si="359">SUM(AW14:AW315)</f>
        <v>2</v>
      </c>
      <c r="AX317" s="52">
        <f t="shared" si="359"/>
        <v>2</v>
      </c>
      <c r="AY317" s="52">
        <f t="shared" si="359"/>
        <v>2</v>
      </c>
      <c r="AZ317" s="52">
        <f t="shared" si="359"/>
        <v>1</v>
      </c>
      <c r="BA317" s="52">
        <f t="shared" si="359"/>
        <v>1</v>
      </c>
      <c r="BB317" s="52">
        <f t="shared" si="359"/>
        <v>1</v>
      </c>
      <c r="BC317" s="52">
        <f t="shared" si="359"/>
        <v>1</v>
      </c>
      <c r="BD317" s="52">
        <f t="shared" si="359"/>
        <v>1</v>
      </c>
      <c r="BE317" s="52">
        <f t="shared" si="359"/>
        <v>1</v>
      </c>
      <c r="BF317" s="52">
        <f t="shared" si="359"/>
        <v>2</v>
      </c>
      <c r="BG317" s="52">
        <f t="shared" si="359"/>
        <v>2</v>
      </c>
      <c r="BH317" s="52">
        <f t="shared" si="359"/>
        <v>2</v>
      </c>
      <c r="BI317" s="52">
        <f t="shared" si="359"/>
        <v>7239.5800000000008</v>
      </c>
      <c r="BJ317" s="52">
        <f t="shared" si="359"/>
        <v>8572.0300000000007</v>
      </c>
      <c r="BK317" s="52">
        <f t="shared" si="359"/>
        <v>5483.7641666666668</v>
      </c>
      <c r="BL317" s="52">
        <f t="shared" si="359"/>
        <v>2893.73</v>
      </c>
      <c r="BM317" s="52">
        <f t="shared" si="359"/>
        <v>1973.96</v>
      </c>
      <c r="BN317" s="52">
        <f t="shared" si="359"/>
        <v>3019.61</v>
      </c>
      <c r="BO317" s="52">
        <f t="shared" si="359"/>
        <v>4752.0200000000004</v>
      </c>
      <c r="BP317" s="52">
        <f t="shared" si="359"/>
        <v>5406.63</v>
      </c>
      <c r="BQ317" s="52">
        <f t="shared" si="359"/>
        <v>5955.16</v>
      </c>
      <c r="BR317" s="52">
        <f t="shared" si="359"/>
        <v>9346.89</v>
      </c>
      <c r="BS317" s="52">
        <f t="shared" si="359"/>
        <v>8018.09</v>
      </c>
      <c r="BT317" s="52">
        <f t="shared" si="359"/>
        <v>6760.0099999999993</v>
      </c>
      <c r="CW317" s="5"/>
    </row>
    <row r="318" spans="1:106" x14ac:dyDescent="0.25"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6"/>
      <c r="AB318" s="2" t="s">
        <v>62</v>
      </c>
      <c r="AC318" s="2"/>
      <c r="AD318" s="2"/>
      <c r="AE318" s="2"/>
      <c r="AF318" s="2"/>
      <c r="AG318" s="2"/>
      <c r="AH318" s="2"/>
      <c r="AI318" s="2"/>
      <c r="AW318" s="53">
        <f>BI317/AW317</f>
        <v>3619.7900000000004</v>
      </c>
      <c r="AX318" s="53">
        <f t="shared" ref="AX318:BH318" si="360">BJ317/AX317</f>
        <v>4286.0150000000003</v>
      </c>
      <c r="AY318" s="53">
        <f t="shared" si="360"/>
        <v>2741.8820833333334</v>
      </c>
      <c r="AZ318" s="53">
        <f t="shared" si="360"/>
        <v>2893.73</v>
      </c>
      <c r="BA318" s="53">
        <f t="shared" si="360"/>
        <v>1973.96</v>
      </c>
      <c r="BB318" s="53">
        <f t="shared" si="360"/>
        <v>3019.61</v>
      </c>
      <c r="BC318" s="53">
        <f t="shared" si="360"/>
        <v>4752.0200000000004</v>
      </c>
      <c r="BD318" s="53">
        <f t="shared" si="360"/>
        <v>5406.63</v>
      </c>
      <c r="BE318" s="53">
        <f t="shared" si="360"/>
        <v>5955.16</v>
      </c>
      <c r="BF318" s="53">
        <f t="shared" si="360"/>
        <v>4673.4449999999997</v>
      </c>
      <c r="BG318" s="53">
        <f t="shared" si="360"/>
        <v>4009.0450000000001</v>
      </c>
      <c r="BH318" s="53">
        <f t="shared" si="360"/>
        <v>3380.0049999999997</v>
      </c>
    </row>
    <row r="319" spans="1:106" x14ac:dyDescent="0.25"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6"/>
      <c r="AB319" s="2"/>
      <c r="AC319" s="2"/>
      <c r="AD319" s="2"/>
      <c r="AE319" s="2"/>
      <c r="AF319" s="2"/>
      <c r="AG319" s="2"/>
      <c r="AH319" s="2"/>
      <c r="AI319" s="2"/>
      <c r="AR319" s="54" t="s">
        <v>130</v>
      </c>
    </row>
    <row r="320" spans="1:106" ht="75" x14ac:dyDescent="0.25"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6"/>
      <c r="AB320" s="2"/>
      <c r="AC320" s="2"/>
      <c r="AD320" s="2"/>
      <c r="AE320" s="2"/>
      <c r="AF320" s="2"/>
      <c r="AG320" s="2"/>
      <c r="AH320" s="2"/>
      <c r="AI320" s="2"/>
      <c r="AR320" s="46" t="s">
        <v>108</v>
      </c>
      <c r="AS320" s="46" t="s">
        <v>109</v>
      </c>
      <c r="AT320" s="46" t="s">
        <v>110</v>
      </c>
    </row>
    <row r="321" spans="4:101" x14ac:dyDescent="0.25">
      <c r="I321" s="2"/>
      <c r="J321" s="2" t="s">
        <v>63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6"/>
      <c r="AB321" s="2"/>
      <c r="AC321" s="2"/>
      <c r="AD321" s="2"/>
      <c r="AE321" s="2"/>
      <c r="AF321" s="2"/>
      <c r="AG321" s="2"/>
      <c r="AH321" s="2"/>
      <c r="AI321" s="2"/>
      <c r="AN321" t="s">
        <v>79</v>
      </c>
      <c r="AR321" s="53">
        <f>AW318</f>
        <v>3619.7900000000004</v>
      </c>
      <c r="AS321" s="53">
        <f>SUM(AR$321:AR$332)/12</f>
        <v>3892.6076736111113</v>
      </c>
      <c r="AT321" s="53">
        <f>BW321*2 + (2*BW321)/12 + BW322</f>
        <v>3765.8050000000003</v>
      </c>
      <c r="AU321">
        <f>AT321*12</f>
        <v>45189.66</v>
      </c>
      <c r="AV321">
        <f>AU321*25</f>
        <v>1129741.5</v>
      </c>
      <c r="BV321" t="s">
        <v>111</v>
      </c>
      <c r="BW321">
        <v>1691.91</v>
      </c>
    </row>
    <row r="322" spans="4:101" x14ac:dyDescent="0.25">
      <c r="I322" s="2"/>
      <c r="J322" s="2" t="s">
        <v>64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6"/>
      <c r="AB322" s="2"/>
      <c r="AC322" s="2"/>
      <c r="AD322" s="2"/>
      <c r="AE322" s="2"/>
      <c r="AF322" s="2"/>
      <c r="AG322" s="2"/>
      <c r="AH322" s="2"/>
      <c r="AI322" s="2"/>
      <c r="AN322" t="s">
        <v>80</v>
      </c>
      <c r="AR322" s="53">
        <f>AX318</f>
        <v>4286.0150000000003</v>
      </c>
      <c r="AS322" s="53">
        <f t="shared" ref="AS322:AS344" si="361">SUM(AR$321:AR$332)/12</f>
        <v>3892.6076736111113</v>
      </c>
      <c r="AT322" s="53">
        <f>AT321</f>
        <v>3765.8050000000003</v>
      </c>
      <c r="BV322" t="s">
        <v>114</v>
      </c>
      <c r="BW322">
        <v>100</v>
      </c>
    </row>
    <row r="323" spans="4:101" x14ac:dyDescent="0.25">
      <c r="I323" s="2"/>
      <c r="J323" s="2" t="s">
        <v>65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6"/>
      <c r="AB323" s="2"/>
      <c r="AC323" s="2"/>
      <c r="AD323" s="2"/>
      <c r="AE323" s="2"/>
      <c r="AF323" s="2"/>
      <c r="AG323" s="2"/>
      <c r="AH323" s="2"/>
      <c r="AI323" s="2"/>
      <c r="AN323" t="s">
        <v>81</v>
      </c>
      <c r="AR323" s="53">
        <f>AY318</f>
        <v>2741.8820833333334</v>
      </c>
      <c r="AS323" s="53">
        <f t="shared" si="361"/>
        <v>3892.6076736111113</v>
      </c>
      <c r="AT323" s="53">
        <f t="shared" ref="AT323:AT344" si="362">AT322</f>
        <v>3765.8050000000003</v>
      </c>
    </row>
    <row r="324" spans="4:101" x14ac:dyDescent="0.25">
      <c r="I324" s="2"/>
      <c r="J324" s="2" t="s">
        <v>127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6"/>
      <c r="AB324" s="2"/>
      <c r="AC324" s="2"/>
      <c r="AD324" s="2"/>
      <c r="AE324" s="2"/>
      <c r="AF324" s="2"/>
      <c r="AG324" s="2"/>
      <c r="AH324" s="2"/>
      <c r="AI324" s="2"/>
      <c r="AN324" t="s">
        <v>82</v>
      </c>
      <c r="AR324" s="53">
        <f>AZ318</f>
        <v>2893.73</v>
      </c>
      <c r="AS324" s="53">
        <f t="shared" si="361"/>
        <v>3892.6076736111113</v>
      </c>
      <c r="AT324" s="53">
        <f t="shared" si="362"/>
        <v>3765.8050000000003</v>
      </c>
    </row>
    <row r="325" spans="4:101" x14ac:dyDescent="0.25">
      <c r="D325" s="5"/>
      <c r="E325" s="5"/>
      <c r="F325" s="5"/>
      <c r="G325" s="5"/>
      <c r="H325" s="5"/>
      <c r="J325" s="2" t="s">
        <v>128</v>
      </c>
      <c r="AN325" t="s">
        <v>83</v>
      </c>
      <c r="AR325" s="53">
        <f>BA318</f>
        <v>1973.96</v>
      </c>
      <c r="AS325" s="53">
        <f t="shared" si="361"/>
        <v>3892.6076736111113</v>
      </c>
      <c r="AT325" s="53">
        <f t="shared" si="362"/>
        <v>3765.8050000000003</v>
      </c>
      <c r="CW325" s="5"/>
    </row>
    <row r="326" spans="4:101" x14ac:dyDescent="0.25">
      <c r="D326" s="4"/>
      <c r="E326" s="4"/>
      <c r="F326" s="4"/>
      <c r="G326" s="4"/>
      <c r="H326" s="4"/>
      <c r="J326" s="2" t="s">
        <v>129</v>
      </c>
      <c r="AN326" t="s">
        <v>84</v>
      </c>
      <c r="AR326" s="53">
        <f>BB318</f>
        <v>3019.61</v>
      </c>
      <c r="AS326" s="53">
        <f t="shared" si="361"/>
        <v>3892.6076736111113</v>
      </c>
      <c r="AT326" s="53">
        <f t="shared" si="362"/>
        <v>3765.8050000000003</v>
      </c>
      <c r="CW326" s="4"/>
    </row>
    <row r="327" spans="4:101" x14ac:dyDescent="0.25">
      <c r="D327" s="4"/>
      <c r="E327" s="4"/>
      <c r="F327" s="4"/>
      <c r="G327" s="4"/>
      <c r="H327" s="4"/>
      <c r="AN327" t="s">
        <v>85</v>
      </c>
      <c r="AR327" s="53">
        <f>BC318</f>
        <v>4752.0200000000004</v>
      </c>
      <c r="AS327" s="53">
        <f t="shared" si="361"/>
        <v>3892.6076736111113</v>
      </c>
      <c r="AT327" s="53">
        <f t="shared" si="362"/>
        <v>3765.8050000000003</v>
      </c>
      <c r="CW327" s="4"/>
    </row>
    <row r="328" spans="4:101" x14ac:dyDescent="0.25">
      <c r="D328" s="4"/>
      <c r="E328" s="4"/>
      <c r="F328" s="4"/>
      <c r="G328" s="4"/>
      <c r="H328" s="4"/>
      <c r="AN328" t="s">
        <v>86</v>
      </c>
      <c r="AR328" s="53">
        <f>BD318</f>
        <v>5406.63</v>
      </c>
      <c r="AS328" s="53">
        <f t="shared" si="361"/>
        <v>3892.6076736111113</v>
      </c>
      <c r="AT328" s="53">
        <f t="shared" si="362"/>
        <v>3765.8050000000003</v>
      </c>
      <c r="CW328" s="4"/>
    </row>
    <row r="329" spans="4:101" x14ac:dyDescent="0.25">
      <c r="D329" s="4"/>
      <c r="E329" s="4"/>
      <c r="F329" s="4"/>
      <c r="G329" s="4"/>
      <c r="H329" s="4"/>
      <c r="AN329" t="s">
        <v>87</v>
      </c>
      <c r="AR329" s="53">
        <f>BE318</f>
        <v>5955.16</v>
      </c>
      <c r="AS329" s="53">
        <f t="shared" si="361"/>
        <v>3892.6076736111113</v>
      </c>
      <c r="AT329" s="53">
        <f t="shared" si="362"/>
        <v>3765.8050000000003</v>
      </c>
      <c r="CW329" s="4"/>
    </row>
    <row r="330" spans="4:101" x14ac:dyDescent="0.25">
      <c r="D330" s="4"/>
      <c r="E330" s="4"/>
      <c r="F330" s="4"/>
      <c r="G330" s="4"/>
      <c r="H330" s="4"/>
      <c r="J330" t="s">
        <v>141</v>
      </c>
      <c r="AN330" t="s">
        <v>88</v>
      </c>
      <c r="AR330" s="53">
        <f>BF318</f>
        <v>4673.4449999999997</v>
      </c>
      <c r="AS330" s="53">
        <f t="shared" si="361"/>
        <v>3892.6076736111113</v>
      </c>
      <c r="AT330" s="53">
        <f t="shared" si="362"/>
        <v>3765.8050000000003</v>
      </c>
      <c r="CW330" s="4"/>
    </row>
    <row r="331" spans="4:101" x14ac:dyDescent="0.25">
      <c r="D331" s="4"/>
      <c r="E331" s="4"/>
      <c r="F331" s="4"/>
      <c r="G331" s="4"/>
      <c r="H331" s="4"/>
      <c r="J331" t="s">
        <v>142</v>
      </c>
      <c r="AN331" t="s">
        <v>89</v>
      </c>
      <c r="AR331" s="53">
        <f>BG318</f>
        <v>4009.0450000000001</v>
      </c>
      <c r="AS331" s="53">
        <f t="shared" si="361"/>
        <v>3892.6076736111113</v>
      </c>
      <c r="AT331" s="53">
        <f t="shared" si="362"/>
        <v>3765.8050000000003</v>
      </c>
      <c r="CW331" s="4"/>
    </row>
    <row r="332" spans="4:101" x14ac:dyDescent="0.25">
      <c r="D332" s="4"/>
      <c r="E332" s="4"/>
      <c r="F332" s="4"/>
      <c r="G332" s="4"/>
      <c r="H332" s="4"/>
      <c r="J332" t="s">
        <v>145</v>
      </c>
      <c r="AN332" t="s">
        <v>90</v>
      </c>
      <c r="AR332" s="53">
        <f>BH318</f>
        <v>3380.0049999999997</v>
      </c>
      <c r="AS332" s="53">
        <f t="shared" si="361"/>
        <v>3892.6076736111113</v>
      </c>
      <c r="AT332" s="53">
        <f t="shared" si="362"/>
        <v>3765.8050000000003</v>
      </c>
      <c r="CW332" s="4"/>
    </row>
    <row r="333" spans="4:101" x14ac:dyDescent="0.25">
      <c r="D333" s="4"/>
      <c r="E333" s="4"/>
      <c r="F333" s="4"/>
      <c r="G333" s="4"/>
      <c r="H333" s="4"/>
      <c r="AN333" t="s">
        <v>79</v>
      </c>
      <c r="AR333" s="53">
        <f>AR321</f>
        <v>3619.7900000000004</v>
      </c>
      <c r="AS333" s="53">
        <f t="shared" si="361"/>
        <v>3892.6076736111113</v>
      </c>
      <c r="AT333" s="53">
        <f t="shared" si="362"/>
        <v>3765.8050000000003</v>
      </c>
      <c r="CW333" s="4"/>
    </row>
    <row r="334" spans="4:101" x14ac:dyDescent="0.25">
      <c r="D334" s="4"/>
      <c r="E334" s="4"/>
      <c r="F334" s="4"/>
      <c r="G334" s="4"/>
      <c r="H334" s="4"/>
      <c r="AN334" t="s">
        <v>80</v>
      </c>
      <c r="AR334" s="53">
        <f t="shared" ref="AR334:AR344" si="363">AR322</f>
        <v>4286.0150000000003</v>
      </c>
      <c r="AS334" s="53">
        <f t="shared" si="361"/>
        <v>3892.6076736111113</v>
      </c>
      <c r="AT334" s="53">
        <f t="shared" si="362"/>
        <v>3765.8050000000003</v>
      </c>
      <c r="CW334" s="4"/>
    </row>
    <row r="335" spans="4:101" x14ac:dyDescent="0.25">
      <c r="D335" s="4"/>
      <c r="E335" s="4"/>
      <c r="F335" s="4"/>
      <c r="G335" s="4"/>
      <c r="H335" s="4"/>
      <c r="AN335" t="s">
        <v>81</v>
      </c>
      <c r="AR335" s="53">
        <f t="shared" si="363"/>
        <v>2741.8820833333334</v>
      </c>
      <c r="AS335" s="53">
        <f t="shared" si="361"/>
        <v>3892.6076736111113</v>
      </c>
      <c r="AT335" s="53">
        <f t="shared" si="362"/>
        <v>3765.8050000000003</v>
      </c>
      <c r="CW335" s="4"/>
    </row>
    <row r="336" spans="4:101" x14ac:dyDescent="0.25">
      <c r="D336" s="4"/>
      <c r="E336" s="4"/>
      <c r="F336" s="4"/>
      <c r="G336" s="4"/>
      <c r="H336" s="4"/>
      <c r="AN336" t="s">
        <v>82</v>
      </c>
      <c r="AR336" s="53">
        <f t="shared" si="363"/>
        <v>2893.73</v>
      </c>
      <c r="AS336" s="53">
        <f t="shared" si="361"/>
        <v>3892.6076736111113</v>
      </c>
      <c r="AT336" s="53">
        <f t="shared" si="362"/>
        <v>3765.8050000000003</v>
      </c>
      <c r="CW336" s="4"/>
    </row>
    <row r="337" spans="4:101" x14ac:dyDescent="0.25">
      <c r="D337" s="4"/>
      <c r="E337" s="4"/>
      <c r="F337" s="4"/>
      <c r="G337" s="4"/>
      <c r="H337" s="4"/>
      <c r="AN337" t="s">
        <v>83</v>
      </c>
      <c r="AR337" s="53">
        <f t="shared" si="363"/>
        <v>1973.96</v>
      </c>
      <c r="AS337" s="53">
        <f t="shared" si="361"/>
        <v>3892.6076736111113</v>
      </c>
      <c r="AT337" s="53">
        <f t="shared" si="362"/>
        <v>3765.8050000000003</v>
      </c>
      <c r="CW337" s="4"/>
    </row>
    <row r="338" spans="4:101" x14ac:dyDescent="0.25">
      <c r="D338" s="4"/>
      <c r="E338" s="4"/>
      <c r="F338" s="4"/>
      <c r="G338" s="4"/>
      <c r="H338" s="4"/>
      <c r="AN338" t="s">
        <v>84</v>
      </c>
      <c r="AR338" s="53">
        <f t="shared" si="363"/>
        <v>3019.61</v>
      </c>
      <c r="AS338" s="53">
        <f t="shared" si="361"/>
        <v>3892.6076736111113</v>
      </c>
      <c r="AT338" s="53">
        <f t="shared" si="362"/>
        <v>3765.8050000000003</v>
      </c>
      <c r="CW338" s="4"/>
    </row>
    <row r="339" spans="4:101" x14ac:dyDescent="0.25">
      <c r="D339" s="4"/>
      <c r="E339" s="4"/>
      <c r="F339" s="4"/>
      <c r="G339" s="4"/>
      <c r="H339" s="4"/>
      <c r="AN339" t="s">
        <v>85</v>
      </c>
      <c r="AR339" s="53">
        <f t="shared" si="363"/>
        <v>4752.0200000000004</v>
      </c>
      <c r="AS339" s="53">
        <f t="shared" si="361"/>
        <v>3892.6076736111113</v>
      </c>
      <c r="AT339" s="53">
        <f t="shared" si="362"/>
        <v>3765.8050000000003</v>
      </c>
      <c r="CW339" s="4"/>
    </row>
    <row r="340" spans="4:101" x14ac:dyDescent="0.25">
      <c r="D340" s="4"/>
      <c r="E340" s="4"/>
      <c r="F340" s="4"/>
      <c r="G340" s="4"/>
      <c r="H340" s="4"/>
      <c r="AN340" t="s">
        <v>86</v>
      </c>
      <c r="AR340" s="53">
        <f t="shared" si="363"/>
        <v>5406.63</v>
      </c>
      <c r="AS340" s="53">
        <f t="shared" si="361"/>
        <v>3892.6076736111113</v>
      </c>
      <c r="AT340" s="53">
        <f t="shared" si="362"/>
        <v>3765.8050000000003</v>
      </c>
      <c r="CW340" s="4"/>
    </row>
    <row r="341" spans="4:101" x14ac:dyDescent="0.25">
      <c r="D341" s="4"/>
      <c r="E341" s="4"/>
      <c r="F341" s="4"/>
      <c r="G341" s="4"/>
      <c r="H341" s="4"/>
      <c r="AN341" t="s">
        <v>87</v>
      </c>
      <c r="AR341" s="53">
        <f t="shared" si="363"/>
        <v>5955.16</v>
      </c>
      <c r="AS341" s="53">
        <f t="shared" si="361"/>
        <v>3892.6076736111113</v>
      </c>
      <c r="AT341" s="53">
        <f t="shared" si="362"/>
        <v>3765.8050000000003</v>
      </c>
      <c r="CW341" s="4"/>
    </row>
    <row r="342" spans="4:101" x14ac:dyDescent="0.25">
      <c r="D342" s="4"/>
      <c r="E342" s="4"/>
      <c r="F342" s="4"/>
      <c r="G342" s="4"/>
      <c r="H342" s="4"/>
      <c r="AN342" t="s">
        <v>88</v>
      </c>
      <c r="AR342" s="53">
        <f t="shared" si="363"/>
        <v>4673.4449999999997</v>
      </c>
      <c r="AS342" s="53">
        <f t="shared" si="361"/>
        <v>3892.6076736111113</v>
      </c>
      <c r="AT342" s="53">
        <f t="shared" si="362"/>
        <v>3765.8050000000003</v>
      </c>
      <c r="CW342" s="4"/>
    </row>
    <row r="343" spans="4:101" x14ac:dyDescent="0.25"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6"/>
      <c r="AN343" t="s">
        <v>89</v>
      </c>
      <c r="AR343" s="53">
        <f t="shared" si="363"/>
        <v>4009.0450000000001</v>
      </c>
      <c r="AS343" s="53">
        <f t="shared" si="361"/>
        <v>3892.6076736111113</v>
      </c>
      <c r="AT343" s="53">
        <f t="shared" si="362"/>
        <v>3765.8050000000003</v>
      </c>
    </row>
    <row r="344" spans="4:101" x14ac:dyDescent="0.25">
      <c r="AN344" t="s">
        <v>90</v>
      </c>
      <c r="AR344" s="53">
        <f t="shared" si="363"/>
        <v>3380.0049999999997</v>
      </c>
      <c r="AS344" s="53">
        <f t="shared" si="361"/>
        <v>3892.6076736111113</v>
      </c>
      <c r="AT344" s="53">
        <f t="shared" si="362"/>
        <v>3765.8050000000003</v>
      </c>
    </row>
  </sheetData>
  <mergeCells count="6">
    <mergeCell ref="CA12:CM12"/>
    <mergeCell ref="D5:D10"/>
    <mergeCell ref="I12:AA12"/>
    <mergeCell ref="AB12:AM12"/>
    <mergeCell ref="AN12:AN13"/>
    <mergeCell ref="AR12:BZ12"/>
  </mergeCells>
  <conditionalFormatting sqref="BV20:BW21 BV18:BV19 BY20:CA21 BY18:BY19 CM18:CV22 BV22:CA22 BU16:BU22 BW14:BW19 BX16:BX21 BZ14:CA19 CB16:CB25 CF14:CI14 CJ14:CJ21 CK15:CK21 CL17:CL22 CC18:CE31 N19:R19 N18:O18 Q18:R18 V18:V19 T24:V25 T27:V28 T21:V22 I23:V23 I26:V26 I21:R22 I24:R25 I29:V29 I27:R28 I20:V20 I18:L19 BU23:CA25 BU32:CE32 BU26:CB31 AM14:BT14 AW15:BT32 AV26:AV29 CJ23:CV32 CJ22:CK22 D14:H31 AN32:AN33 AN15:AV17 AM15:AM33 AA14:AA33 M34:M38 Z33 Z315:CV315 L33:M33 AJ33:AL33 AJ34:AN35 AJ36:AM36 E32:V32 CW18:CX26 DE18:XFD26 M58:M314 AM37:AM314 L34:L314 AR18:AV26 AR27:AU29 AN18:AQ31 AR30:AV32 AN36:AN314 T30:V31 W18:Z32 AO32:AQ314 D315:X315 Z34:AA314 AJ37:AL312 AR33:CE314 E33:K314 CW27:XFD315 Y33:Y315 CI33:CV314 CI15:CI32 CF15:CH314 N33:X314 I30:R31 AB18:AE314 AG313:AL314 AG33:AI312 AG18:AL32 D29:D314">
    <cfRule type="expression" dxfId="0" priority="24">
      <formula>$F14&gt;0</formula>
    </cfRule>
  </conditionalFormatting>
  <conditionalFormatting sqref="M18:M19">
    <cfRule type="expression" dxfId="35" priority="23">
      <formula>$F18&gt;0</formula>
    </cfRule>
  </conditionalFormatting>
  <conditionalFormatting sqref="S30:S31">
    <cfRule type="expression" dxfId="34" priority="13">
      <formula>$F30&gt;0</formula>
    </cfRule>
  </conditionalFormatting>
  <conditionalFormatting sqref="M15:M16">
    <cfRule type="expression" dxfId="33" priority="22">
      <formula>$F15&gt;0</formula>
    </cfRule>
  </conditionalFormatting>
  <conditionalFormatting sqref="O15:O16">
    <cfRule type="expression" dxfId="32" priority="21">
      <formula>$F15&gt;0</formula>
    </cfRule>
  </conditionalFormatting>
  <conditionalFormatting sqref="T15:U16">
    <cfRule type="expression" dxfId="31" priority="20">
      <formula>$F15&gt;0</formula>
    </cfRule>
  </conditionalFormatting>
  <conditionalFormatting sqref="T18:U19">
    <cfRule type="expression" dxfId="30" priority="19">
      <formula>$F18&gt;0</formula>
    </cfRule>
  </conditionalFormatting>
  <conditionalFormatting sqref="S15:S16">
    <cfRule type="expression" dxfId="29" priority="18">
      <formula>$F15&gt;0</formula>
    </cfRule>
  </conditionalFormatting>
  <conditionalFormatting sqref="S18:S19">
    <cfRule type="expression" dxfId="28" priority="17">
      <formula>$F18&gt;0</formula>
    </cfRule>
  </conditionalFormatting>
  <conditionalFormatting sqref="S21:S22">
    <cfRule type="expression" dxfId="27" priority="16">
      <formula>$F21&gt;0</formula>
    </cfRule>
  </conditionalFormatting>
  <conditionalFormatting sqref="S24:S25">
    <cfRule type="expression" dxfId="26" priority="15">
      <formula>$F24&gt;0</formula>
    </cfRule>
  </conditionalFormatting>
  <conditionalFormatting sqref="S27:S28">
    <cfRule type="expression" dxfId="25" priority="14">
      <formula>$F27&gt;0</formula>
    </cfRule>
  </conditionalFormatting>
  <conditionalFormatting sqref="M39:M41">
    <cfRule type="expression" dxfId="24" priority="12">
      <formula>$F39&gt;0</formula>
    </cfRule>
  </conditionalFormatting>
  <conditionalFormatting sqref="M42:M43">
    <cfRule type="expression" dxfId="23" priority="11">
      <formula>$F42&gt;0</formula>
    </cfRule>
  </conditionalFormatting>
  <conditionalFormatting sqref="M56:M57">
    <cfRule type="expression" dxfId="22" priority="10">
      <formula>$F56&gt;0</formula>
    </cfRule>
  </conditionalFormatting>
  <conditionalFormatting sqref="M46:M47">
    <cfRule type="expression" dxfId="21" priority="9">
      <formula>$F46&gt;0</formula>
    </cfRule>
  </conditionalFormatting>
  <conditionalFormatting sqref="M44:M45">
    <cfRule type="expression" dxfId="20" priority="8">
      <formula>$F44&gt;0</formula>
    </cfRule>
  </conditionalFormatting>
  <conditionalFormatting sqref="M50:M51">
    <cfRule type="expression" dxfId="19" priority="7">
      <formula>$F50&gt;0</formula>
    </cfRule>
  </conditionalFormatting>
  <conditionalFormatting sqref="M48:M49">
    <cfRule type="expression" dxfId="18" priority="6">
      <formula>$F48&gt;0</formula>
    </cfRule>
  </conditionalFormatting>
  <conditionalFormatting sqref="M54:M55">
    <cfRule type="expression" dxfId="17" priority="5">
      <formula>$F54&gt;0</formula>
    </cfRule>
  </conditionalFormatting>
  <conditionalFormatting sqref="M52:M53">
    <cfRule type="expression" dxfId="16" priority="4">
      <formula>$F52&gt;0</formula>
    </cfRule>
  </conditionalFormatting>
  <conditionalFormatting sqref="AF23:AF314">
    <cfRule type="expression" dxfId="15" priority="1">
      <formula>$F23&gt;0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F1:BK22"/>
  <sheetViews>
    <sheetView tabSelected="1" topLeftCell="AE1" zoomScale="85" zoomScaleNormal="85" workbookViewId="0">
      <selection activeCell="BH21" sqref="BH21"/>
    </sheetView>
  </sheetViews>
  <sheetFormatPr defaultRowHeight="15" x14ac:dyDescent="0.25"/>
  <cols>
    <col min="58" max="58" width="12.5703125" bestFit="1" customWidth="1"/>
    <col min="60" max="60" width="12.7109375" bestFit="1" customWidth="1"/>
    <col min="61" max="61" width="10.28515625" bestFit="1" customWidth="1"/>
  </cols>
  <sheetData>
    <row r="1" spans="58:63" x14ac:dyDescent="0.25">
      <c r="BF1">
        <v>1</v>
      </c>
    </row>
    <row r="2" spans="58:63" x14ac:dyDescent="0.25">
      <c r="BF2" t="s">
        <v>206</v>
      </c>
      <c r="BG2" s="1">
        <f ca="1">TODAY()</f>
        <v>43168</v>
      </c>
      <c r="BH2">
        <v>0</v>
      </c>
    </row>
    <row r="3" spans="58:63" x14ac:dyDescent="0.25">
      <c r="BG3" s="1">
        <f ca="1">BG2</f>
        <v>43168</v>
      </c>
      <c r="BH3">
        <v>5000000</v>
      </c>
    </row>
    <row r="7" spans="58:63" x14ac:dyDescent="0.25">
      <c r="BF7" t="s">
        <v>208</v>
      </c>
    </row>
    <row r="8" spans="58:63" x14ac:dyDescent="0.25">
      <c r="BF8" t="s">
        <v>209</v>
      </c>
      <c r="BG8" t="s">
        <v>210</v>
      </c>
      <c r="BH8" t="s">
        <v>46</v>
      </c>
      <c r="BI8" t="s">
        <v>212</v>
      </c>
      <c r="BJ8" t="s">
        <v>211</v>
      </c>
    </row>
    <row r="9" spans="58:63" x14ac:dyDescent="0.25">
      <c r="BF9" s="1">
        <v>43168</v>
      </c>
      <c r="BG9" s="1">
        <v>48030</v>
      </c>
      <c r="BH9" s="57">
        <v>1400000</v>
      </c>
      <c r="BI9" s="57">
        <f>BH9*4%</f>
        <v>56000</v>
      </c>
      <c r="BJ9" t="s">
        <v>213</v>
      </c>
      <c r="BK9" t="s">
        <v>218</v>
      </c>
    </row>
    <row r="17" spans="59:62" x14ac:dyDescent="0.25">
      <c r="BH17">
        <f>INDEX(LINEST(Data!CF$14:CF$219, Data!D$14:D$219^ {1,2}),1)</f>
        <v>1.9041559120929153E-3</v>
      </c>
      <c r="BI17" t="s">
        <v>216</v>
      </c>
      <c r="BJ17">
        <v>4.3299999999999998E-2</v>
      </c>
    </row>
    <row r="18" spans="59:62" x14ac:dyDescent="0.25">
      <c r="BH18">
        <f>INDEX(LINEST(Data!CF$14:CF$219, Data!D$14:D$219^ {1,2}),1,2)</f>
        <v>-97.109595926545438</v>
      </c>
      <c r="BI18" t="s">
        <v>217</v>
      </c>
      <c r="BJ18">
        <v>-3671.9</v>
      </c>
    </row>
    <row r="19" spans="59:62" x14ac:dyDescent="0.25">
      <c r="BH19">
        <f>INDEX(LINEST(Data!CF$14:CF$219, Data!D$14:D$219^ {1,2}),1,3)</f>
        <v>726771.98004926066</v>
      </c>
      <c r="BI19" t="s">
        <v>133</v>
      </c>
      <c r="BJ19" s="45">
        <v>80000000</v>
      </c>
    </row>
    <row r="21" spans="59:62" x14ac:dyDescent="0.25">
      <c r="BG21" t="s">
        <v>219</v>
      </c>
      <c r="BH21">
        <f>BH17*BH22^2 + BH18*BH22 +BH19</f>
        <v>455258.99192650872</v>
      </c>
      <c r="BJ21">
        <f>BJ17*BJ22^2 + BJ18*BJ22 +BJ19</f>
        <v>3526585.9699999988</v>
      </c>
    </row>
    <row r="22" spans="59:62" x14ac:dyDescent="0.25">
      <c r="BH22" s="1">
        <v>48030</v>
      </c>
      <c r="BJ22" s="1">
        <v>48030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3"/>
  <sheetViews>
    <sheetView workbookViewId="0">
      <selection activeCell="G32" sqref="G32"/>
    </sheetView>
  </sheetViews>
  <sheetFormatPr defaultRowHeight="15" x14ac:dyDescent="0.25"/>
  <cols>
    <col min="1" max="1" width="26.28515625" bestFit="1" customWidth="1"/>
    <col min="2" max="2" width="12.28515625" bestFit="1" customWidth="1"/>
    <col min="3" max="3" width="16.7109375" bestFit="1" customWidth="1"/>
    <col min="4" max="5" width="12.7109375" bestFit="1" customWidth="1"/>
    <col min="6" max="6" width="9.85546875" customWidth="1"/>
  </cols>
  <sheetData>
    <row r="1" spans="1:17" x14ac:dyDescent="0.25">
      <c r="A1" t="s">
        <v>118</v>
      </c>
      <c r="C1" t="s">
        <v>122</v>
      </c>
      <c r="D1" s="23">
        <v>7.4999999999999997E-2</v>
      </c>
    </row>
    <row r="2" spans="1:17" x14ac:dyDescent="0.25">
      <c r="C2" t="s">
        <v>123</v>
      </c>
      <c r="D2" s="23">
        <f>D1/26</f>
        <v>2.8846153846153843E-3</v>
      </c>
    </row>
    <row r="5" spans="1:17" s="46" customFormat="1" ht="45" x14ac:dyDescent="0.25">
      <c r="A5" s="46" t="s">
        <v>113</v>
      </c>
      <c r="B5" s="46" t="s">
        <v>119</v>
      </c>
      <c r="C5" s="46" t="s">
        <v>120</v>
      </c>
      <c r="D5" s="46" t="s">
        <v>121</v>
      </c>
      <c r="E5" s="46" t="s">
        <v>124</v>
      </c>
      <c r="F5" s="46" t="s">
        <v>125</v>
      </c>
    </row>
    <row r="6" spans="1:17" x14ac:dyDescent="0.25">
      <c r="A6" s="1">
        <v>42650</v>
      </c>
      <c r="B6" s="57">
        <v>0</v>
      </c>
      <c r="C6" s="57">
        <f>B6</f>
        <v>0</v>
      </c>
      <c r="D6" s="57">
        <f>B6</f>
        <v>0</v>
      </c>
      <c r="E6" s="57">
        <f t="shared" ref="E6:E69" si="0">D6-C6</f>
        <v>0</v>
      </c>
      <c r="F6" s="57">
        <f>0</f>
        <v>0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</row>
    <row r="7" spans="1:17" x14ac:dyDescent="0.25">
      <c r="A7" s="1">
        <f t="shared" ref="A7:A70" si="1">A6+14</f>
        <v>42664</v>
      </c>
      <c r="B7" s="57">
        <v>60</v>
      </c>
      <c r="C7" s="57">
        <f t="shared" ref="C7:C70" si="2">C6+B7</f>
        <v>60</v>
      </c>
      <c r="D7" s="57">
        <f t="shared" ref="D7:D70" si="3">D6*(1+$D$2) + B7</f>
        <v>60</v>
      </c>
      <c r="E7" s="57">
        <f t="shared" si="0"/>
        <v>0</v>
      </c>
      <c r="F7" s="57">
        <f t="shared" ref="F7:F70" si="4">E7-E6</f>
        <v>0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</row>
    <row r="8" spans="1:17" x14ac:dyDescent="0.25">
      <c r="A8" s="1">
        <f t="shared" si="1"/>
        <v>42678</v>
      </c>
      <c r="B8" s="57">
        <v>60</v>
      </c>
      <c r="C8" s="57">
        <f t="shared" si="2"/>
        <v>120</v>
      </c>
      <c r="D8" s="57">
        <f t="shared" si="3"/>
        <v>120.17307692307692</v>
      </c>
      <c r="E8" s="57">
        <f t="shared" si="0"/>
        <v>0.1730769230769198</v>
      </c>
      <c r="F8" s="57">
        <f t="shared" si="4"/>
        <v>0.1730769230769198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</row>
    <row r="9" spans="1:17" x14ac:dyDescent="0.25">
      <c r="A9" s="1">
        <f t="shared" si="1"/>
        <v>42692</v>
      </c>
      <c r="B9" s="57">
        <v>60</v>
      </c>
      <c r="C9" s="57">
        <f t="shared" si="2"/>
        <v>180</v>
      </c>
      <c r="D9" s="57">
        <f t="shared" si="3"/>
        <v>180.51973002958579</v>
      </c>
      <c r="E9" s="57">
        <f t="shared" si="0"/>
        <v>0.51973002958578718</v>
      </c>
      <c r="F9" s="57">
        <f t="shared" si="4"/>
        <v>0.34665310650886738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</row>
    <row r="10" spans="1:17" x14ac:dyDescent="0.25">
      <c r="A10" s="1">
        <f t="shared" si="1"/>
        <v>42706</v>
      </c>
      <c r="B10" s="57">
        <v>60</v>
      </c>
      <c r="C10" s="57">
        <f t="shared" si="2"/>
        <v>240</v>
      </c>
      <c r="D10" s="57">
        <f t="shared" si="3"/>
        <v>241.04046002005575</v>
      </c>
      <c r="E10" s="57">
        <f t="shared" si="0"/>
        <v>1.0404600200557468</v>
      </c>
      <c r="F10" s="57">
        <f t="shared" si="4"/>
        <v>0.5207299904699596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</row>
    <row r="11" spans="1:17" x14ac:dyDescent="0.25">
      <c r="A11" s="1">
        <f t="shared" si="1"/>
        <v>42720</v>
      </c>
      <c r="B11" s="57">
        <v>60</v>
      </c>
      <c r="C11" s="57">
        <f t="shared" si="2"/>
        <v>300</v>
      </c>
      <c r="D11" s="57">
        <f t="shared" si="3"/>
        <v>301.7357690393444</v>
      </c>
      <c r="E11" s="57">
        <f t="shared" si="0"/>
        <v>1.7357690393444045</v>
      </c>
      <c r="F11" s="57">
        <f t="shared" si="4"/>
        <v>0.69530901928865774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</row>
    <row r="12" spans="1:17" x14ac:dyDescent="0.25">
      <c r="A12" s="1">
        <f t="shared" si="1"/>
        <v>42734</v>
      </c>
      <c r="B12" s="57">
        <v>60</v>
      </c>
      <c r="C12" s="57">
        <f t="shared" si="2"/>
        <v>360</v>
      </c>
      <c r="D12" s="57">
        <f t="shared" si="3"/>
        <v>362.60616068080407</v>
      </c>
      <c r="E12" s="57">
        <f t="shared" si="0"/>
        <v>2.6061606808040665</v>
      </c>
      <c r="F12" s="57">
        <f t="shared" si="4"/>
        <v>0.87039164145966197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</row>
    <row r="13" spans="1:17" x14ac:dyDescent="0.25">
      <c r="A13" s="1">
        <f t="shared" si="1"/>
        <v>42748</v>
      </c>
      <c r="B13" s="57">
        <v>60</v>
      </c>
      <c r="C13" s="57">
        <f t="shared" si="2"/>
        <v>420</v>
      </c>
      <c r="D13" s="57">
        <f t="shared" si="3"/>
        <v>423.65213999046023</v>
      </c>
      <c r="E13" s="57">
        <f t="shared" si="0"/>
        <v>3.6521399904602276</v>
      </c>
      <c r="F13" s="57">
        <f t="shared" si="4"/>
        <v>1.0459793096561611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</row>
    <row r="14" spans="1:17" x14ac:dyDescent="0.25">
      <c r="A14" s="1">
        <f t="shared" si="1"/>
        <v>42762</v>
      </c>
      <c r="B14" s="57">
        <v>60</v>
      </c>
      <c r="C14" s="57">
        <f t="shared" si="2"/>
        <v>480</v>
      </c>
      <c r="D14" s="57">
        <f t="shared" si="3"/>
        <v>484.87421347120193</v>
      </c>
      <c r="E14" s="57">
        <f t="shared" si="0"/>
        <v>4.8742134712019265</v>
      </c>
      <c r="F14" s="57">
        <f t="shared" si="4"/>
        <v>1.2220734807416989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</row>
    <row r="15" spans="1:17" x14ac:dyDescent="0.25">
      <c r="A15" s="1">
        <f t="shared" si="1"/>
        <v>42776</v>
      </c>
      <c r="B15" s="57">
        <v>60</v>
      </c>
      <c r="C15" s="57">
        <f t="shared" si="2"/>
        <v>540</v>
      </c>
      <c r="D15" s="57">
        <f t="shared" si="3"/>
        <v>546.27288908698415</v>
      </c>
      <c r="E15" s="57">
        <f t="shared" si="0"/>
        <v>6.2728890869841507</v>
      </c>
      <c r="F15" s="57">
        <f t="shared" si="4"/>
        <v>1.3986756157822242</v>
      </c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</row>
    <row r="16" spans="1:17" x14ac:dyDescent="0.25">
      <c r="A16" s="1">
        <f t="shared" si="1"/>
        <v>42790</v>
      </c>
      <c r="B16" s="57">
        <v>60</v>
      </c>
      <c r="C16" s="57">
        <f t="shared" si="2"/>
        <v>600</v>
      </c>
      <c r="D16" s="57">
        <f t="shared" si="3"/>
        <v>607.84867626704272</v>
      </c>
      <c r="E16" s="57">
        <f t="shared" si="0"/>
        <v>7.8486762670427197</v>
      </c>
      <c r="F16" s="57">
        <f t="shared" si="4"/>
        <v>1.575787180058569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</row>
    <row r="17" spans="1:17" x14ac:dyDescent="0.25">
      <c r="A17" s="1">
        <f t="shared" si="1"/>
        <v>42804</v>
      </c>
      <c r="B17" s="57">
        <v>60</v>
      </c>
      <c r="C17" s="57">
        <f t="shared" si="2"/>
        <v>660</v>
      </c>
      <c r="D17" s="57">
        <f t="shared" si="3"/>
        <v>669.60208591012076</v>
      </c>
      <c r="E17" s="57">
        <f t="shared" si="0"/>
        <v>9.6020859101207634</v>
      </c>
      <c r="F17" s="57">
        <f t="shared" si="4"/>
        <v>1.7534096430780437</v>
      </c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18" spans="1:17" x14ac:dyDescent="0.25">
      <c r="A18" s="1">
        <f t="shared" si="1"/>
        <v>42818</v>
      </c>
      <c r="B18" s="57">
        <v>60</v>
      </c>
      <c r="C18" s="57">
        <f t="shared" si="2"/>
        <v>720</v>
      </c>
      <c r="D18" s="57">
        <f t="shared" si="3"/>
        <v>731.53363038870759</v>
      </c>
      <c r="E18" s="57">
        <f t="shared" si="0"/>
        <v>11.533630388707593</v>
      </c>
      <c r="F18" s="57">
        <f t="shared" si="4"/>
        <v>1.9315444785868294</v>
      </c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</row>
    <row r="19" spans="1:17" x14ac:dyDescent="0.25">
      <c r="A19" s="1">
        <f t="shared" si="1"/>
        <v>42832</v>
      </c>
      <c r="B19" s="57">
        <v>60</v>
      </c>
      <c r="C19" s="57">
        <f t="shared" si="2"/>
        <v>780</v>
      </c>
      <c r="D19" s="57">
        <f t="shared" si="3"/>
        <v>793.64382355329042</v>
      </c>
      <c r="E19" s="57">
        <f t="shared" si="0"/>
        <v>13.643823553290417</v>
      </c>
      <c r="F19" s="57">
        <f t="shared" si="4"/>
        <v>2.1101931645828245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</row>
    <row r="20" spans="1:17" x14ac:dyDescent="0.25">
      <c r="A20" s="1">
        <f t="shared" si="1"/>
        <v>42846</v>
      </c>
      <c r="B20" s="57">
        <v>60</v>
      </c>
      <c r="C20" s="57">
        <f t="shared" si="2"/>
        <v>840</v>
      </c>
      <c r="D20" s="57">
        <f t="shared" si="3"/>
        <v>855.93318073661726</v>
      </c>
      <c r="E20" s="57">
        <f t="shared" si="0"/>
        <v>15.93318073661726</v>
      </c>
      <c r="F20" s="57">
        <f t="shared" si="4"/>
        <v>2.2893571833268425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</row>
    <row r="21" spans="1:17" x14ac:dyDescent="0.25">
      <c r="A21" s="1">
        <f t="shared" si="1"/>
        <v>42860</v>
      </c>
      <c r="B21" s="57">
        <v>60</v>
      </c>
      <c r="C21" s="57">
        <f t="shared" si="2"/>
        <v>900</v>
      </c>
      <c r="D21" s="57">
        <f t="shared" si="3"/>
        <v>918.40221875797283</v>
      </c>
      <c r="E21" s="57">
        <f t="shared" si="0"/>
        <v>18.402218757972832</v>
      </c>
      <c r="F21" s="57">
        <f t="shared" si="4"/>
        <v>2.4690380213555727</v>
      </c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</row>
    <row r="22" spans="1:17" x14ac:dyDescent="0.25">
      <c r="A22" s="1">
        <f t="shared" si="1"/>
        <v>42874</v>
      </c>
      <c r="B22" s="57">
        <v>60</v>
      </c>
      <c r="C22" s="57">
        <f t="shared" si="2"/>
        <v>960</v>
      </c>
      <c r="D22" s="57">
        <f t="shared" si="3"/>
        <v>981.05145592746703</v>
      </c>
      <c r="E22" s="57">
        <f t="shared" si="0"/>
        <v>21.051455927467032</v>
      </c>
      <c r="F22" s="57">
        <f t="shared" si="4"/>
        <v>2.6492371694941994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</row>
    <row r="23" spans="1:17" x14ac:dyDescent="0.25">
      <c r="A23" s="1">
        <f t="shared" si="1"/>
        <v>42888</v>
      </c>
      <c r="B23" s="57">
        <v>60</v>
      </c>
      <c r="C23" s="57">
        <f t="shared" si="2"/>
        <v>1020</v>
      </c>
      <c r="D23" s="57">
        <f t="shared" si="3"/>
        <v>1043.8814120503348</v>
      </c>
      <c r="E23" s="57">
        <f t="shared" si="0"/>
        <v>23.881412050334802</v>
      </c>
      <c r="F23" s="57">
        <f t="shared" si="4"/>
        <v>2.8299561228677703</v>
      </c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</row>
    <row r="24" spans="1:17" x14ac:dyDescent="0.25">
      <c r="A24" s="1">
        <f t="shared" si="1"/>
        <v>42902</v>
      </c>
      <c r="B24" s="57">
        <v>60</v>
      </c>
      <c r="C24" s="57">
        <f t="shared" si="2"/>
        <v>1080</v>
      </c>
      <c r="D24" s="57">
        <f t="shared" si="3"/>
        <v>1106.8926084312493</v>
      </c>
      <c r="E24" s="57">
        <f t="shared" si="0"/>
        <v>26.8926084312493</v>
      </c>
      <c r="F24" s="57">
        <f t="shared" si="4"/>
        <v>3.0111963809144981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</row>
    <row r="25" spans="1:17" x14ac:dyDescent="0.25">
      <c r="A25" s="1">
        <f t="shared" si="1"/>
        <v>42916</v>
      </c>
      <c r="B25" s="57">
        <v>60</v>
      </c>
      <c r="C25" s="57">
        <f t="shared" si="2"/>
        <v>1140</v>
      </c>
      <c r="D25" s="57">
        <f t="shared" si="3"/>
        <v>1170.0855678786472</v>
      </c>
      <c r="E25" s="57">
        <f t="shared" si="0"/>
        <v>30.085567878647225</v>
      </c>
      <c r="F25" s="57">
        <f t="shared" si="4"/>
        <v>3.192959447397925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spans="1:17" x14ac:dyDescent="0.25">
      <c r="A26" s="1">
        <f t="shared" si="1"/>
        <v>42930</v>
      </c>
      <c r="B26" s="57">
        <v>60</v>
      </c>
      <c r="C26" s="57">
        <f t="shared" si="2"/>
        <v>1200</v>
      </c>
      <c r="D26" s="57">
        <f t="shared" si="3"/>
        <v>1233.4608147090664</v>
      </c>
      <c r="E26" s="57">
        <f t="shared" si="0"/>
        <v>33.460814709066426</v>
      </c>
      <c r="F26" s="57">
        <f t="shared" si="4"/>
        <v>3.3752468304192007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spans="1:17" x14ac:dyDescent="0.25">
      <c r="A27" s="1">
        <f t="shared" si="1"/>
        <v>42944</v>
      </c>
      <c r="B27" s="57">
        <v>60</v>
      </c>
      <c r="C27" s="57">
        <f t="shared" si="2"/>
        <v>1260</v>
      </c>
      <c r="D27" s="57">
        <f t="shared" si="3"/>
        <v>1297.0188747514965</v>
      </c>
      <c r="E27" s="57">
        <f t="shared" si="0"/>
        <v>37.018874751496469</v>
      </c>
      <c r="F27" s="57">
        <f t="shared" si="4"/>
        <v>3.5580600424300428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spans="1:17" x14ac:dyDescent="0.25">
      <c r="A28" s="1">
        <f t="shared" si="1"/>
        <v>42958</v>
      </c>
      <c r="B28" s="57">
        <v>60</v>
      </c>
      <c r="C28" s="57">
        <f t="shared" si="2"/>
        <v>1320</v>
      </c>
      <c r="D28" s="57">
        <f t="shared" si="3"/>
        <v>1360.7602753517413</v>
      </c>
      <c r="E28" s="57">
        <f t="shared" si="0"/>
        <v>40.760275351741257</v>
      </c>
      <c r="F28" s="57">
        <f t="shared" si="4"/>
        <v>3.7414006002447877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spans="1:17" x14ac:dyDescent="0.25">
      <c r="A29" s="1">
        <f t="shared" si="1"/>
        <v>42972</v>
      </c>
      <c r="B29" s="57">
        <v>60</v>
      </c>
      <c r="C29" s="57">
        <f t="shared" si="2"/>
        <v>1380</v>
      </c>
      <c r="D29" s="57">
        <f t="shared" si="3"/>
        <v>1424.6855453767944</v>
      </c>
      <c r="E29" s="57">
        <f t="shared" si="0"/>
        <v>44.68554537679438</v>
      </c>
      <c r="F29" s="57">
        <f t="shared" si="4"/>
        <v>3.9252700250531234</v>
      </c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</row>
    <row r="30" spans="1:17" x14ac:dyDescent="0.25">
      <c r="A30" s="1">
        <f t="shared" si="1"/>
        <v>42986</v>
      </c>
      <c r="B30" s="57">
        <v>60</v>
      </c>
      <c r="C30" s="57">
        <f t="shared" si="2"/>
        <v>1440</v>
      </c>
      <c r="D30" s="57">
        <f t="shared" si="3"/>
        <v>1488.7952152192274</v>
      </c>
      <c r="E30" s="57">
        <f t="shared" si="0"/>
        <v>48.79521521922743</v>
      </c>
      <c r="F30" s="57">
        <f t="shared" si="4"/>
        <v>4.1096698424330498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</row>
    <row r="31" spans="1:17" x14ac:dyDescent="0.25">
      <c r="A31" s="1">
        <f t="shared" si="1"/>
        <v>43000</v>
      </c>
      <c r="B31" s="57">
        <v>60</v>
      </c>
      <c r="C31" s="57">
        <f t="shared" si="2"/>
        <v>1500</v>
      </c>
      <c r="D31" s="57">
        <f t="shared" si="3"/>
        <v>1553.0898168015906</v>
      </c>
      <c r="E31" s="57">
        <f t="shared" si="0"/>
        <v>53.089816801590587</v>
      </c>
      <c r="F31" s="57">
        <f t="shared" si="4"/>
        <v>4.2946015823631569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</row>
    <row r="32" spans="1:17" x14ac:dyDescent="0.25">
      <c r="A32" s="1">
        <f t="shared" si="1"/>
        <v>43014</v>
      </c>
      <c r="B32" s="57">
        <v>60</v>
      </c>
      <c r="C32" s="57">
        <f t="shared" si="2"/>
        <v>1560</v>
      </c>
      <c r="D32" s="57">
        <f t="shared" si="3"/>
        <v>1617.5698835808259</v>
      </c>
      <c r="E32" s="57">
        <f t="shared" si="0"/>
        <v>57.569883580825945</v>
      </c>
      <c r="F32" s="57">
        <f t="shared" si="4"/>
        <v>4.4800667792353579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</row>
    <row r="33" spans="1:17" x14ac:dyDescent="0.25">
      <c r="A33" s="1">
        <f t="shared" si="1"/>
        <v>43028</v>
      </c>
      <c r="B33" s="57">
        <v>60</v>
      </c>
      <c r="C33" s="57">
        <f t="shared" si="2"/>
        <v>1620</v>
      </c>
      <c r="D33" s="57">
        <f t="shared" si="3"/>
        <v>1682.2359505526938</v>
      </c>
      <c r="E33" s="57">
        <f t="shared" si="0"/>
        <v>62.235950552693794</v>
      </c>
      <c r="F33" s="57">
        <f t="shared" si="4"/>
        <v>4.6660669718678491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</row>
    <row r="34" spans="1:17" x14ac:dyDescent="0.25">
      <c r="A34" s="1">
        <f t="shared" si="1"/>
        <v>43042</v>
      </c>
      <c r="B34" s="57">
        <v>60</v>
      </c>
      <c r="C34" s="57">
        <f t="shared" si="2"/>
        <v>1680</v>
      </c>
      <c r="D34" s="57">
        <f t="shared" si="3"/>
        <v>1747.0885542562112</v>
      </c>
      <c r="E34" s="57">
        <f t="shared" si="0"/>
        <v>67.088554256211182</v>
      </c>
      <c r="F34" s="57">
        <f t="shared" si="4"/>
        <v>4.8526037035173886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</row>
    <row r="35" spans="1:17" x14ac:dyDescent="0.25">
      <c r="A35" s="1">
        <f t="shared" si="1"/>
        <v>43056</v>
      </c>
      <c r="B35" s="57">
        <v>60</v>
      </c>
      <c r="C35" s="57">
        <f t="shared" si="2"/>
        <v>1740</v>
      </c>
      <c r="D35" s="57">
        <f t="shared" si="3"/>
        <v>1812.1282327781041</v>
      </c>
      <c r="E35" s="57">
        <f t="shared" si="0"/>
        <v>72.12823277810412</v>
      </c>
      <c r="F35" s="57">
        <f t="shared" si="4"/>
        <v>5.0396785218929381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x14ac:dyDescent="0.25">
      <c r="A36" s="1">
        <f t="shared" si="1"/>
        <v>43070</v>
      </c>
      <c r="B36" s="57">
        <v>60</v>
      </c>
      <c r="C36" s="57">
        <f t="shared" si="2"/>
        <v>1800</v>
      </c>
      <c r="D36" s="57">
        <f t="shared" si="3"/>
        <v>1877.3555257572716</v>
      </c>
      <c r="E36" s="57">
        <f t="shared" si="0"/>
        <v>77.355525757271607</v>
      </c>
      <c r="F36" s="57">
        <f t="shared" si="4"/>
        <v>5.2272929791674869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</row>
    <row r="37" spans="1:17" x14ac:dyDescent="0.25">
      <c r="A37" s="1">
        <f t="shared" si="1"/>
        <v>43084</v>
      </c>
      <c r="B37" s="57">
        <v>60</v>
      </c>
      <c r="C37" s="57">
        <f t="shared" si="2"/>
        <v>1860</v>
      </c>
      <c r="D37" s="57">
        <f t="shared" si="3"/>
        <v>1942.7709743892638</v>
      </c>
      <c r="E37" s="57">
        <f t="shared" si="0"/>
        <v>82.770974389263756</v>
      </c>
      <c r="F37" s="57">
        <f t="shared" si="4"/>
        <v>5.4154486319921489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</row>
    <row r="38" spans="1:17" x14ac:dyDescent="0.25">
      <c r="A38" s="1">
        <f t="shared" si="1"/>
        <v>43098</v>
      </c>
      <c r="B38" s="57">
        <v>60</v>
      </c>
      <c r="C38" s="57">
        <f t="shared" si="2"/>
        <v>1920</v>
      </c>
      <c r="D38" s="57">
        <f t="shared" si="3"/>
        <v>2008.3751214307713</v>
      </c>
      <c r="E38" s="57">
        <f t="shared" si="0"/>
        <v>88.375121430771287</v>
      </c>
      <c r="F38" s="57">
        <f t="shared" si="4"/>
        <v>5.604147041507531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</row>
    <row r="39" spans="1:17" x14ac:dyDescent="0.25">
      <c r="A39" s="1">
        <f t="shared" si="1"/>
        <v>43112</v>
      </c>
      <c r="B39" s="57">
        <v>60</v>
      </c>
      <c r="C39" s="57">
        <f t="shared" si="2"/>
        <v>1980</v>
      </c>
      <c r="D39" s="57">
        <f t="shared" si="3"/>
        <v>2074.1685112041296</v>
      </c>
      <c r="E39" s="57">
        <f t="shared" si="0"/>
        <v>94.168511204129572</v>
      </c>
      <c r="F39" s="57">
        <f t="shared" si="4"/>
        <v>5.7933897733582853</v>
      </c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</row>
    <row r="40" spans="1:17" x14ac:dyDescent="0.25">
      <c r="A40" s="1">
        <f t="shared" si="1"/>
        <v>43126</v>
      </c>
      <c r="B40" s="57">
        <v>60</v>
      </c>
      <c r="C40" s="57">
        <f t="shared" si="2"/>
        <v>2040</v>
      </c>
      <c r="D40" s="57">
        <f t="shared" si="3"/>
        <v>2140.1516896018338</v>
      </c>
      <c r="E40" s="57">
        <f t="shared" si="0"/>
        <v>100.15168960183382</v>
      </c>
      <c r="F40" s="57">
        <f t="shared" si="4"/>
        <v>5.9831783977042505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</row>
    <row r="41" spans="1:17" x14ac:dyDescent="0.25">
      <c r="A41" s="1">
        <f t="shared" si="1"/>
        <v>43140</v>
      </c>
      <c r="B41" s="57">
        <v>60</v>
      </c>
      <c r="C41" s="57">
        <f t="shared" si="2"/>
        <v>2100</v>
      </c>
      <c r="D41" s="57">
        <f t="shared" si="3"/>
        <v>2206.3252040910697</v>
      </c>
      <c r="E41" s="57">
        <f t="shared" si="0"/>
        <v>106.32520409106974</v>
      </c>
      <c r="F41" s="57">
        <f t="shared" si="4"/>
        <v>6.1735144892359131</v>
      </c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</row>
    <row r="42" spans="1:17" x14ac:dyDescent="0.25">
      <c r="A42" s="1">
        <f t="shared" si="1"/>
        <v>43154</v>
      </c>
      <c r="B42" s="57">
        <v>60</v>
      </c>
      <c r="C42" s="57">
        <f t="shared" si="2"/>
        <v>2160</v>
      </c>
      <c r="D42" s="57">
        <f t="shared" si="3"/>
        <v>2272.6896037182555</v>
      </c>
      <c r="E42" s="57">
        <f t="shared" si="0"/>
        <v>112.68960371825551</v>
      </c>
      <c r="F42" s="57">
        <f t="shared" si="4"/>
        <v>6.3643996271857759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</row>
    <row r="43" spans="1:17" x14ac:dyDescent="0.25">
      <c r="A43" s="1">
        <f t="shared" si="1"/>
        <v>43168</v>
      </c>
      <c r="B43" s="57">
        <v>60</v>
      </c>
      <c r="C43" s="57">
        <f t="shared" si="2"/>
        <v>2220</v>
      </c>
      <c r="D43" s="57">
        <f t="shared" si="3"/>
        <v>2339.2454391135966</v>
      </c>
      <c r="E43" s="57">
        <f t="shared" si="0"/>
        <v>119.2454391135966</v>
      </c>
      <c r="F43" s="57">
        <f t="shared" si="4"/>
        <v>6.5558353953410915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7" x14ac:dyDescent="0.25">
      <c r="A44" s="1">
        <f t="shared" si="1"/>
        <v>43182</v>
      </c>
      <c r="B44" s="57">
        <v>60</v>
      </c>
      <c r="C44" s="57">
        <f t="shared" si="2"/>
        <v>2280</v>
      </c>
      <c r="D44" s="57">
        <f t="shared" si="3"/>
        <v>2405.993262495655</v>
      </c>
      <c r="E44" s="57">
        <f t="shared" si="0"/>
        <v>125.99326249565502</v>
      </c>
      <c r="F44" s="57">
        <f t="shared" si="4"/>
        <v>6.7478233820584137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</row>
    <row r="45" spans="1:17" x14ac:dyDescent="0.25">
      <c r="A45" s="1">
        <f t="shared" si="1"/>
        <v>43196</v>
      </c>
      <c r="B45" s="57">
        <v>60</v>
      </c>
      <c r="C45" s="57">
        <f t="shared" si="2"/>
        <v>2340</v>
      </c>
      <c r="D45" s="57">
        <f t="shared" si="3"/>
        <v>2472.9336276759309</v>
      </c>
      <c r="E45" s="57">
        <f t="shared" si="0"/>
        <v>132.93362767593089</v>
      </c>
      <c r="F45" s="57">
        <f t="shared" si="4"/>
        <v>6.9403651802758759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17" x14ac:dyDescent="0.25">
      <c r="A46" s="1">
        <f t="shared" si="1"/>
        <v>43210</v>
      </c>
      <c r="B46" s="57">
        <v>60</v>
      </c>
      <c r="C46" s="57">
        <f t="shared" si="2"/>
        <v>2400</v>
      </c>
      <c r="D46" s="57">
        <f t="shared" si="3"/>
        <v>2540.0670900634577</v>
      </c>
      <c r="E46" s="57">
        <f t="shared" si="0"/>
        <v>140.06709006345773</v>
      </c>
      <c r="F46" s="57">
        <f t="shared" si="4"/>
        <v>7.1334623875268335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17" x14ac:dyDescent="0.25">
      <c r="A47" s="1">
        <f t="shared" si="1"/>
        <v>43224</v>
      </c>
      <c r="B47" s="57">
        <v>60</v>
      </c>
      <c r="C47" s="57">
        <f t="shared" si="2"/>
        <v>2460</v>
      </c>
      <c r="D47" s="57">
        <f t="shared" si="3"/>
        <v>2607.3942066694099</v>
      </c>
      <c r="E47" s="57">
        <f t="shared" si="0"/>
        <v>147.39420666940987</v>
      </c>
      <c r="F47" s="57">
        <f t="shared" si="4"/>
        <v>7.327116605952142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</row>
    <row r="48" spans="1:17" x14ac:dyDescent="0.25">
      <c r="A48" s="1">
        <f t="shared" si="1"/>
        <v>43238</v>
      </c>
      <c r="B48" s="57">
        <v>60</v>
      </c>
      <c r="C48" s="57">
        <f t="shared" si="2"/>
        <v>2520</v>
      </c>
      <c r="D48" s="57">
        <f t="shared" si="3"/>
        <v>2674.9155361117255</v>
      </c>
      <c r="E48" s="57">
        <f t="shared" si="0"/>
        <v>154.91553611172549</v>
      </c>
      <c r="F48" s="57">
        <f t="shared" si="4"/>
        <v>7.5213294423156185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</row>
    <row r="49" spans="1:17" x14ac:dyDescent="0.25">
      <c r="A49" s="1">
        <f t="shared" si="1"/>
        <v>43252</v>
      </c>
      <c r="B49" s="57">
        <v>60</v>
      </c>
      <c r="C49" s="57">
        <f t="shared" si="2"/>
        <v>2580</v>
      </c>
      <c r="D49" s="57">
        <f t="shared" si="3"/>
        <v>2742.63163861974</v>
      </c>
      <c r="E49" s="57">
        <f t="shared" si="0"/>
        <v>162.63163861973999</v>
      </c>
      <c r="F49" s="57">
        <f t="shared" si="4"/>
        <v>7.7161025080145009</v>
      </c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</row>
    <row r="50" spans="1:17" x14ac:dyDescent="0.25">
      <c r="A50" s="1">
        <f t="shared" si="1"/>
        <v>43266</v>
      </c>
      <c r="B50" s="57">
        <v>60</v>
      </c>
      <c r="C50" s="57">
        <f t="shared" si="2"/>
        <v>2640</v>
      </c>
      <c r="D50" s="57">
        <f t="shared" si="3"/>
        <v>2810.5430760388354</v>
      </c>
      <c r="E50" s="57">
        <f t="shared" si="0"/>
        <v>170.54307603883535</v>
      </c>
      <c r="F50" s="57">
        <f t="shared" si="4"/>
        <v>7.911437419095364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</row>
    <row r="51" spans="1:17" x14ac:dyDescent="0.25">
      <c r="A51" s="1">
        <f t="shared" si="1"/>
        <v>43280</v>
      </c>
      <c r="B51" s="57">
        <v>60</v>
      </c>
      <c r="C51" s="57">
        <f t="shared" si="2"/>
        <v>2700</v>
      </c>
      <c r="D51" s="57">
        <f t="shared" si="3"/>
        <v>2878.6504118351013</v>
      </c>
      <c r="E51" s="57">
        <f t="shared" si="0"/>
        <v>178.65041183510129</v>
      </c>
      <c r="F51" s="57">
        <f t="shared" si="4"/>
        <v>8.1073357962659429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</row>
    <row r="52" spans="1:17" x14ac:dyDescent="0.25">
      <c r="A52" s="1">
        <f t="shared" si="1"/>
        <v>43294</v>
      </c>
      <c r="B52" s="57">
        <v>60</v>
      </c>
      <c r="C52" s="57">
        <f t="shared" si="2"/>
        <v>2760</v>
      </c>
      <c r="D52" s="57">
        <f t="shared" si="3"/>
        <v>2946.9542111000101</v>
      </c>
      <c r="E52" s="57">
        <f t="shared" si="0"/>
        <v>186.95421110001007</v>
      </c>
      <c r="F52" s="57">
        <f t="shared" si="4"/>
        <v>8.3037992649087755</v>
      </c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</row>
    <row r="53" spans="1:17" x14ac:dyDescent="0.25">
      <c r="A53" s="1">
        <f t="shared" si="1"/>
        <v>43308</v>
      </c>
      <c r="B53" s="57">
        <v>60</v>
      </c>
      <c r="C53" s="57">
        <f t="shared" si="2"/>
        <v>2820</v>
      </c>
      <c r="D53" s="57">
        <f t="shared" si="3"/>
        <v>3015.4550405551063</v>
      </c>
      <c r="E53" s="57">
        <f t="shared" si="0"/>
        <v>195.45504055510628</v>
      </c>
      <c r="F53" s="57">
        <f t="shared" si="4"/>
        <v>8.5008294550962091</v>
      </c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</row>
    <row r="54" spans="1:17" x14ac:dyDescent="0.25">
      <c r="A54" s="1">
        <f t="shared" si="1"/>
        <v>43322</v>
      </c>
      <c r="B54" s="57">
        <v>60</v>
      </c>
      <c r="C54" s="57">
        <f t="shared" si="2"/>
        <v>2880</v>
      </c>
      <c r="D54" s="57">
        <f t="shared" si="3"/>
        <v>3084.1534685567076</v>
      </c>
      <c r="E54" s="57">
        <f t="shared" si="0"/>
        <v>204.15346855670759</v>
      </c>
      <c r="F54" s="57">
        <f t="shared" si="4"/>
        <v>8.6984280016013145</v>
      </c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</row>
    <row r="55" spans="1:17" x14ac:dyDescent="0.25">
      <c r="A55" s="1">
        <f t="shared" si="1"/>
        <v>43336</v>
      </c>
      <c r="B55" s="57">
        <v>60</v>
      </c>
      <c r="C55" s="57">
        <f t="shared" si="2"/>
        <v>2940</v>
      </c>
      <c r="D55" s="57">
        <f t="shared" si="3"/>
        <v>3153.0500651006209</v>
      </c>
      <c r="E55" s="57">
        <f t="shared" si="0"/>
        <v>213.05006510062094</v>
      </c>
      <c r="F55" s="57">
        <f t="shared" si="4"/>
        <v>8.896596543913347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</row>
    <row r="56" spans="1:17" x14ac:dyDescent="0.25">
      <c r="A56" s="1">
        <f t="shared" si="1"/>
        <v>43350</v>
      </c>
      <c r="B56" s="57">
        <v>60</v>
      </c>
      <c r="C56" s="57">
        <f t="shared" si="2"/>
        <v>3000</v>
      </c>
      <c r="D56" s="57">
        <f t="shared" si="3"/>
        <v>3222.1454018268728</v>
      </c>
      <c r="E56" s="57">
        <f t="shared" si="0"/>
        <v>222.14540182687279</v>
      </c>
      <c r="F56" s="57">
        <f t="shared" si="4"/>
        <v>9.0953367262518441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</row>
    <row r="57" spans="1:17" x14ac:dyDescent="0.25">
      <c r="A57" s="1">
        <f t="shared" si="1"/>
        <v>43364</v>
      </c>
      <c r="B57" s="57">
        <v>60</v>
      </c>
      <c r="C57" s="57">
        <f t="shared" si="2"/>
        <v>3060</v>
      </c>
      <c r="D57" s="57">
        <f t="shared" si="3"/>
        <v>3291.4400520244503</v>
      </c>
      <c r="E57" s="57">
        <f t="shared" si="0"/>
        <v>231.44005202445032</v>
      </c>
      <c r="F57" s="57">
        <f t="shared" si="4"/>
        <v>9.2946501975775391</v>
      </c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</row>
    <row r="58" spans="1:17" x14ac:dyDescent="0.25">
      <c r="A58" s="1">
        <f t="shared" si="1"/>
        <v>43378</v>
      </c>
      <c r="B58" s="57">
        <v>60</v>
      </c>
      <c r="C58" s="57">
        <f t="shared" si="2"/>
        <v>3120</v>
      </c>
      <c r="D58" s="57">
        <f t="shared" si="3"/>
        <v>3360.9345906360591</v>
      </c>
      <c r="E58" s="57">
        <f t="shared" si="0"/>
        <v>240.93459063605906</v>
      </c>
      <c r="F58" s="57">
        <f t="shared" si="4"/>
        <v>9.494538611608732</v>
      </c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</row>
    <row r="59" spans="1:17" x14ac:dyDescent="0.25">
      <c r="A59" s="1">
        <f t="shared" si="1"/>
        <v>43392</v>
      </c>
      <c r="B59" s="57">
        <v>60</v>
      </c>
      <c r="C59" s="57">
        <f t="shared" si="2"/>
        <v>3180</v>
      </c>
      <c r="D59" s="57">
        <f t="shared" si="3"/>
        <v>3430.629594262894</v>
      </c>
      <c r="E59" s="57">
        <f t="shared" si="0"/>
        <v>250.62959426289399</v>
      </c>
      <c r="F59" s="57">
        <f t="shared" si="4"/>
        <v>9.6950036268349322</v>
      </c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</row>
    <row r="60" spans="1:17" x14ac:dyDescent="0.25">
      <c r="A60" s="1">
        <f t="shared" si="1"/>
        <v>43406</v>
      </c>
      <c r="B60" s="57">
        <v>60</v>
      </c>
      <c r="C60" s="57">
        <f t="shared" si="2"/>
        <v>3240</v>
      </c>
      <c r="D60" s="57">
        <f t="shared" si="3"/>
        <v>3500.5256411694213</v>
      </c>
      <c r="E60" s="57">
        <f t="shared" si="0"/>
        <v>260.52564116942131</v>
      </c>
      <c r="F60" s="57">
        <f t="shared" si="4"/>
        <v>9.8960469065273173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</row>
    <row r="61" spans="1:17" x14ac:dyDescent="0.25">
      <c r="A61" s="1">
        <f t="shared" si="1"/>
        <v>43420</v>
      </c>
      <c r="B61" s="57">
        <v>60</v>
      </c>
      <c r="C61" s="57">
        <f t="shared" si="2"/>
        <v>3300</v>
      </c>
      <c r="D61" s="57">
        <f t="shared" si="3"/>
        <v>3570.6233112881791</v>
      </c>
      <c r="E61" s="57">
        <f t="shared" si="0"/>
        <v>270.62331128817914</v>
      </c>
      <c r="F61" s="57">
        <f t="shared" si="4"/>
        <v>10.097670118757833</v>
      </c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</row>
    <row r="62" spans="1:17" x14ac:dyDescent="0.25">
      <c r="A62" s="1">
        <f t="shared" si="1"/>
        <v>43434</v>
      </c>
      <c r="B62" s="57">
        <v>60</v>
      </c>
      <c r="C62" s="57">
        <f t="shared" si="2"/>
        <v>3360</v>
      </c>
      <c r="D62" s="57">
        <f t="shared" si="3"/>
        <v>3640.9231862245874</v>
      </c>
      <c r="E62" s="57">
        <f t="shared" si="0"/>
        <v>280.92318622458743</v>
      </c>
      <c r="F62" s="57">
        <f t="shared" si="4"/>
        <v>10.299874936408287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</row>
    <row r="63" spans="1:17" x14ac:dyDescent="0.25">
      <c r="A63" s="1">
        <f t="shared" si="1"/>
        <v>43448</v>
      </c>
      <c r="B63" s="57">
        <v>60</v>
      </c>
      <c r="C63" s="57">
        <f t="shared" si="2"/>
        <v>3420</v>
      </c>
      <c r="D63" s="57">
        <f t="shared" si="3"/>
        <v>3711.4258492617737</v>
      </c>
      <c r="E63" s="57">
        <f t="shared" si="0"/>
        <v>291.42584926177369</v>
      </c>
      <c r="F63" s="57">
        <f t="shared" si="4"/>
        <v>10.502663037186267</v>
      </c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</row>
    <row r="64" spans="1:17" x14ac:dyDescent="0.25">
      <c r="A64" s="1">
        <f t="shared" si="1"/>
        <v>43462</v>
      </c>
      <c r="B64" s="57">
        <v>60</v>
      </c>
      <c r="C64" s="57">
        <f t="shared" si="2"/>
        <v>3480</v>
      </c>
      <c r="D64" s="57">
        <f t="shared" si="3"/>
        <v>3782.1318853654134</v>
      </c>
      <c r="E64" s="57">
        <f t="shared" si="0"/>
        <v>302.13188536541338</v>
      </c>
      <c r="F64" s="57">
        <f t="shared" si="4"/>
        <v>10.70603610363969</v>
      </c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</row>
    <row r="65" spans="1:17" x14ac:dyDescent="0.25">
      <c r="A65" s="1">
        <f t="shared" si="1"/>
        <v>43476</v>
      </c>
      <c r="B65" s="57">
        <v>60</v>
      </c>
      <c r="C65" s="57">
        <f t="shared" si="2"/>
        <v>3540</v>
      </c>
      <c r="D65" s="57">
        <f t="shared" si="3"/>
        <v>3853.0418811885829</v>
      </c>
      <c r="E65" s="57">
        <f t="shared" si="0"/>
        <v>313.04188118858292</v>
      </c>
      <c r="F65" s="57">
        <f t="shared" si="4"/>
        <v>10.909995823169538</v>
      </c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</row>
    <row r="66" spans="1:17" x14ac:dyDescent="0.25">
      <c r="A66" s="1">
        <f t="shared" si="1"/>
        <v>43490</v>
      </c>
      <c r="B66" s="57">
        <v>60</v>
      </c>
      <c r="C66" s="57">
        <f t="shared" si="2"/>
        <v>3600</v>
      </c>
      <c r="D66" s="57">
        <f t="shared" si="3"/>
        <v>3924.1564250766269</v>
      </c>
      <c r="E66" s="57">
        <f t="shared" si="0"/>
        <v>324.15642507662687</v>
      </c>
      <c r="F66" s="57">
        <f t="shared" si="4"/>
        <v>11.114543888043954</v>
      </c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</row>
    <row r="67" spans="1:17" x14ac:dyDescent="0.25">
      <c r="A67" s="1">
        <f t="shared" si="1"/>
        <v>43504</v>
      </c>
      <c r="B67" s="57">
        <v>60</v>
      </c>
      <c r="C67" s="57">
        <f t="shared" si="2"/>
        <v>3660</v>
      </c>
      <c r="D67" s="57">
        <f t="shared" si="3"/>
        <v>3995.4761070720401</v>
      </c>
      <c r="E67" s="57">
        <f t="shared" si="0"/>
        <v>335.47610707204012</v>
      </c>
      <c r="F67" s="57">
        <f t="shared" si="4"/>
        <v>11.319681995413248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</row>
    <row r="68" spans="1:17" x14ac:dyDescent="0.25">
      <c r="A68" s="1">
        <f t="shared" si="1"/>
        <v>43518</v>
      </c>
      <c r="B68" s="57">
        <v>60</v>
      </c>
      <c r="C68" s="57">
        <f t="shared" si="2"/>
        <v>3720</v>
      </c>
      <c r="D68" s="57">
        <f t="shared" si="3"/>
        <v>4067.0015189193632</v>
      </c>
      <c r="E68" s="57">
        <f t="shared" si="0"/>
        <v>347.00151891936321</v>
      </c>
      <c r="F68" s="57">
        <f t="shared" si="4"/>
        <v>11.525411847323085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</row>
    <row r="69" spans="1:17" x14ac:dyDescent="0.25">
      <c r="A69" s="1">
        <f t="shared" si="1"/>
        <v>43532</v>
      </c>
      <c r="B69" s="57">
        <v>60</v>
      </c>
      <c r="C69" s="57">
        <f t="shared" si="2"/>
        <v>3780</v>
      </c>
      <c r="D69" s="57">
        <f t="shared" si="3"/>
        <v>4138.7332540700918</v>
      </c>
      <c r="E69" s="57">
        <f t="shared" si="0"/>
        <v>358.73325407009179</v>
      </c>
      <c r="F69" s="57">
        <f t="shared" si="4"/>
        <v>11.731735150728582</v>
      </c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</row>
    <row r="70" spans="1:17" x14ac:dyDescent="0.25">
      <c r="A70" s="1">
        <f t="shared" si="1"/>
        <v>43546</v>
      </c>
      <c r="B70" s="57">
        <v>60</v>
      </c>
      <c r="C70" s="57">
        <f t="shared" si="2"/>
        <v>3840</v>
      </c>
      <c r="D70" s="57">
        <f t="shared" si="3"/>
        <v>4210.6719076876016</v>
      </c>
      <c r="E70" s="57">
        <f t="shared" ref="E70:E133" si="5">D70-C70</f>
        <v>370.67190768760156</v>
      </c>
      <c r="F70" s="57">
        <f t="shared" si="4"/>
        <v>11.938653617509772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</row>
    <row r="71" spans="1:17" x14ac:dyDescent="0.25">
      <c r="A71" s="1">
        <f t="shared" ref="A71:A134" si="6">A70+14</f>
        <v>43560</v>
      </c>
      <c r="B71" s="57">
        <v>60</v>
      </c>
      <c r="C71" s="57">
        <f t="shared" ref="C71:C134" si="7">C70+B71</f>
        <v>3900</v>
      </c>
      <c r="D71" s="57">
        <f t="shared" ref="D71:D134" si="8">D70*(1+$D$2) + B71</f>
        <v>4282.8180766520854</v>
      </c>
      <c r="E71" s="57">
        <f t="shared" si="5"/>
        <v>382.81807665208544</v>
      </c>
      <c r="F71" s="57">
        <f t="shared" ref="F71:F134" si="9">E71-E70</f>
        <v>12.146168964483877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</row>
    <row r="72" spans="1:17" x14ac:dyDescent="0.25">
      <c r="A72" s="1">
        <f t="shared" si="6"/>
        <v>43574</v>
      </c>
      <c r="B72" s="57">
        <v>60</v>
      </c>
      <c r="C72" s="57">
        <f t="shared" si="7"/>
        <v>3960</v>
      </c>
      <c r="D72" s="57">
        <f t="shared" si="8"/>
        <v>4355.1723595655048</v>
      </c>
      <c r="E72" s="57">
        <f t="shared" si="5"/>
        <v>395.17235956550485</v>
      </c>
      <c r="F72" s="57">
        <f t="shared" si="9"/>
        <v>12.354282913419411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</row>
    <row r="73" spans="1:17" x14ac:dyDescent="0.25">
      <c r="A73" s="1">
        <f t="shared" si="6"/>
        <v>43588</v>
      </c>
      <c r="B73" s="57">
        <v>60</v>
      </c>
      <c r="C73" s="57">
        <f t="shared" si="7"/>
        <v>4020</v>
      </c>
      <c r="D73" s="57">
        <f t="shared" si="8"/>
        <v>4427.7353567565588</v>
      </c>
      <c r="E73" s="57">
        <f t="shared" si="5"/>
        <v>407.73535675655876</v>
      </c>
      <c r="F73" s="57">
        <f t="shared" si="9"/>
        <v>12.56299719105391</v>
      </c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</row>
    <row r="74" spans="1:17" x14ac:dyDescent="0.25">
      <c r="A74" s="1">
        <f t="shared" si="6"/>
        <v>43602</v>
      </c>
      <c r="B74" s="57">
        <v>60</v>
      </c>
      <c r="C74" s="57">
        <f t="shared" si="7"/>
        <v>4080</v>
      </c>
      <c r="D74" s="57">
        <f t="shared" si="8"/>
        <v>4500.5076702856641</v>
      </c>
      <c r="E74" s="57">
        <f t="shared" si="5"/>
        <v>420.50767028566406</v>
      </c>
      <c r="F74" s="57">
        <f t="shared" si="9"/>
        <v>12.772313529105304</v>
      </c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</row>
    <row r="75" spans="1:17" x14ac:dyDescent="0.25">
      <c r="A75" s="1">
        <f t="shared" si="6"/>
        <v>43616</v>
      </c>
      <c r="B75" s="57">
        <v>60</v>
      </c>
      <c r="C75" s="57">
        <f t="shared" si="7"/>
        <v>4140</v>
      </c>
      <c r="D75" s="57">
        <f t="shared" si="8"/>
        <v>4573.4899039499496</v>
      </c>
      <c r="E75" s="57">
        <f t="shared" si="5"/>
        <v>433.48990394994962</v>
      </c>
      <c r="F75" s="57">
        <f t="shared" si="9"/>
        <v>12.982233664285559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</row>
    <row r="76" spans="1:17" x14ac:dyDescent="0.25">
      <c r="A76" s="1">
        <f t="shared" si="6"/>
        <v>43630</v>
      </c>
      <c r="B76" s="57">
        <v>60</v>
      </c>
      <c r="C76" s="57">
        <f t="shared" si="7"/>
        <v>4200</v>
      </c>
      <c r="D76" s="57">
        <f t="shared" si="8"/>
        <v>4646.6826632882667</v>
      </c>
      <c r="E76" s="57">
        <f t="shared" si="5"/>
        <v>446.68266328826667</v>
      </c>
      <c r="F76" s="57">
        <f t="shared" si="9"/>
        <v>13.192759338317046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</row>
    <row r="77" spans="1:17" x14ac:dyDescent="0.25">
      <c r="A77" s="1">
        <f t="shared" si="6"/>
        <v>43644</v>
      </c>
      <c r="B77" s="57">
        <v>60</v>
      </c>
      <c r="C77" s="57">
        <f t="shared" si="7"/>
        <v>4260</v>
      </c>
      <c r="D77" s="57">
        <f t="shared" si="8"/>
        <v>4720.0865555862138</v>
      </c>
      <c r="E77" s="57">
        <f t="shared" si="5"/>
        <v>460.08655558621376</v>
      </c>
      <c r="F77" s="57">
        <f t="shared" si="9"/>
        <v>13.403892297947095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</row>
    <row r="78" spans="1:17" x14ac:dyDescent="0.25">
      <c r="A78" s="1">
        <f t="shared" si="6"/>
        <v>43658</v>
      </c>
      <c r="B78" s="57">
        <v>60</v>
      </c>
      <c r="C78" s="57">
        <f t="shared" si="7"/>
        <v>4320</v>
      </c>
      <c r="D78" s="57">
        <f t="shared" si="8"/>
        <v>4793.7021898811736</v>
      </c>
      <c r="E78" s="57">
        <f t="shared" si="5"/>
        <v>473.70218988117358</v>
      </c>
      <c r="F78" s="57">
        <f t="shared" si="9"/>
        <v>13.615634294959818</v>
      </c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</row>
    <row r="79" spans="1:17" x14ac:dyDescent="0.25">
      <c r="A79" s="1">
        <f t="shared" si="6"/>
        <v>43672</v>
      </c>
      <c r="B79" s="57">
        <v>60</v>
      </c>
      <c r="C79" s="57">
        <f t="shared" si="7"/>
        <v>4380</v>
      </c>
      <c r="D79" s="57">
        <f t="shared" si="8"/>
        <v>4867.5301769673688</v>
      </c>
      <c r="E79" s="57">
        <f t="shared" si="5"/>
        <v>487.53017696736879</v>
      </c>
      <c r="F79" s="57">
        <f t="shared" si="9"/>
        <v>13.827987086195208</v>
      </c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</row>
    <row r="80" spans="1:17" x14ac:dyDescent="0.25">
      <c r="A80" s="1">
        <f t="shared" si="6"/>
        <v>43686</v>
      </c>
      <c r="B80" s="57">
        <v>60</v>
      </c>
      <c r="C80" s="57">
        <f t="shared" si="7"/>
        <v>4440</v>
      </c>
      <c r="D80" s="57">
        <f t="shared" si="8"/>
        <v>4941.5711294009288</v>
      </c>
      <c r="E80" s="57">
        <f t="shared" si="5"/>
        <v>501.57112940092884</v>
      </c>
      <c r="F80" s="57">
        <f t="shared" si="9"/>
        <v>14.040952433560051</v>
      </c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</row>
    <row r="81" spans="1:17" x14ac:dyDescent="0.25">
      <c r="A81" s="1">
        <f t="shared" si="6"/>
        <v>43700</v>
      </c>
      <c r="B81" s="57">
        <v>60</v>
      </c>
      <c r="C81" s="57">
        <f t="shared" si="7"/>
        <v>4500</v>
      </c>
      <c r="D81" s="57">
        <f t="shared" si="8"/>
        <v>5015.8256615049695</v>
      </c>
      <c r="E81" s="57">
        <f t="shared" si="5"/>
        <v>515.8256615049695</v>
      </c>
      <c r="F81" s="57">
        <f t="shared" si="9"/>
        <v>14.254532104040663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</row>
    <row r="82" spans="1:17" x14ac:dyDescent="0.25">
      <c r="A82" s="1">
        <f t="shared" si="6"/>
        <v>43714</v>
      </c>
      <c r="B82" s="57">
        <v>60</v>
      </c>
      <c r="C82" s="57">
        <f t="shared" si="7"/>
        <v>4560</v>
      </c>
      <c r="D82" s="57">
        <f t="shared" si="8"/>
        <v>5090.2943893746951</v>
      </c>
      <c r="E82" s="57">
        <f t="shared" si="5"/>
        <v>530.29438937469513</v>
      </c>
      <c r="F82" s="57">
        <f t="shared" si="9"/>
        <v>14.468727869725626</v>
      </c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</row>
    <row r="83" spans="1:17" x14ac:dyDescent="0.25">
      <c r="A83" s="1">
        <f t="shared" si="6"/>
        <v>43728</v>
      </c>
      <c r="B83" s="57">
        <v>60</v>
      </c>
      <c r="C83" s="57">
        <f t="shared" si="7"/>
        <v>4620</v>
      </c>
      <c r="D83" s="57">
        <f t="shared" si="8"/>
        <v>5164.9779308825064</v>
      </c>
      <c r="E83" s="57">
        <f t="shared" si="5"/>
        <v>544.97793088250637</v>
      </c>
      <c r="F83" s="57">
        <f t="shared" si="9"/>
        <v>14.683541507811242</v>
      </c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</row>
    <row r="84" spans="1:17" x14ac:dyDescent="0.25">
      <c r="A84" s="1">
        <f t="shared" si="6"/>
        <v>43742</v>
      </c>
      <c r="B84" s="57">
        <v>60</v>
      </c>
      <c r="C84" s="57">
        <f t="shared" si="7"/>
        <v>4680</v>
      </c>
      <c r="D84" s="57">
        <f t="shared" si="8"/>
        <v>5239.8769056831288</v>
      </c>
      <c r="E84" s="57">
        <f t="shared" si="5"/>
        <v>559.87690568312883</v>
      </c>
      <c r="F84" s="57">
        <f t="shared" si="9"/>
        <v>14.898974800622454</v>
      </c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</row>
    <row r="85" spans="1:17" x14ac:dyDescent="0.25">
      <c r="A85" s="1">
        <f t="shared" si="6"/>
        <v>43756</v>
      </c>
      <c r="B85" s="57">
        <v>60</v>
      </c>
      <c r="C85" s="57">
        <f t="shared" si="7"/>
        <v>4740</v>
      </c>
      <c r="D85" s="57">
        <f t="shared" si="8"/>
        <v>5314.9919352187535</v>
      </c>
      <c r="E85" s="57">
        <f t="shared" si="5"/>
        <v>574.9919352187535</v>
      </c>
      <c r="F85" s="57">
        <f t="shared" si="9"/>
        <v>15.115029535624672</v>
      </c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</row>
    <row r="86" spans="1:17" x14ac:dyDescent="0.25">
      <c r="A86" s="1">
        <f t="shared" si="6"/>
        <v>43770</v>
      </c>
      <c r="B86" s="57">
        <v>60</v>
      </c>
      <c r="C86" s="57">
        <f t="shared" si="7"/>
        <v>4800</v>
      </c>
      <c r="D86" s="57">
        <f t="shared" si="8"/>
        <v>5390.3236427241918</v>
      </c>
      <c r="E86" s="57">
        <f t="shared" si="5"/>
        <v>590.32364272419181</v>
      </c>
      <c r="F86" s="57">
        <f t="shared" si="9"/>
        <v>15.331707505438317</v>
      </c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</row>
    <row r="87" spans="1:17" x14ac:dyDescent="0.25">
      <c r="A87" s="1">
        <f t="shared" si="6"/>
        <v>43784</v>
      </c>
      <c r="B87" s="57">
        <v>60</v>
      </c>
      <c r="C87" s="57">
        <f t="shared" si="7"/>
        <v>4860</v>
      </c>
      <c r="D87" s="57">
        <f t="shared" si="8"/>
        <v>5465.8726532320497</v>
      </c>
      <c r="E87" s="57">
        <f t="shared" si="5"/>
        <v>605.87265323204974</v>
      </c>
      <c r="F87" s="57">
        <f t="shared" si="9"/>
        <v>15.549010507857929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</row>
    <row r="88" spans="1:17" x14ac:dyDescent="0.25">
      <c r="A88" s="1">
        <f t="shared" si="6"/>
        <v>43798</v>
      </c>
      <c r="B88" s="57">
        <v>60</v>
      </c>
      <c r="C88" s="57">
        <f t="shared" si="7"/>
        <v>4920</v>
      </c>
      <c r="D88" s="57">
        <f t="shared" si="8"/>
        <v>5541.639593577911</v>
      </c>
      <c r="E88" s="57">
        <f t="shared" si="5"/>
        <v>621.639593577911</v>
      </c>
      <c r="F88" s="57">
        <f t="shared" si="9"/>
        <v>15.766940345861258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</row>
    <row r="89" spans="1:17" x14ac:dyDescent="0.25">
      <c r="A89" s="1">
        <f t="shared" si="6"/>
        <v>43812</v>
      </c>
      <c r="B89" s="57">
        <v>60</v>
      </c>
      <c r="C89" s="57">
        <f t="shared" si="7"/>
        <v>4980</v>
      </c>
      <c r="D89" s="57">
        <f t="shared" si="8"/>
        <v>5617.6250924055394</v>
      </c>
      <c r="E89" s="57">
        <f t="shared" si="5"/>
        <v>637.62509240553936</v>
      </c>
      <c r="F89" s="57">
        <f t="shared" si="9"/>
        <v>15.985498827628362</v>
      </c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</row>
    <row r="90" spans="1:17" x14ac:dyDescent="0.25">
      <c r="A90" s="1">
        <f t="shared" si="6"/>
        <v>43826</v>
      </c>
      <c r="B90" s="57">
        <v>60</v>
      </c>
      <c r="C90" s="57">
        <f t="shared" si="7"/>
        <v>5040</v>
      </c>
      <c r="D90" s="57">
        <f t="shared" si="8"/>
        <v>5693.8297801720937</v>
      </c>
      <c r="E90" s="57">
        <f t="shared" si="5"/>
        <v>653.82978017209371</v>
      </c>
      <c r="F90" s="57">
        <f t="shared" si="9"/>
        <v>16.204687766554343</v>
      </c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</row>
    <row r="91" spans="1:17" x14ac:dyDescent="0.25">
      <c r="A91" s="1">
        <f t="shared" si="6"/>
        <v>43840</v>
      </c>
      <c r="B91" s="57">
        <v>60</v>
      </c>
      <c r="C91" s="57">
        <f t="shared" si="7"/>
        <v>5100</v>
      </c>
      <c r="D91" s="57">
        <f t="shared" si="8"/>
        <v>5770.2542891533594</v>
      </c>
      <c r="E91" s="57">
        <f t="shared" si="5"/>
        <v>670.25428915335942</v>
      </c>
      <c r="F91" s="57">
        <f t="shared" si="9"/>
        <v>16.424508981265717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</row>
    <row r="92" spans="1:17" x14ac:dyDescent="0.25">
      <c r="A92" s="1">
        <f t="shared" si="6"/>
        <v>43854</v>
      </c>
      <c r="B92" s="57">
        <v>60</v>
      </c>
      <c r="C92" s="57">
        <f t="shared" si="7"/>
        <v>5160</v>
      </c>
      <c r="D92" s="57">
        <f t="shared" si="8"/>
        <v>5846.8992534489944</v>
      </c>
      <c r="E92" s="57">
        <f t="shared" si="5"/>
        <v>686.89925344899439</v>
      </c>
      <c r="F92" s="57">
        <f t="shared" si="9"/>
        <v>16.644964295634963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</row>
    <row r="93" spans="1:17" x14ac:dyDescent="0.25">
      <c r="A93" s="1">
        <f t="shared" si="6"/>
        <v>43868</v>
      </c>
      <c r="B93" s="57">
        <v>60</v>
      </c>
      <c r="C93" s="57">
        <f t="shared" si="7"/>
        <v>5220</v>
      </c>
      <c r="D93" s="57">
        <f t="shared" si="8"/>
        <v>5923.7653089877895</v>
      </c>
      <c r="E93" s="57">
        <f t="shared" si="5"/>
        <v>703.76530898778947</v>
      </c>
      <c r="F93" s="57">
        <f t="shared" si="9"/>
        <v>16.866055538795081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</row>
    <row r="94" spans="1:17" x14ac:dyDescent="0.25">
      <c r="A94" s="1">
        <f t="shared" si="6"/>
        <v>43882</v>
      </c>
      <c r="B94" s="57">
        <v>60</v>
      </c>
      <c r="C94" s="57">
        <f t="shared" si="7"/>
        <v>5280</v>
      </c>
      <c r="D94" s="57">
        <f t="shared" si="8"/>
        <v>6000.8530935329463</v>
      </c>
      <c r="E94" s="57">
        <f t="shared" si="5"/>
        <v>720.85309353294633</v>
      </c>
      <c r="F94" s="57">
        <f t="shared" si="9"/>
        <v>17.087784545156865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</row>
    <row r="95" spans="1:17" x14ac:dyDescent="0.25">
      <c r="A95" s="1">
        <f t="shared" si="6"/>
        <v>43896</v>
      </c>
      <c r="B95" s="57">
        <v>60</v>
      </c>
      <c r="C95" s="57">
        <f t="shared" si="7"/>
        <v>5340</v>
      </c>
      <c r="D95" s="57">
        <f t="shared" si="8"/>
        <v>6078.163246687368</v>
      </c>
      <c r="E95" s="57">
        <f t="shared" si="5"/>
        <v>738.16324668736797</v>
      </c>
      <c r="F95" s="57">
        <f t="shared" si="9"/>
        <v>17.310153154421641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</row>
    <row r="96" spans="1:17" x14ac:dyDescent="0.25">
      <c r="A96" s="1">
        <f t="shared" si="6"/>
        <v>43910</v>
      </c>
      <c r="B96" s="57">
        <v>60</v>
      </c>
      <c r="C96" s="57">
        <f t="shared" si="7"/>
        <v>5400</v>
      </c>
      <c r="D96" s="57">
        <f t="shared" si="8"/>
        <v>6155.6964098989665</v>
      </c>
      <c r="E96" s="57">
        <f t="shared" si="5"/>
        <v>755.69640989896652</v>
      </c>
      <c r="F96" s="57">
        <f t="shared" si="9"/>
        <v>17.533163211598549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</row>
    <row r="97" spans="1:17" x14ac:dyDescent="0.25">
      <c r="A97" s="1">
        <f t="shared" si="6"/>
        <v>43924</v>
      </c>
      <c r="B97" s="57">
        <v>60</v>
      </c>
      <c r="C97" s="57">
        <f t="shared" si="7"/>
        <v>5460</v>
      </c>
      <c r="D97" s="57">
        <f t="shared" si="8"/>
        <v>6233.4532264659829</v>
      </c>
      <c r="E97" s="57">
        <f t="shared" si="5"/>
        <v>773.45322646598288</v>
      </c>
      <c r="F97" s="57">
        <f t="shared" si="9"/>
        <v>17.756816567016358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</row>
    <row r="98" spans="1:17" x14ac:dyDescent="0.25">
      <c r="A98" s="1">
        <f t="shared" si="6"/>
        <v>43938</v>
      </c>
      <c r="B98" s="57">
        <v>60</v>
      </c>
      <c r="C98" s="57">
        <f t="shared" si="7"/>
        <v>5520</v>
      </c>
      <c r="D98" s="57">
        <f t="shared" si="8"/>
        <v>6311.4343415423273</v>
      </c>
      <c r="E98" s="57">
        <f t="shared" si="5"/>
        <v>791.43434154232727</v>
      </c>
      <c r="F98" s="57">
        <f t="shared" si="9"/>
        <v>17.981115076344395</v>
      </c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</row>
    <row r="99" spans="1:17" x14ac:dyDescent="0.25">
      <c r="A99" s="1">
        <f t="shared" si="6"/>
        <v>43952</v>
      </c>
      <c r="B99" s="57">
        <v>60</v>
      </c>
      <c r="C99" s="57">
        <f t="shared" si="7"/>
        <v>5580</v>
      </c>
      <c r="D99" s="57">
        <f t="shared" si="8"/>
        <v>6389.6404021429298</v>
      </c>
      <c r="E99" s="57">
        <f t="shared" si="5"/>
        <v>809.64040214292982</v>
      </c>
      <c r="F99" s="57">
        <f t="shared" si="9"/>
        <v>18.206060600602541</v>
      </c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</row>
    <row r="100" spans="1:17" x14ac:dyDescent="0.25">
      <c r="A100" s="1">
        <f t="shared" si="6"/>
        <v>43966</v>
      </c>
      <c r="B100" s="57">
        <v>60</v>
      </c>
      <c r="C100" s="57">
        <f t="shared" si="7"/>
        <v>5640</v>
      </c>
      <c r="D100" s="57">
        <f t="shared" si="8"/>
        <v>6468.0720571491111</v>
      </c>
      <c r="E100" s="57">
        <f t="shared" si="5"/>
        <v>828.07205714911106</v>
      </c>
      <c r="F100" s="57">
        <f t="shared" si="9"/>
        <v>18.431655006181245</v>
      </c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</row>
    <row r="101" spans="1:17" x14ac:dyDescent="0.25">
      <c r="A101" s="1">
        <f t="shared" si="6"/>
        <v>43980</v>
      </c>
      <c r="B101" s="57">
        <v>60</v>
      </c>
      <c r="C101" s="57">
        <f t="shared" si="7"/>
        <v>5700</v>
      </c>
      <c r="D101" s="57">
        <f t="shared" si="8"/>
        <v>6546.7299573139644</v>
      </c>
      <c r="E101" s="57">
        <f t="shared" si="5"/>
        <v>846.72995731396441</v>
      </c>
      <c r="F101" s="57">
        <f t="shared" si="9"/>
        <v>18.657900164853345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</row>
    <row r="102" spans="1:17" x14ac:dyDescent="0.25">
      <c r="A102" s="1">
        <f t="shared" si="6"/>
        <v>43994</v>
      </c>
      <c r="B102" s="57">
        <v>60</v>
      </c>
      <c r="C102" s="57">
        <f t="shared" si="7"/>
        <v>5760</v>
      </c>
      <c r="D102" s="57">
        <f t="shared" si="8"/>
        <v>6625.6147552677548</v>
      </c>
      <c r="E102" s="57">
        <f t="shared" si="5"/>
        <v>865.61475526775484</v>
      </c>
      <c r="F102" s="57">
        <f t="shared" si="9"/>
        <v>18.884797953790439</v>
      </c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</row>
    <row r="103" spans="1:17" x14ac:dyDescent="0.25">
      <c r="A103" s="1">
        <f t="shared" si="6"/>
        <v>44008</v>
      </c>
      <c r="B103" s="57">
        <v>60</v>
      </c>
      <c r="C103" s="57">
        <f t="shared" si="7"/>
        <v>5820</v>
      </c>
      <c r="D103" s="57">
        <f t="shared" si="8"/>
        <v>6704.727105523335</v>
      </c>
      <c r="E103" s="57">
        <f t="shared" si="5"/>
        <v>884.72710552333501</v>
      </c>
      <c r="F103" s="57">
        <f t="shared" si="9"/>
        <v>19.112350255580168</v>
      </c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</row>
    <row r="104" spans="1:17" x14ac:dyDescent="0.25">
      <c r="A104" s="1">
        <f t="shared" si="6"/>
        <v>44022</v>
      </c>
      <c r="B104" s="57">
        <v>60</v>
      </c>
      <c r="C104" s="57">
        <f t="shared" si="7"/>
        <v>5880</v>
      </c>
      <c r="D104" s="57">
        <f t="shared" si="8"/>
        <v>6784.0676644815758</v>
      </c>
      <c r="E104" s="57">
        <f t="shared" si="5"/>
        <v>904.06766448157578</v>
      </c>
      <c r="F104" s="57">
        <f t="shared" si="9"/>
        <v>19.340558958240763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x14ac:dyDescent="0.25">
      <c r="A105" s="1">
        <f t="shared" si="6"/>
        <v>44036</v>
      </c>
      <c r="B105" s="57">
        <v>60</v>
      </c>
      <c r="C105" s="57">
        <f t="shared" si="7"/>
        <v>5940</v>
      </c>
      <c r="D105" s="57">
        <f t="shared" si="8"/>
        <v>6863.6370904368114</v>
      </c>
      <c r="E105" s="57">
        <f t="shared" si="5"/>
        <v>923.63709043681138</v>
      </c>
      <c r="F105" s="57">
        <f t="shared" si="9"/>
        <v>19.569425955235602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</row>
    <row r="106" spans="1:17" x14ac:dyDescent="0.25">
      <c r="A106" s="1">
        <f t="shared" si="6"/>
        <v>44050</v>
      </c>
      <c r="B106" s="57">
        <v>60</v>
      </c>
      <c r="C106" s="57">
        <f t="shared" si="7"/>
        <v>6000</v>
      </c>
      <c r="D106" s="57">
        <f t="shared" si="8"/>
        <v>6943.4360435823019</v>
      </c>
      <c r="E106" s="57">
        <f t="shared" si="5"/>
        <v>943.43604358230186</v>
      </c>
      <c r="F106" s="57">
        <f t="shared" si="9"/>
        <v>19.798953145490486</v>
      </c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</row>
    <row r="107" spans="1:17" x14ac:dyDescent="0.25">
      <c r="A107" s="1">
        <f t="shared" si="6"/>
        <v>44064</v>
      </c>
      <c r="B107" s="57">
        <v>60</v>
      </c>
      <c r="C107" s="57">
        <f t="shared" si="7"/>
        <v>6060</v>
      </c>
      <c r="D107" s="57">
        <f t="shared" si="8"/>
        <v>7023.4651860157119</v>
      </c>
      <c r="E107" s="57">
        <f t="shared" si="5"/>
        <v>963.46518601571188</v>
      </c>
      <c r="F107" s="57">
        <f t="shared" si="9"/>
        <v>20.029142433410016</v>
      </c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</row>
    <row r="108" spans="1:17" x14ac:dyDescent="0.25">
      <c r="A108" s="1">
        <f t="shared" si="6"/>
        <v>44078</v>
      </c>
      <c r="B108" s="57">
        <v>60</v>
      </c>
      <c r="C108" s="57">
        <f t="shared" si="7"/>
        <v>6120</v>
      </c>
      <c r="D108" s="57">
        <f t="shared" si="8"/>
        <v>7103.7251817446031</v>
      </c>
      <c r="E108" s="57">
        <f t="shared" si="5"/>
        <v>983.72518174460311</v>
      </c>
      <c r="F108" s="57">
        <f t="shared" si="9"/>
        <v>20.259995728891226</v>
      </c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</row>
    <row r="109" spans="1:17" x14ac:dyDescent="0.25">
      <c r="A109" s="1">
        <f t="shared" si="6"/>
        <v>44092</v>
      </c>
      <c r="B109" s="57">
        <v>60</v>
      </c>
      <c r="C109" s="57">
        <f t="shared" si="7"/>
        <v>6180</v>
      </c>
      <c r="D109" s="57">
        <f t="shared" si="8"/>
        <v>7184.2166966919431</v>
      </c>
      <c r="E109" s="57">
        <f t="shared" si="5"/>
        <v>1004.2166966919431</v>
      </c>
      <c r="F109" s="57">
        <f t="shared" si="9"/>
        <v>20.491514947339965</v>
      </c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</row>
    <row r="110" spans="1:17" x14ac:dyDescent="0.25">
      <c r="A110" s="1">
        <f t="shared" si="6"/>
        <v>44106</v>
      </c>
      <c r="B110" s="57">
        <v>60</v>
      </c>
      <c r="C110" s="57">
        <f t="shared" si="7"/>
        <v>6240</v>
      </c>
      <c r="D110" s="57">
        <f t="shared" si="8"/>
        <v>7264.9403987016312</v>
      </c>
      <c r="E110" s="57">
        <f t="shared" si="5"/>
        <v>1024.9403987016312</v>
      </c>
      <c r="F110" s="57">
        <f t="shared" si="9"/>
        <v>20.723702009688168</v>
      </c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</row>
    <row r="111" spans="1:17" x14ac:dyDescent="0.25">
      <c r="A111" s="1">
        <f t="shared" si="6"/>
        <v>44120</v>
      </c>
      <c r="B111" s="57">
        <v>60</v>
      </c>
      <c r="C111" s="57">
        <f t="shared" si="7"/>
        <v>6300</v>
      </c>
      <c r="D111" s="57">
        <f t="shared" si="8"/>
        <v>7345.8969575440397</v>
      </c>
      <c r="E111" s="57">
        <f t="shared" si="5"/>
        <v>1045.8969575440397</v>
      </c>
      <c r="F111" s="57">
        <f t="shared" si="9"/>
        <v>20.956558842408413</v>
      </c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</row>
    <row r="112" spans="1:17" x14ac:dyDescent="0.25">
      <c r="A112" s="1">
        <f t="shared" si="6"/>
        <v>44134</v>
      </c>
      <c r="B112" s="57">
        <v>60</v>
      </c>
      <c r="C112" s="57">
        <f t="shared" si="7"/>
        <v>6360</v>
      </c>
      <c r="D112" s="57">
        <f t="shared" si="8"/>
        <v>7427.0870449215709</v>
      </c>
      <c r="E112" s="57">
        <f t="shared" si="5"/>
        <v>1067.0870449215709</v>
      </c>
      <c r="F112" s="57">
        <f t="shared" si="9"/>
        <v>21.190087377531199</v>
      </c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</row>
    <row r="113" spans="1:17" x14ac:dyDescent="0.25">
      <c r="A113" s="1">
        <f t="shared" si="6"/>
        <v>44148</v>
      </c>
      <c r="B113" s="57">
        <v>60</v>
      </c>
      <c r="C113" s="57">
        <f t="shared" si="7"/>
        <v>6420</v>
      </c>
      <c r="D113" s="57">
        <f t="shared" si="8"/>
        <v>7508.5113344742294</v>
      </c>
      <c r="E113" s="57">
        <f t="shared" si="5"/>
        <v>1088.5113344742294</v>
      </c>
      <c r="F113" s="57">
        <f t="shared" si="9"/>
        <v>21.424289552658593</v>
      </c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x14ac:dyDescent="0.25">
      <c r="A114" s="1">
        <f t="shared" si="6"/>
        <v>44162</v>
      </c>
      <c r="B114" s="57">
        <v>60</v>
      </c>
      <c r="C114" s="57">
        <f t="shared" si="7"/>
        <v>6480</v>
      </c>
      <c r="D114" s="57">
        <f t="shared" si="8"/>
        <v>7590.1705017852128</v>
      </c>
      <c r="E114" s="57">
        <f t="shared" si="5"/>
        <v>1110.1705017852128</v>
      </c>
      <c r="F114" s="57">
        <f t="shared" si="9"/>
        <v>21.659167310983321</v>
      </c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</row>
    <row r="115" spans="1:17" x14ac:dyDescent="0.25">
      <c r="A115" s="1">
        <f t="shared" si="6"/>
        <v>44176</v>
      </c>
      <c r="B115" s="57">
        <v>60</v>
      </c>
      <c r="C115" s="57">
        <f t="shared" si="7"/>
        <v>6540</v>
      </c>
      <c r="D115" s="57">
        <f t="shared" si="8"/>
        <v>7672.0652243865161</v>
      </c>
      <c r="E115" s="57">
        <f t="shared" si="5"/>
        <v>1132.0652243865161</v>
      </c>
      <c r="F115" s="57">
        <f t="shared" si="9"/>
        <v>21.894722601303329</v>
      </c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</row>
    <row r="116" spans="1:17" x14ac:dyDescent="0.25">
      <c r="A116" s="1">
        <f t="shared" si="6"/>
        <v>44190</v>
      </c>
      <c r="B116" s="57">
        <v>60</v>
      </c>
      <c r="C116" s="57">
        <f t="shared" si="7"/>
        <v>6600</v>
      </c>
      <c r="D116" s="57">
        <f t="shared" si="8"/>
        <v>7754.1961817645542</v>
      </c>
      <c r="E116" s="57">
        <f t="shared" si="5"/>
        <v>1154.1961817645542</v>
      </c>
      <c r="F116" s="57">
        <f t="shared" si="9"/>
        <v>22.130957378038147</v>
      </c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</row>
    <row r="117" spans="1:17" x14ac:dyDescent="0.25">
      <c r="A117" s="1">
        <f t="shared" si="6"/>
        <v>44204</v>
      </c>
      <c r="B117" s="57">
        <v>60</v>
      </c>
      <c r="C117" s="57">
        <f t="shared" si="7"/>
        <v>6660</v>
      </c>
      <c r="D117" s="57">
        <f t="shared" si="8"/>
        <v>7836.5640553657977</v>
      </c>
      <c r="E117" s="57">
        <f t="shared" si="5"/>
        <v>1176.5640553657977</v>
      </c>
      <c r="F117" s="57">
        <f t="shared" si="9"/>
        <v>22.367873601243446</v>
      </c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</row>
    <row r="118" spans="1:17" x14ac:dyDescent="0.25">
      <c r="A118" s="1">
        <f t="shared" si="6"/>
        <v>44218</v>
      </c>
      <c r="B118" s="57">
        <v>60</v>
      </c>
      <c r="C118" s="57">
        <f t="shared" si="7"/>
        <v>6720</v>
      </c>
      <c r="D118" s="57">
        <f t="shared" si="8"/>
        <v>7919.1695286024296</v>
      </c>
      <c r="E118" s="57">
        <f t="shared" si="5"/>
        <v>1199.1695286024296</v>
      </c>
      <c r="F118" s="57">
        <f t="shared" si="9"/>
        <v>22.605473236631951</v>
      </c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</row>
    <row r="119" spans="1:17" x14ac:dyDescent="0.25">
      <c r="A119" s="1">
        <f t="shared" si="6"/>
        <v>44232</v>
      </c>
      <c r="B119" s="57">
        <v>60</v>
      </c>
      <c r="C119" s="57">
        <f t="shared" si="7"/>
        <v>6780</v>
      </c>
      <c r="D119" s="57">
        <f t="shared" si="8"/>
        <v>8002.0132868580131</v>
      </c>
      <c r="E119" s="57">
        <f t="shared" si="5"/>
        <v>1222.0132868580131</v>
      </c>
      <c r="F119" s="57">
        <f t="shared" si="9"/>
        <v>22.843758255583452</v>
      </c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</row>
    <row r="120" spans="1:17" x14ac:dyDescent="0.25">
      <c r="A120" s="1">
        <f t="shared" si="6"/>
        <v>44246</v>
      </c>
      <c r="B120" s="57">
        <v>60</v>
      </c>
      <c r="C120" s="57">
        <f t="shared" si="7"/>
        <v>6840</v>
      </c>
      <c r="D120" s="57">
        <f t="shared" si="8"/>
        <v>8085.0960174931806</v>
      </c>
      <c r="E120" s="57">
        <f t="shared" si="5"/>
        <v>1245.0960174931806</v>
      </c>
      <c r="F120" s="57">
        <f t="shared" si="9"/>
        <v>23.082730635167536</v>
      </c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</row>
    <row r="121" spans="1:17" x14ac:dyDescent="0.25">
      <c r="A121" s="1">
        <f t="shared" si="6"/>
        <v>44260</v>
      </c>
      <c r="B121" s="57">
        <v>60</v>
      </c>
      <c r="C121" s="57">
        <f t="shared" si="7"/>
        <v>6900</v>
      </c>
      <c r="D121" s="57">
        <f t="shared" si="8"/>
        <v>8168.4184098513342</v>
      </c>
      <c r="E121" s="57">
        <f t="shared" si="5"/>
        <v>1268.4184098513342</v>
      </c>
      <c r="F121" s="57">
        <f t="shared" si="9"/>
        <v>23.322392358153593</v>
      </c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</row>
    <row r="122" spans="1:17" x14ac:dyDescent="0.25">
      <c r="A122" s="1">
        <f t="shared" si="6"/>
        <v>44274</v>
      </c>
      <c r="B122" s="57">
        <v>60</v>
      </c>
      <c r="C122" s="57">
        <f t="shared" si="7"/>
        <v>6960</v>
      </c>
      <c r="D122" s="57">
        <f t="shared" si="8"/>
        <v>8251.981155264366</v>
      </c>
      <c r="E122" s="57">
        <f t="shared" si="5"/>
        <v>1291.981155264366</v>
      </c>
      <c r="F122" s="57">
        <f t="shared" si="9"/>
        <v>23.562745413031735</v>
      </c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</row>
    <row r="123" spans="1:17" x14ac:dyDescent="0.25">
      <c r="A123" s="1">
        <f t="shared" si="6"/>
        <v>44288</v>
      </c>
      <c r="B123" s="57">
        <v>60</v>
      </c>
      <c r="C123" s="57">
        <f t="shared" si="7"/>
        <v>7020</v>
      </c>
      <c r="D123" s="57">
        <f t="shared" si="8"/>
        <v>8335.7849470583969</v>
      </c>
      <c r="E123" s="57">
        <f t="shared" si="5"/>
        <v>1315.7849470583969</v>
      </c>
      <c r="F123" s="57">
        <f t="shared" si="9"/>
        <v>23.803791794030985</v>
      </c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</row>
    <row r="124" spans="1:17" x14ac:dyDescent="0.25">
      <c r="A124" s="1">
        <f t="shared" si="6"/>
        <v>44302</v>
      </c>
      <c r="B124" s="57">
        <v>60</v>
      </c>
      <c r="C124" s="57">
        <f t="shared" si="7"/>
        <v>7080</v>
      </c>
      <c r="D124" s="57">
        <f t="shared" si="8"/>
        <v>8419.8304805595271</v>
      </c>
      <c r="E124" s="57">
        <f t="shared" si="5"/>
        <v>1339.8304805595271</v>
      </c>
      <c r="F124" s="57">
        <f t="shared" si="9"/>
        <v>24.045533501130194</v>
      </c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</row>
    <row r="125" spans="1:17" x14ac:dyDescent="0.25">
      <c r="A125" s="1">
        <f t="shared" si="6"/>
        <v>44316</v>
      </c>
      <c r="B125" s="57">
        <v>60</v>
      </c>
      <c r="C125" s="57">
        <f t="shared" si="7"/>
        <v>7140</v>
      </c>
      <c r="D125" s="57">
        <f t="shared" si="8"/>
        <v>8504.1184530996034</v>
      </c>
      <c r="E125" s="57">
        <f t="shared" si="5"/>
        <v>1364.1184530996034</v>
      </c>
      <c r="F125" s="57">
        <f t="shared" si="9"/>
        <v>24.287972540076225</v>
      </c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</row>
    <row r="126" spans="1:17" x14ac:dyDescent="0.25">
      <c r="A126" s="1">
        <f t="shared" si="6"/>
        <v>44330</v>
      </c>
      <c r="B126" s="57">
        <v>60</v>
      </c>
      <c r="C126" s="57">
        <f t="shared" si="7"/>
        <v>7200</v>
      </c>
      <c r="D126" s="57">
        <f t="shared" si="8"/>
        <v>8588.6495640220055</v>
      </c>
      <c r="E126" s="57">
        <f t="shared" si="5"/>
        <v>1388.6495640220055</v>
      </c>
      <c r="F126" s="57">
        <f t="shared" si="9"/>
        <v>24.531110922402149</v>
      </c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</row>
    <row r="127" spans="1:17" x14ac:dyDescent="0.25">
      <c r="A127" s="1">
        <f t="shared" si="6"/>
        <v>44344</v>
      </c>
      <c r="B127" s="57">
        <v>60</v>
      </c>
      <c r="C127" s="57">
        <f t="shared" si="7"/>
        <v>7260</v>
      </c>
      <c r="D127" s="57">
        <f t="shared" si="8"/>
        <v>8673.4245146874528</v>
      </c>
      <c r="E127" s="57">
        <f t="shared" si="5"/>
        <v>1413.4245146874528</v>
      </c>
      <c r="F127" s="57">
        <f t="shared" si="9"/>
        <v>24.77495066544725</v>
      </c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</row>
    <row r="128" spans="1:17" x14ac:dyDescent="0.25">
      <c r="A128" s="1">
        <f t="shared" si="6"/>
        <v>44358</v>
      </c>
      <c r="B128" s="57">
        <v>60</v>
      </c>
      <c r="C128" s="57">
        <f t="shared" si="7"/>
        <v>7320</v>
      </c>
      <c r="D128" s="57">
        <f t="shared" si="8"/>
        <v>8758.4440084798207</v>
      </c>
      <c r="E128" s="57">
        <f t="shared" si="5"/>
        <v>1438.4440084798207</v>
      </c>
      <c r="F128" s="57">
        <f t="shared" si="9"/>
        <v>25.019493792367939</v>
      </c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</row>
    <row r="129" spans="1:17" x14ac:dyDescent="0.25">
      <c r="A129" s="1">
        <f t="shared" si="6"/>
        <v>44372</v>
      </c>
      <c r="B129" s="57">
        <v>60</v>
      </c>
      <c r="C129" s="57">
        <f t="shared" si="7"/>
        <v>7380</v>
      </c>
      <c r="D129" s="57">
        <f t="shared" si="8"/>
        <v>8843.7087508119748</v>
      </c>
      <c r="E129" s="57">
        <f t="shared" si="5"/>
        <v>1463.7087508119748</v>
      </c>
      <c r="F129" s="57">
        <f t="shared" si="9"/>
        <v>25.264742332154128</v>
      </c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</row>
    <row r="130" spans="1:17" x14ac:dyDescent="0.25">
      <c r="A130" s="1">
        <f t="shared" si="6"/>
        <v>44386</v>
      </c>
      <c r="B130" s="57">
        <v>60</v>
      </c>
      <c r="C130" s="57">
        <f t="shared" si="7"/>
        <v>7440</v>
      </c>
      <c r="D130" s="57">
        <f t="shared" si="8"/>
        <v>8929.2194491316241</v>
      </c>
      <c r="E130" s="57">
        <f t="shared" si="5"/>
        <v>1489.2194491316241</v>
      </c>
      <c r="F130" s="57">
        <f t="shared" si="9"/>
        <v>25.510698319649237</v>
      </c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</row>
    <row r="131" spans="1:17" x14ac:dyDescent="0.25">
      <c r="A131" s="1">
        <f t="shared" si="6"/>
        <v>44400</v>
      </c>
      <c r="B131" s="57">
        <v>60</v>
      </c>
      <c r="C131" s="57">
        <f t="shared" si="7"/>
        <v>7500</v>
      </c>
      <c r="D131" s="57">
        <f t="shared" si="8"/>
        <v>9014.9768129271961</v>
      </c>
      <c r="E131" s="57">
        <f t="shared" si="5"/>
        <v>1514.9768129271961</v>
      </c>
      <c r="F131" s="57">
        <f t="shared" si="9"/>
        <v>25.757363795572019</v>
      </c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</row>
    <row r="132" spans="1:17" x14ac:dyDescent="0.25">
      <c r="A132" s="1">
        <f t="shared" si="6"/>
        <v>44414</v>
      </c>
      <c r="B132" s="57">
        <v>60</v>
      </c>
      <c r="C132" s="57">
        <f t="shared" si="7"/>
        <v>7560</v>
      </c>
      <c r="D132" s="57">
        <f t="shared" si="8"/>
        <v>9100.9815537337163</v>
      </c>
      <c r="E132" s="57">
        <f t="shared" si="5"/>
        <v>1540.9815537337163</v>
      </c>
      <c r="F132" s="57">
        <f t="shared" si="9"/>
        <v>26.004740806520203</v>
      </c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</row>
    <row r="133" spans="1:17" x14ac:dyDescent="0.25">
      <c r="A133" s="1">
        <f t="shared" si="6"/>
        <v>44428</v>
      </c>
      <c r="B133" s="57">
        <v>60</v>
      </c>
      <c r="C133" s="57">
        <f t="shared" si="7"/>
        <v>7620</v>
      </c>
      <c r="D133" s="57">
        <f t="shared" si="8"/>
        <v>9187.2343851387177</v>
      </c>
      <c r="E133" s="57">
        <f t="shared" si="5"/>
        <v>1567.2343851387177</v>
      </c>
      <c r="F133" s="57">
        <f t="shared" si="9"/>
        <v>26.252831405001416</v>
      </c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</row>
    <row r="134" spans="1:17" x14ac:dyDescent="0.25">
      <c r="A134" s="1">
        <f t="shared" si="6"/>
        <v>44442</v>
      </c>
      <c r="B134" s="57">
        <v>60</v>
      </c>
      <c r="C134" s="57">
        <f t="shared" si="7"/>
        <v>7680</v>
      </c>
      <c r="D134" s="57">
        <f t="shared" si="8"/>
        <v>9273.7360227881563</v>
      </c>
      <c r="E134" s="57">
        <f t="shared" ref="E134:E197" si="10">D134-C134</f>
        <v>1593.7360227881563</v>
      </c>
      <c r="F134" s="57">
        <f t="shared" si="9"/>
        <v>26.501637649438635</v>
      </c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</row>
    <row r="135" spans="1:17" x14ac:dyDescent="0.25">
      <c r="A135" s="1">
        <f t="shared" ref="A135:A198" si="11">A134+14</f>
        <v>44456</v>
      </c>
      <c r="B135" s="57">
        <v>60</v>
      </c>
      <c r="C135" s="57">
        <f t="shared" ref="C135:C198" si="12">C134+B135</f>
        <v>7740</v>
      </c>
      <c r="D135" s="57">
        <f t="shared" ref="D135:D198" si="13">D134*(1+$D$2) + B135</f>
        <v>9360.487184392352</v>
      </c>
      <c r="E135" s="57">
        <f t="shared" si="10"/>
        <v>1620.487184392352</v>
      </c>
      <c r="F135" s="57">
        <f t="shared" ref="F135:F198" si="14">E135-E134</f>
        <v>26.751161604195659</v>
      </c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</row>
    <row r="136" spans="1:17" x14ac:dyDescent="0.25">
      <c r="A136" s="1">
        <f t="shared" si="11"/>
        <v>44470</v>
      </c>
      <c r="B136" s="57">
        <v>60</v>
      </c>
      <c r="C136" s="57">
        <f t="shared" si="12"/>
        <v>7800</v>
      </c>
      <c r="D136" s="57">
        <f t="shared" si="13"/>
        <v>9447.4885897319455</v>
      </c>
      <c r="E136" s="57">
        <f t="shared" si="10"/>
        <v>1647.4885897319455</v>
      </c>
      <c r="F136" s="57">
        <f t="shared" si="14"/>
        <v>27.001405339593475</v>
      </c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</row>
    <row r="137" spans="1:17" x14ac:dyDescent="0.25">
      <c r="A137" s="1">
        <f t="shared" si="11"/>
        <v>44484</v>
      </c>
      <c r="B137" s="57">
        <v>60</v>
      </c>
      <c r="C137" s="57">
        <f t="shared" si="12"/>
        <v>7860</v>
      </c>
      <c r="D137" s="57">
        <f t="shared" si="13"/>
        <v>9534.7409606638648</v>
      </c>
      <c r="E137" s="57">
        <f t="shared" si="10"/>
        <v>1674.7409606638648</v>
      </c>
      <c r="F137" s="57">
        <f t="shared" si="14"/>
        <v>27.252370931919359</v>
      </c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</row>
    <row r="138" spans="1:17" x14ac:dyDescent="0.25">
      <c r="A138" s="1">
        <f t="shared" si="11"/>
        <v>44498</v>
      </c>
      <c r="B138" s="57">
        <v>60</v>
      </c>
      <c r="C138" s="57">
        <f t="shared" si="12"/>
        <v>7920</v>
      </c>
      <c r="D138" s="57">
        <f t="shared" si="13"/>
        <v>9622.245021127319</v>
      </c>
      <c r="E138" s="57">
        <f t="shared" si="10"/>
        <v>1702.245021127319</v>
      </c>
      <c r="F138" s="57">
        <f t="shared" si="14"/>
        <v>27.504060463454152</v>
      </c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</row>
    <row r="139" spans="1:17" x14ac:dyDescent="0.25">
      <c r="A139" s="1">
        <f t="shared" si="11"/>
        <v>44512</v>
      </c>
      <c r="B139" s="57">
        <v>60</v>
      </c>
      <c r="C139" s="57">
        <f t="shared" si="12"/>
        <v>7980</v>
      </c>
      <c r="D139" s="57">
        <f t="shared" si="13"/>
        <v>9710.0014971498022</v>
      </c>
      <c r="E139" s="57">
        <f t="shared" si="10"/>
        <v>1730.0014971498022</v>
      </c>
      <c r="F139" s="57">
        <f t="shared" si="14"/>
        <v>27.756476022483184</v>
      </c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</row>
    <row r="140" spans="1:17" x14ac:dyDescent="0.25">
      <c r="A140" s="1">
        <f t="shared" si="11"/>
        <v>44526</v>
      </c>
      <c r="B140" s="57">
        <v>60</v>
      </c>
      <c r="C140" s="57">
        <f t="shared" si="12"/>
        <v>8040</v>
      </c>
      <c r="D140" s="57">
        <f t="shared" si="13"/>
        <v>9798.0111168531184</v>
      </c>
      <c r="E140" s="57">
        <f t="shared" si="10"/>
        <v>1758.0111168531184</v>
      </c>
      <c r="F140" s="57">
        <f t="shared" si="14"/>
        <v>28.009619703316275</v>
      </c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</row>
    <row r="141" spans="1:17" x14ac:dyDescent="0.25">
      <c r="A141" s="1">
        <f t="shared" si="11"/>
        <v>44540</v>
      </c>
      <c r="B141" s="57">
        <v>60</v>
      </c>
      <c r="C141" s="57">
        <f t="shared" si="12"/>
        <v>8100</v>
      </c>
      <c r="D141" s="57">
        <f t="shared" si="13"/>
        <v>9886.2746104594262</v>
      </c>
      <c r="E141" s="57">
        <f t="shared" si="10"/>
        <v>1786.2746104594262</v>
      </c>
      <c r="F141" s="57">
        <f t="shared" si="14"/>
        <v>28.263493606307748</v>
      </c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</row>
    <row r="142" spans="1:17" x14ac:dyDescent="0.25">
      <c r="A142" s="1">
        <f t="shared" si="11"/>
        <v>44554</v>
      </c>
      <c r="B142" s="57">
        <v>60</v>
      </c>
      <c r="C142" s="57">
        <f t="shared" si="12"/>
        <v>8160</v>
      </c>
      <c r="D142" s="57">
        <f t="shared" si="13"/>
        <v>9974.7927102972899</v>
      </c>
      <c r="E142" s="57">
        <f t="shared" si="10"/>
        <v>1814.7927102972899</v>
      </c>
      <c r="F142" s="57">
        <f t="shared" si="14"/>
        <v>28.518099837863701</v>
      </c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</row>
    <row r="143" spans="1:17" x14ac:dyDescent="0.25">
      <c r="A143" s="1">
        <f t="shared" si="11"/>
        <v>44568</v>
      </c>
      <c r="B143" s="57">
        <v>60</v>
      </c>
      <c r="C143" s="57">
        <f t="shared" si="12"/>
        <v>8220</v>
      </c>
      <c r="D143" s="57">
        <f t="shared" si="13"/>
        <v>10063.566150807763</v>
      </c>
      <c r="E143" s="57">
        <f t="shared" si="10"/>
        <v>1843.5661508077628</v>
      </c>
      <c r="F143" s="57">
        <f t="shared" si="14"/>
        <v>28.773440510472938</v>
      </c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</row>
    <row r="144" spans="1:17" x14ac:dyDescent="0.25">
      <c r="A144" s="1">
        <f t="shared" si="11"/>
        <v>44582</v>
      </c>
      <c r="B144" s="57">
        <v>60</v>
      </c>
      <c r="C144" s="57">
        <f t="shared" si="12"/>
        <v>8280</v>
      </c>
      <c r="D144" s="57">
        <f t="shared" si="13"/>
        <v>10152.595668550477</v>
      </c>
      <c r="E144" s="57">
        <f t="shared" si="10"/>
        <v>1872.5956685504771</v>
      </c>
      <c r="F144" s="57">
        <f t="shared" si="14"/>
        <v>29.029517742714233</v>
      </c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</row>
    <row r="145" spans="1:17" x14ac:dyDescent="0.25">
      <c r="A145" s="1">
        <f t="shared" si="11"/>
        <v>44596</v>
      </c>
      <c r="B145" s="57">
        <v>60</v>
      </c>
      <c r="C145" s="57">
        <f t="shared" si="12"/>
        <v>8340</v>
      </c>
      <c r="D145" s="57">
        <f t="shared" si="13"/>
        <v>10241.882002209757</v>
      </c>
      <c r="E145" s="57">
        <f t="shared" si="10"/>
        <v>1901.882002209757</v>
      </c>
      <c r="F145" s="57">
        <f t="shared" si="14"/>
        <v>29.28633365927999</v>
      </c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</row>
    <row r="146" spans="1:17" x14ac:dyDescent="0.25">
      <c r="A146" s="1">
        <f t="shared" si="11"/>
        <v>44610</v>
      </c>
      <c r="B146" s="57">
        <v>60</v>
      </c>
      <c r="C146" s="57">
        <f t="shared" si="12"/>
        <v>8400</v>
      </c>
      <c r="D146" s="57">
        <f t="shared" si="13"/>
        <v>10331.425892600746</v>
      </c>
      <c r="E146" s="57">
        <f t="shared" si="10"/>
        <v>1931.425892600746</v>
      </c>
      <c r="F146" s="57">
        <f t="shared" si="14"/>
        <v>29.543890390988963</v>
      </c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</row>
    <row r="147" spans="1:17" x14ac:dyDescent="0.25">
      <c r="A147" s="1">
        <f t="shared" si="11"/>
        <v>44624</v>
      </c>
      <c r="B147" s="57">
        <v>60</v>
      </c>
      <c r="C147" s="57">
        <f t="shared" si="12"/>
        <v>8460</v>
      </c>
      <c r="D147" s="57">
        <f t="shared" si="13"/>
        <v>10421.228082675556</v>
      </c>
      <c r="E147" s="57">
        <f t="shared" si="10"/>
        <v>1961.2280826755559</v>
      </c>
      <c r="F147" s="57">
        <f t="shared" si="14"/>
        <v>29.802190074809914</v>
      </c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</row>
    <row r="148" spans="1:17" x14ac:dyDescent="0.25">
      <c r="A148" s="1">
        <f t="shared" si="11"/>
        <v>44638</v>
      </c>
      <c r="B148" s="57">
        <v>60</v>
      </c>
      <c r="C148" s="57">
        <f t="shared" si="12"/>
        <v>8520</v>
      </c>
      <c r="D148" s="57">
        <f t="shared" si="13"/>
        <v>10511.289317529428</v>
      </c>
      <c r="E148" s="57">
        <f t="shared" si="10"/>
        <v>1991.2893175294284</v>
      </c>
      <c r="F148" s="57">
        <f t="shared" si="14"/>
        <v>30.06123485387252</v>
      </c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</row>
    <row r="149" spans="1:17" x14ac:dyDescent="0.25">
      <c r="A149" s="1">
        <f t="shared" si="11"/>
        <v>44652</v>
      </c>
      <c r="B149" s="57">
        <v>60</v>
      </c>
      <c r="C149" s="57">
        <f t="shared" si="12"/>
        <v>8580</v>
      </c>
      <c r="D149" s="57">
        <f t="shared" si="13"/>
        <v>10601.610344406918</v>
      </c>
      <c r="E149" s="57">
        <f t="shared" si="10"/>
        <v>2021.6103444069176</v>
      </c>
      <c r="F149" s="57">
        <f t="shared" si="14"/>
        <v>30.321026877489203</v>
      </c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</row>
    <row r="150" spans="1:17" x14ac:dyDescent="0.25">
      <c r="A150" s="1">
        <f t="shared" si="11"/>
        <v>44666</v>
      </c>
      <c r="B150" s="57">
        <v>60</v>
      </c>
      <c r="C150" s="57">
        <f t="shared" si="12"/>
        <v>8640</v>
      </c>
      <c r="D150" s="57">
        <f t="shared" si="13"/>
        <v>10692.191912708091</v>
      </c>
      <c r="E150" s="57">
        <f t="shared" si="10"/>
        <v>2052.191912708091</v>
      </c>
      <c r="F150" s="57">
        <f t="shared" si="14"/>
        <v>30.58156830117332</v>
      </c>
    </row>
    <row r="151" spans="1:17" x14ac:dyDescent="0.25">
      <c r="A151" s="1">
        <f t="shared" si="11"/>
        <v>44680</v>
      </c>
      <c r="B151" s="57">
        <v>60</v>
      </c>
      <c r="C151" s="57">
        <f t="shared" si="12"/>
        <v>8700</v>
      </c>
      <c r="D151" s="57">
        <f t="shared" si="13"/>
        <v>10783.034773994748</v>
      </c>
      <c r="E151" s="57">
        <f t="shared" si="10"/>
        <v>2083.0347739947483</v>
      </c>
      <c r="F151" s="57">
        <f t="shared" si="14"/>
        <v>30.842861286657353</v>
      </c>
    </row>
    <row r="152" spans="1:17" x14ac:dyDescent="0.25">
      <c r="A152" s="1">
        <f t="shared" si="11"/>
        <v>44694</v>
      </c>
      <c r="B152" s="57">
        <v>60</v>
      </c>
      <c r="C152" s="57">
        <f t="shared" si="12"/>
        <v>8760</v>
      </c>
      <c r="D152" s="57">
        <f t="shared" si="13"/>
        <v>10874.139681996656</v>
      </c>
      <c r="E152" s="57">
        <f t="shared" si="10"/>
        <v>2114.1396819966558</v>
      </c>
      <c r="F152" s="57">
        <f t="shared" si="14"/>
        <v>31.104908001907461</v>
      </c>
    </row>
    <row r="153" spans="1:17" x14ac:dyDescent="0.25">
      <c r="A153" s="1">
        <f t="shared" si="11"/>
        <v>44708</v>
      </c>
      <c r="B153" s="57">
        <v>60</v>
      </c>
      <c r="C153" s="57">
        <f t="shared" si="12"/>
        <v>8820</v>
      </c>
      <c r="D153" s="57">
        <f t="shared" si="13"/>
        <v>10965.507392617799</v>
      </c>
      <c r="E153" s="57">
        <f t="shared" si="10"/>
        <v>2145.5073926177993</v>
      </c>
      <c r="F153" s="57">
        <f t="shared" si="14"/>
        <v>31.367710621143488</v>
      </c>
    </row>
    <row r="154" spans="1:17" x14ac:dyDescent="0.25">
      <c r="A154" s="1">
        <f t="shared" si="11"/>
        <v>44722</v>
      </c>
      <c r="B154" s="57">
        <v>60</v>
      </c>
      <c r="C154" s="57">
        <f t="shared" si="12"/>
        <v>8880</v>
      </c>
      <c r="D154" s="57">
        <f t="shared" si="13"/>
        <v>11057.138663942658</v>
      </c>
      <c r="E154" s="57">
        <f t="shared" si="10"/>
        <v>2177.1386639426582</v>
      </c>
      <c r="F154" s="57">
        <f t="shared" si="14"/>
        <v>31.631271324858972</v>
      </c>
    </row>
    <row r="155" spans="1:17" x14ac:dyDescent="0.25">
      <c r="A155" s="1">
        <f t="shared" si="11"/>
        <v>44736</v>
      </c>
      <c r="B155" s="57">
        <v>60</v>
      </c>
      <c r="C155" s="57">
        <f t="shared" si="12"/>
        <v>8940</v>
      </c>
      <c r="D155" s="57">
        <f t="shared" si="13"/>
        <v>11149.034256242492</v>
      </c>
      <c r="E155" s="57">
        <f t="shared" si="10"/>
        <v>2209.0342562424921</v>
      </c>
      <c r="F155" s="57">
        <f t="shared" si="14"/>
        <v>31.895592299833879</v>
      </c>
    </row>
    <row r="156" spans="1:17" x14ac:dyDescent="0.25">
      <c r="A156" s="1">
        <f t="shared" si="11"/>
        <v>44750</v>
      </c>
      <c r="B156" s="57">
        <v>60</v>
      </c>
      <c r="C156" s="57">
        <f t="shared" si="12"/>
        <v>9000</v>
      </c>
      <c r="D156" s="57">
        <f t="shared" si="13"/>
        <v>11241.194931981652</v>
      </c>
      <c r="E156" s="57">
        <f t="shared" si="10"/>
        <v>2241.1949319816522</v>
      </c>
      <c r="F156" s="57">
        <f t="shared" si="14"/>
        <v>32.160675739160069</v>
      </c>
    </row>
    <row r="157" spans="1:17" x14ac:dyDescent="0.25">
      <c r="A157" s="1">
        <f t="shared" si="11"/>
        <v>44764</v>
      </c>
      <c r="B157" s="57">
        <v>60</v>
      </c>
      <c r="C157" s="57">
        <f t="shared" si="12"/>
        <v>9060</v>
      </c>
      <c r="D157" s="57">
        <f t="shared" si="13"/>
        <v>11333.621455823906</v>
      </c>
      <c r="E157" s="57">
        <f t="shared" si="10"/>
        <v>2273.6214558239062</v>
      </c>
      <c r="F157" s="57">
        <f t="shared" si="14"/>
        <v>32.426523842254028</v>
      </c>
    </row>
    <row r="158" spans="1:17" x14ac:dyDescent="0.25">
      <c r="A158" s="1">
        <f t="shared" si="11"/>
        <v>44778</v>
      </c>
      <c r="B158" s="57">
        <v>60</v>
      </c>
      <c r="C158" s="57">
        <f t="shared" si="12"/>
        <v>9120</v>
      </c>
      <c r="D158" s="57">
        <f t="shared" si="13"/>
        <v>11426.314594638783</v>
      </c>
      <c r="E158" s="57">
        <f t="shared" si="10"/>
        <v>2306.3145946387831</v>
      </c>
      <c r="F158" s="57">
        <f t="shared" si="14"/>
        <v>32.693138814876875</v>
      </c>
    </row>
    <row r="159" spans="1:17" x14ac:dyDescent="0.25">
      <c r="A159" s="1">
        <f t="shared" si="11"/>
        <v>44792</v>
      </c>
      <c r="B159" s="57">
        <v>60</v>
      </c>
      <c r="C159" s="57">
        <f t="shared" si="12"/>
        <v>9180</v>
      </c>
      <c r="D159" s="57">
        <f t="shared" si="13"/>
        <v>11519.275117507934</v>
      </c>
      <c r="E159" s="57">
        <f t="shared" si="10"/>
        <v>2339.2751175079338</v>
      </c>
      <c r="F159" s="57">
        <f t="shared" si="14"/>
        <v>32.960522869150736</v>
      </c>
    </row>
    <row r="160" spans="1:17" x14ac:dyDescent="0.25">
      <c r="A160" s="1">
        <f t="shared" si="11"/>
        <v>44806</v>
      </c>
      <c r="B160" s="57">
        <v>60</v>
      </c>
      <c r="C160" s="57">
        <f t="shared" si="12"/>
        <v>9240</v>
      </c>
      <c r="D160" s="57">
        <f t="shared" si="13"/>
        <v>11612.503795731514</v>
      </c>
      <c r="E160" s="57">
        <f t="shared" si="10"/>
        <v>2372.5037957315144</v>
      </c>
      <c r="F160" s="57">
        <f t="shared" si="14"/>
        <v>33.228678223580573</v>
      </c>
    </row>
    <row r="161" spans="1:6" x14ac:dyDescent="0.25">
      <c r="A161" s="1">
        <f t="shared" si="11"/>
        <v>44820</v>
      </c>
      <c r="B161" s="57">
        <v>60</v>
      </c>
      <c r="C161" s="57">
        <f t="shared" si="12"/>
        <v>9300</v>
      </c>
      <c r="D161" s="57">
        <f t="shared" si="13"/>
        <v>11706.001402834587</v>
      </c>
      <c r="E161" s="57">
        <f t="shared" si="10"/>
        <v>2406.0014028345868</v>
      </c>
      <c r="F161" s="57">
        <f t="shared" si="14"/>
        <v>33.497607103072369</v>
      </c>
    </row>
    <row r="162" spans="1:6" x14ac:dyDescent="0.25">
      <c r="A162" s="1">
        <f t="shared" si="11"/>
        <v>44834</v>
      </c>
      <c r="B162" s="57">
        <v>60</v>
      </c>
      <c r="C162" s="57">
        <f t="shared" si="12"/>
        <v>9360</v>
      </c>
      <c r="D162" s="57">
        <f t="shared" si="13"/>
        <v>11799.768714573533</v>
      </c>
      <c r="E162" s="57">
        <f t="shared" si="10"/>
        <v>2439.7687145735326</v>
      </c>
      <c r="F162" s="57">
        <f t="shared" si="14"/>
        <v>33.767311738945864</v>
      </c>
    </row>
    <row r="163" spans="1:6" x14ac:dyDescent="0.25">
      <c r="A163" s="1">
        <f t="shared" si="11"/>
        <v>44848</v>
      </c>
      <c r="B163" s="57">
        <v>60</v>
      </c>
      <c r="C163" s="57">
        <f t="shared" si="12"/>
        <v>9420</v>
      </c>
      <c r="D163" s="57">
        <f t="shared" si="13"/>
        <v>11893.806508942494</v>
      </c>
      <c r="E163" s="57">
        <f t="shared" si="10"/>
        <v>2473.8065089424945</v>
      </c>
      <c r="F163" s="57">
        <f t="shared" si="14"/>
        <v>34.037794368961841</v>
      </c>
    </row>
    <row r="164" spans="1:6" x14ac:dyDescent="0.25">
      <c r="A164" s="1">
        <f t="shared" si="11"/>
        <v>44862</v>
      </c>
      <c r="B164" s="57">
        <v>60</v>
      </c>
      <c r="C164" s="57">
        <f t="shared" si="12"/>
        <v>9480</v>
      </c>
      <c r="D164" s="57">
        <f t="shared" si="13"/>
        <v>11988.115566179829</v>
      </c>
      <c r="E164" s="57">
        <f t="shared" si="10"/>
        <v>2508.1155661798293</v>
      </c>
      <c r="F164" s="57">
        <f t="shared" si="14"/>
        <v>34.309057237334855</v>
      </c>
    </row>
    <row r="165" spans="1:6" x14ac:dyDescent="0.25">
      <c r="A165" s="1">
        <f t="shared" si="11"/>
        <v>44876</v>
      </c>
      <c r="B165" s="57">
        <v>60</v>
      </c>
      <c r="C165" s="57">
        <f t="shared" si="12"/>
        <v>9540</v>
      </c>
      <c r="D165" s="57">
        <f t="shared" si="13"/>
        <v>12082.696668774579</v>
      </c>
      <c r="E165" s="57">
        <f t="shared" si="10"/>
        <v>2542.6966687745789</v>
      </c>
      <c r="F165" s="57">
        <f t="shared" si="14"/>
        <v>34.581102594749609</v>
      </c>
    </row>
    <row r="166" spans="1:6" x14ac:dyDescent="0.25">
      <c r="A166" s="1">
        <f t="shared" si="11"/>
        <v>44890</v>
      </c>
      <c r="B166" s="57">
        <v>60</v>
      </c>
      <c r="C166" s="57">
        <f t="shared" si="12"/>
        <v>9600</v>
      </c>
      <c r="D166" s="57">
        <f t="shared" si="13"/>
        <v>12177.550601472967</v>
      </c>
      <c r="E166" s="57">
        <f t="shared" si="10"/>
        <v>2577.5506014729672</v>
      </c>
      <c r="F166" s="57">
        <f t="shared" si="14"/>
        <v>34.853932698388235</v>
      </c>
    </row>
    <row r="167" spans="1:6" x14ac:dyDescent="0.25">
      <c r="A167" s="1">
        <f t="shared" si="11"/>
        <v>44904</v>
      </c>
      <c r="B167" s="57">
        <v>60</v>
      </c>
      <c r="C167" s="57">
        <f t="shared" si="12"/>
        <v>9660</v>
      </c>
      <c r="D167" s="57">
        <f t="shared" si="13"/>
        <v>12272.678151284908</v>
      </c>
      <c r="E167" s="57">
        <f t="shared" si="10"/>
        <v>2612.6781512849084</v>
      </c>
      <c r="F167" s="57">
        <f t="shared" si="14"/>
        <v>35.127549811941208</v>
      </c>
    </row>
    <row r="168" spans="1:6" x14ac:dyDescent="0.25">
      <c r="A168" s="1">
        <f t="shared" si="11"/>
        <v>44918</v>
      </c>
      <c r="B168" s="57">
        <v>60</v>
      </c>
      <c r="C168" s="57">
        <f t="shared" si="12"/>
        <v>9720</v>
      </c>
      <c r="D168" s="57">
        <f t="shared" si="13"/>
        <v>12368.080107490538</v>
      </c>
      <c r="E168" s="57">
        <f t="shared" si="10"/>
        <v>2648.0801074905376</v>
      </c>
      <c r="F168" s="57">
        <f t="shared" si="14"/>
        <v>35.401956205629176</v>
      </c>
    </row>
    <row r="169" spans="1:6" x14ac:dyDescent="0.25">
      <c r="A169" s="1">
        <f t="shared" si="11"/>
        <v>44932</v>
      </c>
      <c r="B169" s="57">
        <v>60</v>
      </c>
      <c r="C169" s="57">
        <f t="shared" si="12"/>
        <v>9780</v>
      </c>
      <c r="D169" s="57">
        <f t="shared" si="13"/>
        <v>12463.757261646761</v>
      </c>
      <c r="E169" s="57">
        <f t="shared" si="10"/>
        <v>2683.7572616467605</v>
      </c>
      <c r="F169" s="57">
        <f t="shared" si="14"/>
        <v>35.677154156222969</v>
      </c>
    </row>
    <row r="170" spans="1:6" x14ac:dyDescent="0.25">
      <c r="A170" s="1">
        <f t="shared" si="11"/>
        <v>44946</v>
      </c>
      <c r="B170" s="57">
        <v>60</v>
      </c>
      <c r="C170" s="57">
        <f t="shared" si="12"/>
        <v>9840</v>
      </c>
      <c r="D170" s="57">
        <f t="shared" si="13"/>
        <v>12559.710407593819</v>
      </c>
      <c r="E170" s="57">
        <f t="shared" si="10"/>
        <v>2719.7104075938187</v>
      </c>
      <c r="F170" s="57">
        <f t="shared" si="14"/>
        <v>35.953145947058147</v>
      </c>
    </row>
    <row r="171" spans="1:6" x14ac:dyDescent="0.25">
      <c r="A171" s="1">
        <f t="shared" si="11"/>
        <v>44960</v>
      </c>
      <c r="B171" s="57">
        <v>60</v>
      </c>
      <c r="C171" s="57">
        <f t="shared" si="12"/>
        <v>9900</v>
      </c>
      <c r="D171" s="57">
        <f t="shared" si="13"/>
        <v>12655.940341461877</v>
      </c>
      <c r="E171" s="57">
        <f t="shared" si="10"/>
        <v>2755.9403414618773</v>
      </c>
      <c r="F171" s="57">
        <f t="shared" si="14"/>
        <v>36.229933868058652</v>
      </c>
    </row>
    <row r="172" spans="1:6" x14ac:dyDescent="0.25">
      <c r="A172" s="1">
        <f t="shared" si="11"/>
        <v>44974</v>
      </c>
      <c r="B172" s="57">
        <v>60</v>
      </c>
      <c r="C172" s="57">
        <f t="shared" si="12"/>
        <v>9960</v>
      </c>
      <c r="D172" s="57">
        <f t="shared" si="13"/>
        <v>12752.447861677632</v>
      </c>
      <c r="E172" s="57">
        <f t="shared" si="10"/>
        <v>2792.4478616776323</v>
      </c>
      <c r="F172" s="57">
        <f t="shared" si="14"/>
        <v>36.507520215754994</v>
      </c>
    </row>
    <row r="173" spans="1:6" x14ac:dyDescent="0.25">
      <c r="A173" s="1">
        <f t="shared" si="11"/>
        <v>44988</v>
      </c>
      <c r="B173" s="57">
        <v>60</v>
      </c>
      <c r="C173" s="57">
        <f t="shared" si="12"/>
        <v>10020</v>
      </c>
      <c r="D173" s="57">
        <f t="shared" si="13"/>
        <v>12849.233768970933</v>
      </c>
      <c r="E173" s="57">
        <f t="shared" si="10"/>
        <v>2829.2337689709329</v>
      </c>
      <c r="F173" s="57">
        <f t="shared" si="14"/>
        <v>36.785907293300625</v>
      </c>
    </row>
    <row r="174" spans="1:6" x14ac:dyDescent="0.25">
      <c r="A174" s="1">
        <f t="shared" si="11"/>
        <v>45002</v>
      </c>
      <c r="B174" s="57">
        <v>60</v>
      </c>
      <c r="C174" s="57">
        <f t="shared" si="12"/>
        <v>10080</v>
      </c>
      <c r="D174" s="57">
        <f t="shared" si="13"/>
        <v>12946.298866381427</v>
      </c>
      <c r="E174" s="57">
        <f t="shared" si="10"/>
        <v>2866.2988663814267</v>
      </c>
      <c r="F174" s="57">
        <f t="shared" si="14"/>
        <v>37.065097410493763</v>
      </c>
    </row>
    <row r="175" spans="1:6" x14ac:dyDescent="0.25">
      <c r="A175" s="1">
        <f t="shared" si="11"/>
        <v>45016</v>
      </c>
      <c r="B175" s="57">
        <v>60</v>
      </c>
      <c r="C175" s="57">
        <f t="shared" si="12"/>
        <v>10140</v>
      </c>
      <c r="D175" s="57">
        <f t="shared" si="13"/>
        <v>13043.643959265219</v>
      </c>
      <c r="E175" s="57">
        <f t="shared" si="10"/>
        <v>2903.6439592652187</v>
      </c>
      <c r="F175" s="57">
        <f t="shared" si="14"/>
        <v>37.345092883791949</v>
      </c>
    </row>
    <row r="176" spans="1:6" x14ac:dyDescent="0.25">
      <c r="A176" s="1">
        <f t="shared" si="11"/>
        <v>45030</v>
      </c>
      <c r="B176" s="57">
        <v>60</v>
      </c>
      <c r="C176" s="57">
        <f t="shared" si="12"/>
        <v>10200</v>
      </c>
      <c r="D176" s="57">
        <f t="shared" si="13"/>
        <v>13141.26985530156</v>
      </c>
      <c r="E176" s="57">
        <f t="shared" si="10"/>
        <v>2941.2698553015598</v>
      </c>
      <c r="F176" s="57">
        <f t="shared" si="14"/>
        <v>37.625896036341146</v>
      </c>
    </row>
    <row r="177" spans="1:6" x14ac:dyDescent="0.25">
      <c r="A177" s="1">
        <f t="shared" si="11"/>
        <v>45044</v>
      </c>
      <c r="B177" s="57">
        <v>60</v>
      </c>
      <c r="C177" s="57">
        <f t="shared" si="12"/>
        <v>10260</v>
      </c>
      <c r="D177" s="57">
        <f t="shared" si="13"/>
        <v>13239.177364499545</v>
      </c>
      <c r="E177" s="57">
        <f t="shared" si="10"/>
        <v>2979.1773644995446</v>
      </c>
      <c r="F177" s="57">
        <f t="shared" si="14"/>
        <v>37.907509197984837</v>
      </c>
    </row>
    <row r="178" spans="1:6" x14ac:dyDescent="0.25">
      <c r="A178" s="1">
        <f t="shared" si="11"/>
        <v>45058</v>
      </c>
      <c r="B178" s="57">
        <v>60</v>
      </c>
      <c r="C178" s="57">
        <f t="shared" si="12"/>
        <v>10320</v>
      </c>
      <c r="D178" s="57">
        <f t="shared" si="13"/>
        <v>13337.367299204832</v>
      </c>
      <c r="E178" s="57">
        <f t="shared" si="10"/>
        <v>3017.3672992048323</v>
      </c>
      <c r="F178" s="57">
        <f t="shared" si="14"/>
        <v>38.189934705287669</v>
      </c>
    </row>
    <row r="179" spans="1:6" x14ac:dyDescent="0.25">
      <c r="A179" s="1">
        <f t="shared" si="11"/>
        <v>45072</v>
      </c>
      <c r="B179" s="57">
        <v>60</v>
      </c>
      <c r="C179" s="57">
        <f t="shared" si="12"/>
        <v>10380</v>
      </c>
      <c r="D179" s="57">
        <f t="shared" si="13"/>
        <v>13435.840474106384</v>
      </c>
      <c r="E179" s="57">
        <f t="shared" si="10"/>
        <v>3055.8404741063841</v>
      </c>
      <c r="F179" s="57">
        <f t="shared" si="14"/>
        <v>38.473174901551829</v>
      </c>
    </row>
    <row r="180" spans="1:6" x14ac:dyDescent="0.25">
      <c r="A180" s="1">
        <f t="shared" si="11"/>
        <v>45086</v>
      </c>
      <c r="B180" s="57">
        <v>60</v>
      </c>
      <c r="C180" s="57">
        <f t="shared" si="12"/>
        <v>10440</v>
      </c>
      <c r="D180" s="57">
        <f t="shared" si="13"/>
        <v>13534.597706243228</v>
      </c>
      <c r="E180" s="57">
        <f t="shared" si="10"/>
        <v>3094.5977062432285</v>
      </c>
      <c r="F180" s="57">
        <f t="shared" si="14"/>
        <v>38.757232136844323</v>
      </c>
    </row>
    <row r="181" spans="1:6" x14ac:dyDescent="0.25">
      <c r="A181" s="1">
        <f t="shared" si="11"/>
        <v>45100</v>
      </c>
      <c r="B181" s="57">
        <v>60</v>
      </c>
      <c r="C181" s="57">
        <f t="shared" si="12"/>
        <v>10500</v>
      </c>
      <c r="D181" s="57">
        <f t="shared" si="13"/>
        <v>13633.639815011238</v>
      </c>
      <c r="E181" s="57">
        <f t="shared" si="10"/>
        <v>3133.6398150112382</v>
      </c>
      <c r="F181" s="57">
        <f t="shared" si="14"/>
        <v>39.042108768009712</v>
      </c>
    </row>
    <row r="182" spans="1:6" x14ac:dyDescent="0.25">
      <c r="A182" s="1">
        <f t="shared" si="11"/>
        <v>45114</v>
      </c>
      <c r="B182" s="57">
        <v>60</v>
      </c>
      <c r="C182" s="57">
        <f t="shared" si="12"/>
        <v>10560</v>
      </c>
      <c r="D182" s="57">
        <f t="shared" si="13"/>
        <v>13732.967622169925</v>
      </c>
      <c r="E182" s="57">
        <f t="shared" si="10"/>
        <v>3172.9676221699247</v>
      </c>
      <c r="F182" s="57">
        <f t="shared" si="14"/>
        <v>39.327807158686483</v>
      </c>
    </row>
    <row r="183" spans="1:6" x14ac:dyDescent="0.25">
      <c r="A183" s="1">
        <f t="shared" si="11"/>
        <v>45128</v>
      </c>
      <c r="B183" s="57">
        <v>60</v>
      </c>
      <c r="C183" s="57">
        <f t="shared" si="12"/>
        <v>10620</v>
      </c>
      <c r="D183" s="57">
        <f t="shared" si="13"/>
        <v>13832.581951849261</v>
      </c>
      <c r="E183" s="57">
        <f t="shared" si="10"/>
        <v>3212.5819518492608</v>
      </c>
      <c r="F183" s="57">
        <f t="shared" si="14"/>
        <v>39.614329679336151</v>
      </c>
    </row>
    <row r="184" spans="1:6" x14ac:dyDescent="0.25">
      <c r="A184" s="1">
        <f t="shared" si="11"/>
        <v>45142</v>
      </c>
      <c r="B184" s="57">
        <v>60</v>
      </c>
      <c r="C184" s="57">
        <f t="shared" si="12"/>
        <v>10680</v>
      </c>
      <c r="D184" s="57">
        <f t="shared" si="13"/>
        <v>13932.483630556519</v>
      </c>
      <c r="E184" s="57">
        <f t="shared" si="10"/>
        <v>3252.4836305565186</v>
      </c>
      <c r="F184" s="57">
        <f t="shared" si="14"/>
        <v>39.901678707257815</v>
      </c>
    </row>
    <row r="185" spans="1:6" x14ac:dyDescent="0.25">
      <c r="A185" s="1">
        <f t="shared" si="11"/>
        <v>45156</v>
      </c>
      <c r="B185" s="57">
        <v>60</v>
      </c>
      <c r="C185" s="57">
        <f t="shared" si="12"/>
        <v>10740</v>
      </c>
      <c r="D185" s="57">
        <f t="shared" si="13"/>
        <v>14032.673487183123</v>
      </c>
      <c r="E185" s="57">
        <f t="shared" si="10"/>
        <v>3292.6734871831231</v>
      </c>
      <c r="F185" s="57">
        <f t="shared" si="14"/>
        <v>40.189856626604524</v>
      </c>
    </row>
    <row r="186" spans="1:6" x14ac:dyDescent="0.25">
      <c r="A186" s="1">
        <f t="shared" si="11"/>
        <v>45170</v>
      </c>
      <c r="B186" s="57">
        <v>60</v>
      </c>
      <c r="C186" s="57">
        <f t="shared" si="12"/>
        <v>10800</v>
      </c>
      <c r="D186" s="57">
        <f t="shared" si="13"/>
        <v>14133.152353011536</v>
      </c>
      <c r="E186" s="57">
        <f t="shared" si="10"/>
        <v>3333.1523530115355</v>
      </c>
      <c r="F186" s="57">
        <f t="shared" si="14"/>
        <v>40.478865828412381</v>
      </c>
    </row>
    <row r="187" spans="1:6" x14ac:dyDescent="0.25">
      <c r="A187" s="1">
        <f t="shared" si="11"/>
        <v>45184</v>
      </c>
      <c r="B187" s="57">
        <v>60</v>
      </c>
      <c r="C187" s="57">
        <f t="shared" si="12"/>
        <v>10860</v>
      </c>
      <c r="D187" s="57">
        <f t="shared" si="13"/>
        <v>14233.921061722145</v>
      </c>
      <c r="E187" s="57">
        <f t="shared" si="10"/>
        <v>3373.9210617221452</v>
      </c>
      <c r="F187" s="57">
        <f t="shared" si="14"/>
        <v>40.768708710609644</v>
      </c>
    </row>
    <row r="188" spans="1:6" x14ac:dyDescent="0.25">
      <c r="A188" s="1">
        <f t="shared" si="11"/>
        <v>45198</v>
      </c>
      <c r="B188" s="57">
        <v>60</v>
      </c>
      <c r="C188" s="57">
        <f t="shared" si="12"/>
        <v>10920</v>
      </c>
      <c r="D188" s="57">
        <f t="shared" si="13"/>
        <v>14334.980449400189</v>
      </c>
      <c r="E188" s="57">
        <f t="shared" si="10"/>
        <v>3414.9804494001892</v>
      </c>
      <c r="F188" s="57">
        <f t="shared" si="14"/>
        <v>41.059387678044004</v>
      </c>
    </row>
    <row r="189" spans="1:6" x14ac:dyDescent="0.25">
      <c r="A189" s="1">
        <f t="shared" si="11"/>
        <v>45212</v>
      </c>
      <c r="B189" s="57">
        <v>60</v>
      </c>
      <c r="C189" s="57">
        <f t="shared" si="12"/>
        <v>10980</v>
      </c>
      <c r="D189" s="57">
        <f t="shared" si="13"/>
        <v>14436.33135454269</v>
      </c>
      <c r="E189" s="57">
        <f t="shared" si="10"/>
        <v>3456.33135454269</v>
      </c>
      <c r="F189" s="57">
        <f t="shared" si="14"/>
        <v>41.350905142500778</v>
      </c>
    </row>
    <row r="190" spans="1:6" x14ac:dyDescent="0.25">
      <c r="A190" s="1">
        <f t="shared" si="11"/>
        <v>45226</v>
      </c>
      <c r="B190" s="57">
        <v>60</v>
      </c>
      <c r="C190" s="57">
        <f t="shared" si="12"/>
        <v>11040</v>
      </c>
      <c r="D190" s="57">
        <f t="shared" si="13"/>
        <v>14537.974618065409</v>
      </c>
      <c r="E190" s="57">
        <f t="shared" si="10"/>
        <v>3497.9746180654092</v>
      </c>
      <c r="F190" s="57">
        <f t="shared" si="14"/>
        <v>41.64326352271928</v>
      </c>
    </row>
    <row r="191" spans="1:6" x14ac:dyDescent="0.25">
      <c r="A191" s="1">
        <f t="shared" si="11"/>
        <v>45240</v>
      </c>
      <c r="B191" s="57">
        <v>60</v>
      </c>
      <c r="C191" s="57">
        <f t="shared" si="12"/>
        <v>11100</v>
      </c>
      <c r="D191" s="57">
        <f t="shared" si="13"/>
        <v>14639.911083309829</v>
      </c>
      <c r="E191" s="57">
        <f t="shared" si="10"/>
        <v>3539.9110833098293</v>
      </c>
      <c r="F191" s="57">
        <f t="shared" si="14"/>
        <v>41.936465244420106</v>
      </c>
    </row>
    <row r="192" spans="1:6" x14ac:dyDescent="0.25">
      <c r="A192" s="1">
        <f t="shared" si="11"/>
        <v>45254</v>
      </c>
      <c r="B192" s="57">
        <v>60</v>
      </c>
      <c r="C192" s="57">
        <f t="shared" si="12"/>
        <v>11160</v>
      </c>
      <c r="D192" s="57">
        <f t="shared" si="13"/>
        <v>14742.141596050145</v>
      </c>
      <c r="E192" s="57">
        <f t="shared" si="10"/>
        <v>3582.1415960501454</v>
      </c>
      <c r="F192" s="57">
        <f t="shared" si="14"/>
        <v>42.230512740316044</v>
      </c>
    </row>
    <row r="193" spans="1:6" x14ac:dyDescent="0.25">
      <c r="A193" s="1">
        <f t="shared" si="11"/>
        <v>45268</v>
      </c>
      <c r="B193" s="57">
        <v>60</v>
      </c>
      <c r="C193" s="57">
        <f t="shared" si="12"/>
        <v>11220</v>
      </c>
      <c r="D193" s="57">
        <f t="shared" si="13"/>
        <v>14844.66700450029</v>
      </c>
      <c r="E193" s="57">
        <f t="shared" si="10"/>
        <v>3624.6670045002902</v>
      </c>
      <c r="F193" s="57">
        <f t="shared" si="14"/>
        <v>42.525408450144823</v>
      </c>
    </row>
    <row r="194" spans="1:6" x14ac:dyDescent="0.25">
      <c r="A194" s="1">
        <f t="shared" si="11"/>
        <v>45282</v>
      </c>
      <c r="B194" s="57">
        <v>60</v>
      </c>
      <c r="C194" s="57">
        <f t="shared" si="12"/>
        <v>11280</v>
      </c>
      <c r="D194" s="57">
        <f t="shared" si="13"/>
        <v>14947.488159320965</v>
      </c>
      <c r="E194" s="57">
        <f t="shared" si="10"/>
        <v>3667.4881593209648</v>
      </c>
      <c r="F194" s="57">
        <f t="shared" si="14"/>
        <v>42.821154820674565</v>
      </c>
    </row>
    <row r="195" spans="1:6" x14ac:dyDescent="0.25">
      <c r="A195" s="1">
        <f t="shared" si="11"/>
        <v>45296</v>
      </c>
      <c r="B195" s="57">
        <v>60</v>
      </c>
      <c r="C195" s="57">
        <f t="shared" si="12"/>
        <v>11340</v>
      </c>
      <c r="D195" s="57">
        <f t="shared" si="13"/>
        <v>15050.605913626698</v>
      </c>
      <c r="E195" s="57">
        <f t="shared" si="10"/>
        <v>3710.6059136266977</v>
      </c>
      <c r="F195" s="57">
        <f t="shared" si="14"/>
        <v>43.117754305732888</v>
      </c>
    </row>
    <row r="196" spans="1:6" x14ac:dyDescent="0.25">
      <c r="A196" s="1">
        <f t="shared" si="11"/>
        <v>45310</v>
      </c>
      <c r="B196" s="57">
        <v>60</v>
      </c>
      <c r="C196" s="57">
        <f t="shared" si="12"/>
        <v>11400</v>
      </c>
      <c r="D196" s="57">
        <f t="shared" si="13"/>
        <v>15154.021122992928</v>
      </c>
      <c r="E196" s="57">
        <f t="shared" si="10"/>
        <v>3754.0211229929282</v>
      </c>
      <c r="F196" s="57">
        <f t="shared" si="14"/>
        <v>43.415209366230556</v>
      </c>
    </row>
    <row r="197" spans="1:6" x14ac:dyDescent="0.25">
      <c r="A197" s="1">
        <f t="shared" si="11"/>
        <v>45324</v>
      </c>
      <c r="B197" s="57">
        <v>60</v>
      </c>
      <c r="C197" s="57">
        <f t="shared" si="12"/>
        <v>11460</v>
      </c>
      <c r="D197" s="57">
        <f t="shared" si="13"/>
        <v>15257.734645463101</v>
      </c>
      <c r="E197" s="57">
        <f t="shared" si="10"/>
        <v>3797.7346454631006</v>
      </c>
      <c r="F197" s="57">
        <f t="shared" si="14"/>
        <v>43.713522470172393</v>
      </c>
    </row>
    <row r="198" spans="1:6" x14ac:dyDescent="0.25">
      <c r="A198" s="1">
        <f t="shared" si="11"/>
        <v>45338</v>
      </c>
      <c r="B198" s="57">
        <v>60</v>
      </c>
      <c r="C198" s="57">
        <f t="shared" si="12"/>
        <v>11520</v>
      </c>
      <c r="D198" s="57">
        <f t="shared" si="13"/>
        <v>15361.747341555783</v>
      </c>
      <c r="E198" s="57">
        <f t="shared" ref="E198:E261" si="15">D198-C198</f>
        <v>3841.7473415557834</v>
      </c>
      <c r="F198" s="57">
        <f t="shared" si="14"/>
        <v>44.012696092682745</v>
      </c>
    </row>
    <row r="199" spans="1:6" x14ac:dyDescent="0.25">
      <c r="A199" s="1">
        <f t="shared" ref="A199:A262" si="16">A198+14</f>
        <v>45352</v>
      </c>
      <c r="B199" s="57">
        <v>60</v>
      </c>
      <c r="C199" s="57">
        <f t="shared" ref="C199:C262" si="17">C198+B199</f>
        <v>11580</v>
      </c>
      <c r="D199" s="57">
        <f t="shared" ref="D199:D262" si="18">D198*(1+$D$2) + B199</f>
        <v>15466.060074271809</v>
      </c>
      <c r="E199" s="57">
        <f t="shared" si="15"/>
        <v>3886.0600742718088</v>
      </c>
      <c r="F199" s="57">
        <f t="shared" ref="F199:F262" si="19">E199-E198</f>
        <v>44.312732716025494</v>
      </c>
    </row>
    <row r="200" spans="1:6" x14ac:dyDescent="0.25">
      <c r="A200" s="1">
        <f t="shared" si="16"/>
        <v>45366</v>
      </c>
      <c r="B200" s="57">
        <v>60</v>
      </c>
      <c r="C200" s="57">
        <f t="shared" si="17"/>
        <v>11640</v>
      </c>
      <c r="D200" s="57">
        <f t="shared" si="18"/>
        <v>15570.673709101438</v>
      </c>
      <c r="E200" s="57">
        <f t="shared" si="15"/>
        <v>3930.6737091014384</v>
      </c>
      <c r="F200" s="57">
        <f t="shared" si="19"/>
        <v>44.613634829629518</v>
      </c>
    </row>
    <row r="201" spans="1:6" x14ac:dyDescent="0.25">
      <c r="A201" s="1">
        <f t="shared" si="16"/>
        <v>45380</v>
      </c>
      <c r="B201" s="57">
        <v>60</v>
      </c>
      <c r="C201" s="57">
        <f t="shared" si="17"/>
        <v>11700</v>
      </c>
      <c r="D201" s="57">
        <f t="shared" si="18"/>
        <v>15675.589114031538</v>
      </c>
      <c r="E201" s="57">
        <f t="shared" si="15"/>
        <v>3975.589114031538</v>
      </c>
      <c r="F201" s="57">
        <f t="shared" si="19"/>
        <v>44.915404930099612</v>
      </c>
    </row>
    <row r="202" spans="1:6" x14ac:dyDescent="0.25">
      <c r="A202" s="1">
        <f t="shared" si="16"/>
        <v>45394</v>
      </c>
      <c r="B202" s="57">
        <v>60</v>
      </c>
      <c r="C202" s="57">
        <f t="shared" si="17"/>
        <v>11760</v>
      </c>
      <c r="D202" s="57">
        <f t="shared" si="18"/>
        <v>15780.807159552782</v>
      </c>
      <c r="E202" s="57">
        <f t="shared" si="15"/>
        <v>4020.8071595527817</v>
      </c>
      <c r="F202" s="57">
        <f t="shared" si="19"/>
        <v>45.218045521243766</v>
      </c>
    </row>
    <row r="203" spans="1:6" x14ac:dyDescent="0.25">
      <c r="A203" s="1">
        <f t="shared" si="16"/>
        <v>45408</v>
      </c>
      <c r="B203" s="57">
        <v>60</v>
      </c>
      <c r="C203" s="57">
        <f t="shared" si="17"/>
        <v>11820</v>
      </c>
      <c r="D203" s="57">
        <f t="shared" si="18"/>
        <v>15886.328718666877</v>
      </c>
      <c r="E203" s="57">
        <f t="shared" si="15"/>
        <v>4066.3287186668767</v>
      </c>
      <c r="F203" s="57">
        <f t="shared" si="19"/>
        <v>45.521559114094998</v>
      </c>
    </row>
    <row r="204" spans="1:6" x14ac:dyDescent="0.25">
      <c r="A204" s="1">
        <f t="shared" si="16"/>
        <v>45422</v>
      </c>
      <c r="B204" s="57">
        <v>60</v>
      </c>
      <c r="C204" s="57">
        <f t="shared" si="17"/>
        <v>11880</v>
      </c>
      <c r="D204" s="57">
        <f t="shared" si="18"/>
        <v>15992.154666893801</v>
      </c>
      <c r="E204" s="57">
        <f t="shared" si="15"/>
        <v>4112.1546668938008</v>
      </c>
      <c r="F204" s="57">
        <f t="shared" si="19"/>
        <v>45.825948226924083</v>
      </c>
    </row>
    <row r="205" spans="1:6" x14ac:dyDescent="0.25">
      <c r="A205" s="1">
        <f t="shared" si="16"/>
        <v>45436</v>
      </c>
      <c r="B205" s="57">
        <v>60</v>
      </c>
      <c r="C205" s="57">
        <f t="shared" si="17"/>
        <v>11940</v>
      </c>
      <c r="D205" s="57">
        <f t="shared" si="18"/>
        <v>16098.285882279071</v>
      </c>
      <c r="E205" s="57">
        <f t="shared" si="15"/>
        <v>4158.2858822790713</v>
      </c>
      <c r="F205" s="57">
        <f t="shared" si="19"/>
        <v>46.13121538527048</v>
      </c>
    </row>
    <row r="206" spans="1:6" x14ac:dyDescent="0.25">
      <c r="A206" s="1">
        <f t="shared" si="16"/>
        <v>45450</v>
      </c>
      <c r="B206" s="57">
        <v>60</v>
      </c>
      <c r="C206" s="57">
        <f t="shared" si="17"/>
        <v>12000</v>
      </c>
      <c r="D206" s="57">
        <f t="shared" si="18"/>
        <v>16204.72324540103</v>
      </c>
      <c r="E206" s="57">
        <f t="shared" si="15"/>
        <v>4204.72324540103</v>
      </c>
      <c r="F206" s="57">
        <f t="shared" si="19"/>
        <v>46.437363121958697</v>
      </c>
    </row>
    <row r="207" spans="1:6" x14ac:dyDescent="0.25">
      <c r="A207" s="1">
        <f t="shared" si="16"/>
        <v>45464</v>
      </c>
      <c r="B207" s="57">
        <v>60</v>
      </c>
      <c r="C207" s="57">
        <f t="shared" si="17"/>
        <v>12060</v>
      </c>
      <c r="D207" s="57">
        <f t="shared" si="18"/>
        <v>16311.467639378148</v>
      </c>
      <c r="E207" s="57">
        <f t="shared" si="15"/>
        <v>4251.4676393781483</v>
      </c>
      <c r="F207" s="57">
        <f t="shared" si="19"/>
        <v>46.744393977118307</v>
      </c>
    </row>
    <row r="208" spans="1:6" x14ac:dyDescent="0.25">
      <c r="A208" s="1">
        <f t="shared" si="16"/>
        <v>45478</v>
      </c>
      <c r="B208" s="57">
        <v>60</v>
      </c>
      <c r="C208" s="57">
        <f t="shared" si="17"/>
        <v>12120</v>
      </c>
      <c r="D208" s="57">
        <f t="shared" si="18"/>
        <v>16418.519949876354</v>
      </c>
      <c r="E208" s="57">
        <f t="shared" si="15"/>
        <v>4298.5199498763541</v>
      </c>
      <c r="F208" s="57">
        <f t="shared" si="19"/>
        <v>47.05231049820577</v>
      </c>
    </row>
    <row r="209" spans="1:6" x14ac:dyDescent="0.25">
      <c r="A209" s="1">
        <f t="shared" si="16"/>
        <v>45492</v>
      </c>
      <c r="B209" s="57">
        <v>60</v>
      </c>
      <c r="C209" s="57">
        <f t="shared" si="17"/>
        <v>12180</v>
      </c>
      <c r="D209" s="57">
        <f t="shared" si="18"/>
        <v>16525.88106511638</v>
      </c>
      <c r="E209" s="57">
        <f t="shared" si="15"/>
        <v>4345.8810651163803</v>
      </c>
      <c r="F209" s="57">
        <f t="shared" si="19"/>
        <v>47.361115240026265</v>
      </c>
    </row>
    <row r="210" spans="1:6" x14ac:dyDescent="0.25">
      <c r="A210" s="1">
        <f t="shared" si="16"/>
        <v>45506</v>
      </c>
      <c r="B210" s="57">
        <v>60</v>
      </c>
      <c r="C210" s="57">
        <f t="shared" si="17"/>
        <v>12240</v>
      </c>
      <c r="D210" s="57">
        <f t="shared" si="18"/>
        <v>16633.551875881138</v>
      </c>
      <c r="E210" s="57">
        <f t="shared" si="15"/>
        <v>4393.5518758811377</v>
      </c>
      <c r="F210" s="57">
        <f t="shared" si="19"/>
        <v>47.670810764757334</v>
      </c>
    </row>
    <row r="211" spans="1:6" x14ac:dyDescent="0.25">
      <c r="A211" s="1">
        <f t="shared" si="16"/>
        <v>45520</v>
      </c>
      <c r="B211" s="57">
        <v>60</v>
      </c>
      <c r="C211" s="57">
        <f t="shared" si="17"/>
        <v>12300</v>
      </c>
      <c r="D211" s="57">
        <f t="shared" si="18"/>
        <v>16741.533275523103</v>
      </c>
      <c r="E211" s="57">
        <f t="shared" si="15"/>
        <v>4441.5332755231029</v>
      </c>
      <c r="F211" s="57">
        <f t="shared" si="19"/>
        <v>47.981399641965254</v>
      </c>
    </row>
    <row r="212" spans="1:6" x14ac:dyDescent="0.25">
      <c r="A212" s="1">
        <f t="shared" si="16"/>
        <v>45534</v>
      </c>
      <c r="B212" s="57">
        <v>60</v>
      </c>
      <c r="C212" s="57">
        <f t="shared" si="17"/>
        <v>12360</v>
      </c>
      <c r="D212" s="57">
        <f t="shared" si="18"/>
        <v>16849.826159971726</v>
      </c>
      <c r="E212" s="57">
        <f t="shared" si="15"/>
        <v>4489.8261599717262</v>
      </c>
      <c r="F212" s="57">
        <f t="shared" si="19"/>
        <v>48.292884448623226</v>
      </c>
    </row>
    <row r="213" spans="1:6" x14ac:dyDescent="0.25">
      <c r="A213" s="1">
        <f t="shared" si="16"/>
        <v>45548</v>
      </c>
      <c r="B213" s="57">
        <v>60</v>
      </c>
      <c r="C213" s="57">
        <f t="shared" si="17"/>
        <v>12420</v>
      </c>
      <c r="D213" s="57">
        <f t="shared" si="18"/>
        <v>16958.431427740874</v>
      </c>
      <c r="E213" s="57">
        <f t="shared" si="15"/>
        <v>4538.4314277408739</v>
      </c>
      <c r="F213" s="57">
        <f t="shared" si="19"/>
        <v>48.605267769147758</v>
      </c>
    </row>
    <row r="214" spans="1:6" x14ac:dyDescent="0.25">
      <c r="A214" s="1">
        <f t="shared" si="16"/>
        <v>45562</v>
      </c>
      <c r="B214" s="57">
        <v>60</v>
      </c>
      <c r="C214" s="57">
        <f t="shared" si="17"/>
        <v>12480</v>
      </c>
      <c r="D214" s="57">
        <f t="shared" si="18"/>
        <v>17067.34997993628</v>
      </c>
      <c r="E214" s="57">
        <f t="shared" si="15"/>
        <v>4587.3499799362799</v>
      </c>
      <c r="F214" s="57">
        <f t="shared" si="19"/>
        <v>48.918552195405937</v>
      </c>
    </row>
    <row r="215" spans="1:6" x14ac:dyDescent="0.25">
      <c r="A215" s="1">
        <f t="shared" si="16"/>
        <v>45576</v>
      </c>
      <c r="B215" s="57">
        <v>60</v>
      </c>
      <c r="C215" s="57">
        <f t="shared" si="17"/>
        <v>12540</v>
      </c>
      <c r="D215" s="57">
        <f t="shared" si="18"/>
        <v>17176.582720263021</v>
      </c>
      <c r="E215" s="57">
        <f t="shared" si="15"/>
        <v>4636.5827202630207</v>
      </c>
      <c r="F215" s="57">
        <f t="shared" si="19"/>
        <v>49.232740326740895</v>
      </c>
    </row>
    <row r="216" spans="1:6" x14ac:dyDescent="0.25">
      <c r="A216" s="1">
        <f t="shared" si="16"/>
        <v>45590</v>
      </c>
      <c r="B216" s="57">
        <v>60</v>
      </c>
      <c r="C216" s="57">
        <f t="shared" si="17"/>
        <v>12600</v>
      </c>
      <c r="D216" s="57">
        <f t="shared" si="18"/>
        <v>17286.130555033011</v>
      </c>
      <c r="E216" s="57">
        <f t="shared" si="15"/>
        <v>4686.1305550330108</v>
      </c>
      <c r="F216" s="57">
        <f t="shared" si="19"/>
        <v>49.547834769990004</v>
      </c>
    </row>
    <row r="217" spans="1:6" x14ac:dyDescent="0.25">
      <c r="A217" s="1">
        <f t="shared" si="16"/>
        <v>45604</v>
      </c>
      <c r="B217" s="57">
        <v>60</v>
      </c>
      <c r="C217" s="57">
        <f t="shared" si="17"/>
        <v>12660</v>
      </c>
      <c r="D217" s="57">
        <f t="shared" si="18"/>
        <v>17395.994393172528</v>
      </c>
      <c r="E217" s="57">
        <f t="shared" si="15"/>
        <v>4735.9943931725284</v>
      </c>
      <c r="F217" s="57">
        <f t="shared" si="19"/>
        <v>49.863838139517611</v>
      </c>
    </row>
    <row r="218" spans="1:6" x14ac:dyDescent="0.25">
      <c r="A218" s="1">
        <f t="shared" si="16"/>
        <v>45618</v>
      </c>
      <c r="B218" s="57">
        <v>60</v>
      </c>
      <c r="C218" s="57">
        <f t="shared" si="17"/>
        <v>12720</v>
      </c>
      <c r="D218" s="57">
        <f t="shared" si="18"/>
        <v>17506.175146229758</v>
      </c>
      <c r="E218" s="57">
        <f t="shared" si="15"/>
        <v>4786.175146229758</v>
      </c>
      <c r="F218" s="57">
        <f t="shared" si="19"/>
        <v>50.180753057229595</v>
      </c>
    </row>
    <row r="219" spans="1:6" x14ac:dyDescent="0.25">
      <c r="A219" s="1">
        <f t="shared" si="16"/>
        <v>45632</v>
      </c>
      <c r="B219" s="57">
        <v>60</v>
      </c>
      <c r="C219" s="57">
        <f t="shared" si="17"/>
        <v>12780</v>
      </c>
      <c r="D219" s="57">
        <f t="shared" si="18"/>
        <v>17616.673728382342</v>
      </c>
      <c r="E219" s="57">
        <f t="shared" si="15"/>
        <v>4836.6737283823422</v>
      </c>
      <c r="F219" s="57">
        <f t="shared" si="19"/>
        <v>50.498582152584277</v>
      </c>
    </row>
    <row r="220" spans="1:6" x14ac:dyDescent="0.25">
      <c r="A220" s="1">
        <f t="shared" si="16"/>
        <v>45646</v>
      </c>
      <c r="B220" s="57">
        <v>60</v>
      </c>
      <c r="C220" s="57">
        <f t="shared" si="17"/>
        <v>12840</v>
      </c>
      <c r="D220" s="57">
        <f t="shared" si="18"/>
        <v>17727.491056444982</v>
      </c>
      <c r="E220" s="57">
        <f t="shared" si="15"/>
        <v>4887.491056444982</v>
      </c>
      <c r="F220" s="57">
        <f t="shared" si="19"/>
        <v>50.817328062639717</v>
      </c>
    </row>
    <row r="221" spans="1:6" x14ac:dyDescent="0.25">
      <c r="A221" s="1">
        <f t="shared" si="16"/>
        <v>45660</v>
      </c>
      <c r="B221" s="57">
        <v>60</v>
      </c>
      <c r="C221" s="57">
        <f t="shared" si="17"/>
        <v>12900</v>
      </c>
      <c r="D221" s="57">
        <f t="shared" si="18"/>
        <v>17838.628049877036</v>
      </c>
      <c r="E221" s="57">
        <f t="shared" si="15"/>
        <v>4938.6280498770357</v>
      </c>
      <c r="F221" s="57">
        <f t="shared" si="19"/>
        <v>51.136993432053714</v>
      </c>
    </row>
    <row r="222" spans="1:6" x14ac:dyDescent="0.25">
      <c r="A222" s="1">
        <f t="shared" si="16"/>
        <v>45674</v>
      </c>
      <c r="B222" s="57">
        <v>60</v>
      </c>
      <c r="C222" s="57">
        <f t="shared" si="17"/>
        <v>12960</v>
      </c>
      <c r="D222" s="57">
        <f t="shared" si="18"/>
        <v>17950.085630790141</v>
      </c>
      <c r="E222" s="57">
        <f t="shared" si="15"/>
        <v>4990.0856307901413</v>
      </c>
      <c r="F222" s="57">
        <f t="shared" si="19"/>
        <v>51.45758091310563</v>
      </c>
    </row>
    <row r="223" spans="1:6" x14ac:dyDescent="0.25">
      <c r="A223" s="1">
        <f t="shared" si="16"/>
        <v>45688</v>
      </c>
      <c r="B223" s="57">
        <v>60</v>
      </c>
      <c r="C223" s="57">
        <f t="shared" si="17"/>
        <v>13020</v>
      </c>
      <c r="D223" s="57">
        <f t="shared" si="18"/>
        <v>18061.864723955881</v>
      </c>
      <c r="E223" s="57">
        <f t="shared" si="15"/>
        <v>5041.8647239558813</v>
      </c>
      <c r="F223" s="57">
        <f t="shared" si="19"/>
        <v>51.779093165740051</v>
      </c>
    </row>
    <row r="224" spans="1:6" x14ac:dyDescent="0.25">
      <c r="A224" s="1">
        <f t="shared" si="16"/>
        <v>45702</v>
      </c>
      <c r="B224" s="57">
        <v>60</v>
      </c>
      <c r="C224" s="57">
        <f t="shared" si="17"/>
        <v>13080</v>
      </c>
      <c r="D224" s="57">
        <f t="shared" si="18"/>
        <v>18173.966256813444</v>
      </c>
      <c r="E224" s="57">
        <f t="shared" si="15"/>
        <v>5093.9662568134445</v>
      </c>
      <c r="F224" s="57">
        <f t="shared" si="19"/>
        <v>52.101532857563143</v>
      </c>
    </row>
    <row r="225" spans="1:6" x14ac:dyDescent="0.25">
      <c r="A225" s="1">
        <f t="shared" si="16"/>
        <v>45716</v>
      </c>
      <c r="B225" s="57">
        <v>60</v>
      </c>
      <c r="C225" s="57">
        <f t="shared" si="17"/>
        <v>13140</v>
      </c>
      <c r="D225" s="57">
        <f t="shared" si="18"/>
        <v>18286.391159477331</v>
      </c>
      <c r="E225" s="57">
        <f t="shared" si="15"/>
        <v>5146.3911594773308</v>
      </c>
      <c r="F225" s="57">
        <f t="shared" si="19"/>
        <v>52.424902663886314</v>
      </c>
    </row>
    <row r="226" spans="1:6" x14ac:dyDescent="0.25">
      <c r="A226" s="1">
        <f t="shared" si="16"/>
        <v>45730</v>
      </c>
      <c r="B226" s="57">
        <v>60</v>
      </c>
      <c r="C226" s="57">
        <f t="shared" si="17"/>
        <v>13200</v>
      </c>
      <c r="D226" s="57">
        <f t="shared" si="18"/>
        <v>18399.140364745053</v>
      </c>
      <c r="E226" s="57">
        <f t="shared" si="15"/>
        <v>5199.1403647450534</v>
      </c>
      <c r="F226" s="57">
        <f t="shared" si="19"/>
        <v>52.749205267722573</v>
      </c>
    </row>
    <row r="227" spans="1:6" x14ac:dyDescent="0.25">
      <c r="A227" s="1">
        <f t="shared" si="16"/>
        <v>45744</v>
      </c>
      <c r="B227" s="57">
        <v>60</v>
      </c>
      <c r="C227" s="57">
        <f t="shared" si="17"/>
        <v>13260</v>
      </c>
      <c r="D227" s="57">
        <f t="shared" si="18"/>
        <v>18512.214808104894</v>
      </c>
      <c r="E227" s="57">
        <f t="shared" si="15"/>
        <v>5252.2148081048945</v>
      </c>
      <c r="F227" s="57">
        <f t="shared" si="19"/>
        <v>53.074443359841098</v>
      </c>
    </row>
    <row r="228" spans="1:6" x14ac:dyDescent="0.25">
      <c r="A228" s="1">
        <f t="shared" si="16"/>
        <v>45758</v>
      </c>
      <c r="B228" s="57">
        <v>60</v>
      </c>
      <c r="C228" s="57">
        <f t="shared" si="17"/>
        <v>13320</v>
      </c>
      <c r="D228" s="57">
        <f t="shared" si="18"/>
        <v>18625.615427743658</v>
      </c>
      <c r="E228" s="57">
        <f t="shared" si="15"/>
        <v>5305.6154277436581</v>
      </c>
      <c r="F228" s="57">
        <f t="shared" si="19"/>
        <v>53.400619638763601</v>
      </c>
    </row>
    <row r="229" spans="1:6" x14ac:dyDescent="0.25">
      <c r="A229" s="1">
        <f t="shared" si="16"/>
        <v>45772</v>
      </c>
      <c r="B229" s="57">
        <v>60</v>
      </c>
      <c r="C229" s="57">
        <f t="shared" si="17"/>
        <v>13380</v>
      </c>
      <c r="D229" s="57">
        <f t="shared" si="18"/>
        <v>18739.343164554455</v>
      </c>
      <c r="E229" s="57">
        <f t="shared" si="15"/>
        <v>5359.3431645544551</v>
      </c>
      <c r="F229" s="57">
        <f t="shared" si="19"/>
        <v>53.727736810797069</v>
      </c>
    </row>
    <row r="230" spans="1:6" x14ac:dyDescent="0.25">
      <c r="A230" s="1">
        <f t="shared" si="16"/>
        <v>45786</v>
      </c>
      <c r="B230" s="57">
        <v>60</v>
      </c>
      <c r="C230" s="57">
        <f t="shared" si="17"/>
        <v>13440</v>
      </c>
      <c r="D230" s="57">
        <f t="shared" si="18"/>
        <v>18853.398962144514</v>
      </c>
      <c r="E230" s="57">
        <f t="shared" si="15"/>
        <v>5413.3989621445144</v>
      </c>
      <c r="F230" s="57">
        <f t="shared" si="19"/>
        <v>54.055797590059228</v>
      </c>
    </row>
    <row r="231" spans="1:6" x14ac:dyDescent="0.25">
      <c r="A231" s="1">
        <f t="shared" si="16"/>
        <v>45800</v>
      </c>
      <c r="B231" s="57">
        <v>60</v>
      </c>
      <c r="C231" s="57">
        <f t="shared" si="17"/>
        <v>13500</v>
      </c>
      <c r="D231" s="57">
        <f t="shared" si="18"/>
        <v>18967.783766843007</v>
      </c>
      <c r="E231" s="57">
        <f t="shared" si="15"/>
        <v>5467.7837668430075</v>
      </c>
      <c r="F231" s="57">
        <f t="shared" si="19"/>
        <v>54.384804698493099</v>
      </c>
    </row>
    <row r="232" spans="1:6" x14ac:dyDescent="0.25">
      <c r="A232" s="1">
        <f t="shared" si="16"/>
        <v>45814</v>
      </c>
      <c r="B232" s="57">
        <v>60</v>
      </c>
      <c r="C232" s="57">
        <f t="shared" si="17"/>
        <v>13560</v>
      </c>
      <c r="D232" s="57">
        <f t="shared" si="18"/>
        <v>19082.4985277089</v>
      </c>
      <c r="E232" s="57">
        <f t="shared" si="15"/>
        <v>5522.4985277088999</v>
      </c>
      <c r="F232" s="57">
        <f t="shared" si="19"/>
        <v>54.714760865892458</v>
      </c>
    </row>
    <row r="233" spans="1:6" x14ac:dyDescent="0.25">
      <c r="A233" s="1">
        <f t="shared" si="16"/>
        <v>45828</v>
      </c>
      <c r="B233" s="57">
        <v>60</v>
      </c>
      <c r="C233" s="57">
        <f t="shared" si="17"/>
        <v>13620</v>
      </c>
      <c r="D233" s="57">
        <f t="shared" si="18"/>
        <v>19197.544196538831</v>
      </c>
      <c r="E233" s="57">
        <f t="shared" si="15"/>
        <v>5577.5441965388309</v>
      </c>
      <c r="F233" s="57">
        <f t="shared" si="19"/>
        <v>55.045668829930946</v>
      </c>
    </row>
    <row r="234" spans="1:6" x14ac:dyDescent="0.25">
      <c r="A234" s="1">
        <f t="shared" si="16"/>
        <v>45842</v>
      </c>
      <c r="B234" s="57">
        <v>60</v>
      </c>
      <c r="C234" s="57">
        <f t="shared" si="17"/>
        <v>13680</v>
      </c>
      <c r="D234" s="57">
        <f t="shared" si="18"/>
        <v>19312.921727875</v>
      </c>
      <c r="E234" s="57">
        <f t="shared" si="15"/>
        <v>5632.9217278750002</v>
      </c>
      <c r="F234" s="57">
        <f t="shared" si="19"/>
        <v>55.377531336169341</v>
      </c>
    </row>
    <row r="235" spans="1:6" x14ac:dyDescent="0.25">
      <c r="A235" s="1">
        <f t="shared" si="16"/>
        <v>45856</v>
      </c>
      <c r="B235" s="57">
        <v>60</v>
      </c>
      <c r="C235" s="57">
        <f t="shared" si="17"/>
        <v>13740</v>
      </c>
      <c r="D235" s="57">
        <f t="shared" si="18"/>
        <v>19428.632079013099</v>
      </c>
      <c r="E235" s="57">
        <f t="shared" si="15"/>
        <v>5688.6320790130994</v>
      </c>
      <c r="F235" s="57">
        <f t="shared" si="19"/>
        <v>55.710351138099213</v>
      </c>
    </row>
    <row r="236" spans="1:6" x14ac:dyDescent="0.25">
      <c r="A236" s="1">
        <f t="shared" si="16"/>
        <v>45870</v>
      </c>
      <c r="B236" s="57">
        <v>60</v>
      </c>
      <c r="C236" s="57">
        <f t="shared" si="17"/>
        <v>13800</v>
      </c>
      <c r="D236" s="57">
        <f t="shared" si="18"/>
        <v>19544.676210010253</v>
      </c>
      <c r="E236" s="57">
        <f t="shared" si="15"/>
        <v>5744.6762100102533</v>
      </c>
      <c r="F236" s="57">
        <f t="shared" si="19"/>
        <v>56.044130997153843</v>
      </c>
    </row>
    <row r="237" spans="1:6" x14ac:dyDescent="0.25">
      <c r="A237" s="1">
        <f t="shared" si="16"/>
        <v>45884</v>
      </c>
      <c r="B237" s="57">
        <v>60</v>
      </c>
      <c r="C237" s="57">
        <f t="shared" si="17"/>
        <v>13860</v>
      </c>
      <c r="D237" s="57">
        <f t="shared" si="18"/>
        <v>19661.055083692976</v>
      </c>
      <c r="E237" s="57">
        <f t="shared" si="15"/>
        <v>5801.055083692976</v>
      </c>
      <c r="F237" s="57">
        <f t="shared" si="19"/>
        <v>56.378873682722769</v>
      </c>
    </row>
    <row r="238" spans="1:6" x14ac:dyDescent="0.25">
      <c r="A238" s="1">
        <f t="shared" si="16"/>
        <v>45898</v>
      </c>
      <c r="B238" s="57">
        <v>60</v>
      </c>
      <c r="C238" s="57">
        <f t="shared" si="17"/>
        <v>13920</v>
      </c>
      <c r="D238" s="57">
        <f t="shared" si="18"/>
        <v>19777.769665665168</v>
      </c>
      <c r="E238" s="57">
        <f t="shared" si="15"/>
        <v>5857.7696656651678</v>
      </c>
      <c r="F238" s="57">
        <f t="shared" si="19"/>
        <v>56.714581972191809</v>
      </c>
    </row>
    <row r="239" spans="1:6" x14ac:dyDescent="0.25">
      <c r="A239" s="1">
        <f t="shared" si="16"/>
        <v>45912</v>
      </c>
      <c r="B239" s="57">
        <v>60</v>
      </c>
      <c r="C239" s="57">
        <f t="shared" si="17"/>
        <v>13980</v>
      </c>
      <c r="D239" s="57">
        <f t="shared" si="18"/>
        <v>19894.820924316125</v>
      </c>
      <c r="E239" s="57">
        <f t="shared" si="15"/>
        <v>5914.8209243161255</v>
      </c>
      <c r="F239" s="57">
        <f t="shared" si="19"/>
        <v>57.051258650957607</v>
      </c>
    </row>
    <row r="240" spans="1:6" x14ac:dyDescent="0.25">
      <c r="A240" s="1">
        <f t="shared" si="16"/>
        <v>45926</v>
      </c>
      <c r="B240" s="57">
        <v>60</v>
      </c>
      <c r="C240" s="57">
        <f t="shared" si="17"/>
        <v>14040</v>
      </c>
      <c r="D240" s="57">
        <f t="shared" si="18"/>
        <v>20012.209830828575</v>
      </c>
      <c r="E240" s="57">
        <f t="shared" si="15"/>
        <v>5972.2098308285749</v>
      </c>
      <c r="F240" s="57">
        <f t="shared" si="19"/>
        <v>57.388906512449466</v>
      </c>
    </row>
    <row r="241" spans="1:6" x14ac:dyDescent="0.25">
      <c r="A241" s="1">
        <f t="shared" si="16"/>
        <v>45940</v>
      </c>
      <c r="B241" s="57">
        <v>60</v>
      </c>
      <c r="C241" s="57">
        <f t="shared" si="17"/>
        <v>14100</v>
      </c>
      <c r="D241" s="57">
        <f t="shared" si="18"/>
        <v>20129.937359186733</v>
      </c>
      <c r="E241" s="57">
        <f t="shared" si="15"/>
        <v>6029.9373591867334</v>
      </c>
      <c r="F241" s="57">
        <f t="shared" si="19"/>
        <v>57.727528358158452</v>
      </c>
    </row>
    <row r="242" spans="1:6" x14ac:dyDescent="0.25">
      <c r="A242" s="1">
        <f t="shared" si="16"/>
        <v>45954</v>
      </c>
      <c r="B242" s="57">
        <v>60</v>
      </c>
      <c r="C242" s="57">
        <f t="shared" si="17"/>
        <v>14160</v>
      </c>
      <c r="D242" s="57">
        <f t="shared" si="18"/>
        <v>20248.004486184389</v>
      </c>
      <c r="E242" s="57">
        <f t="shared" si="15"/>
        <v>6088.004486184389</v>
      </c>
      <c r="F242" s="57">
        <f t="shared" si="19"/>
        <v>58.067126997655578</v>
      </c>
    </row>
    <row r="243" spans="1:6" x14ac:dyDescent="0.25">
      <c r="A243" s="1">
        <f t="shared" si="16"/>
        <v>45968</v>
      </c>
      <c r="B243" s="57">
        <v>60</v>
      </c>
      <c r="C243" s="57">
        <f t="shared" si="17"/>
        <v>14220</v>
      </c>
      <c r="D243" s="57">
        <f t="shared" si="18"/>
        <v>20366.412191432999</v>
      </c>
      <c r="E243" s="57">
        <f t="shared" si="15"/>
        <v>6146.412191432999</v>
      </c>
      <c r="F243" s="57">
        <f t="shared" si="19"/>
        <v>58.40770524861</v>
      </c>
    </row>
    <row r="244" spans="1:6" x14ac:dyDescent="0.25">
      <c r="A244" s="1">
        <f t="shared" si="16"/>
        <v>45982</v>
      </c>
      <c r="B244" s="57">
        <v>60</v>
      </c>
      <c r="C244" s="57">
        <f t="shared" si="17"/>
        <v>14280</v>
      </c>
      <c r="D244" s="57">
        <f t="shared" si="18"/>
        <v>20485.161457369824</v>
      </c>
      <c r="E244" s="57">
        <f t="shared" si="15"/>
        <v>6205.1614573698243</v>
      </c>
      <c r="F244" s="57">
        <f t="shared" si="19"/>
        <v>58.749265936825395</v>
      </c>
    </row>
    <row r="245" spans="1:6" x14ac:dyDescent="0.25">
      <c r="A245" s="1">
        <f t="shared" si="16"/>
        <v>45996</v>
      </c>
      <c r="B245" s="57">
        <v>60</v>
      </c>
      <c r="C245" s="57">
        <f t="shared" si="17"/>
        <v>14340</v>
      </c>
      <c r="D245" s="57">
        <f t="shared" si="18"/>
        <v>20604.253269266082</v>
      </c>
      <c r="E245" s="57">
        <f t="shared" si="15"/>
        <v>6264.2532692660825</v>
      </c>
      <c r="F245" s="57">
        <f t="shared" si="19"/>
        <v>59.09181189625815</v>
      </c>
    </row>
    <row r="246" spans="1:6" x14ac:dyDescent="0.25">
      <c r="A246" s="1">
        <f t="shared" si="16"/>
        <v>46010</v>
      </c>
      <c r="B246" s="57">
        <v>60</v>
      </c>
      <c r="C246" s="57">
        <f t="shared" si="17"/>
        <v>14400</v>
      </c>
      <c r="D246" s="57">
        <f t="shared" si="18"/>
        <v>20723.688615235118</v>
      </c>
      <c r="E246" s="57">
        <f t="shared" si="15"/>
        <v>6323.688615235118</v>
      </c>
      <c r="F246" s="57">
        <f t="shared" si="19"/>
        <v>59.435345969035552</v>
      </c>
    </row>
    <row r="247" spans="1:6" x14ac:dyDescent="0.25">
      <c r="A247" s="1">
        <f t="shared" si="16"/>
        <v>46024</v>
      </c>
      <c r="B247" s="57">
        <v>60</v>
      </c>
      <c r="C247" s="57">
        <f t="shared" si="17"/>
        <v>14460</v>
      </c>
      <c r="D247" s="57">
        <f t="shared" si="18"/>
        <v>20843.468486240603</v>
      </c>
      <c r="E247" s="57">
        <f t="shared" si="15"/>
        <v>6383.4684862406029</v>
      </c>
      <c r="F247" s="57">
        <f t="shared" si="19"/>
        <v>59.779871005484893</v>
      </c>
    </row>
    <row r="248" spans="1:6" x14ac:dyDescent="0.25">
      <c r="A248" s="1">
        <f t="shared" si="16"/>
        <v>46038</v>
      </c>
      <c r="B248" s="57">
        <v>60</v>
      </c>
      <c r="C248" s="57">
        <f t="shared" si="17"/>
        <v>14520</v>
      </c>
      <c r="D248" s="57">
        <f t="shared" si="18"/>
        <v>20963.593876104758</v>
      </c>
      <c r="E248" s="57">
        <f t="shared" si="15"/>
        <v>6443.5938761047582</v>
      </c>
      <c r="F248" s="57">
        <f t="shared" si="19"/>
        <v>60.125389864155295</v>
      </c>
    </row>
    <row r="249" spans="1:6" x14ac:dyDescent="0.25">
      <c r="A249" s="1">
        <f t="shared" si="16"/>
        <v>46052</v>
      </c>
      <c r="B249" s="57">
        <v>60</v>
      </c>
      <c r="C249" s="57">
        <f t="shared" si="17"/>
        <v>14580</v>
      </c>
      <c r="D249" s="57">
        <f t="shared" si="18"/>
        <v>21084.065781516598</v>
      </c>
      <c r="E249" s="57">
        <f t="shared" si="15"/>
        <v>6504.0657815165978</v>
      </c>
      <c r="F249" s="57">
        <f t="shared" si="19"/>
        <v>60.471905411839543</v>
      </c>
    </row>
    <row r="250" spans="1:6" x14ac:dyDescent="0.25">
      <c r="A250" s="1">
        <f t="shared" si="16"/>
        <v>46066</v>
      </c>
      <c r="B250" s="57">
        <v>60</v>
      </c>
      <c r="C250" s="57">
        <f t="shared" si="17"/>
        <v>14640</v>
      </c>
      <c r="D250" s="57">
        <f t="shared" si="18"/>
        <v>21204.885202040205</v>
      </c>
      <c r="E250" s="57">
        <f t="shared" si="15"/>
        <v>6564.8852020402046</v>
      </c>
      <c r="F250" s="57">
        <f t="shared" si="19"/>
        <v>60.819420523606823</v>
      </c>
    </row>
    <row r="251" spans="1:6" x14ac:dyDescent="0.25">
      <c r="A251" s="1">
        <f t="shared" si="16"/>
        <v>46080</v>
      </c>
      <c r="B251" s="57">
        <v>60</v>
      </c>
      <c r="C251" s="57">
        <f t="shared" si="17"/>
        <v>14700</v>
      </c>
      <c r="D251" s="57">
        <f t="shared" si="18"/>
        <v>21326.053140123011</v>
      </c>
      <c r="E251" s="57">
        <f t="shared" si="15"/>
        <v>6626.053140123011</v>
      </c>
      <c r="F251" s="57">
        <f t="shared" si="19"/>
        <v>61.167938082806359</v>
      </c>
    </row>
    <row r="252" spans="1:6" x14ac:dyDescent="0.25">
      <c r="A252" s="1">
        <f t="shared" si="16"/>
        <v>46094</v>
      </c>
      <c r="B252" s="57">
        <v>60</v>
      </c>
      <c r="C252" s="57">
        <f t="shared" si="17"/>
        <v>14760</v>
      </c>
      <c r="D252" s="57">
        <f t="shared" si="18"/>
        <v>21447.570601104137</v>
      </c>
      <c r="E252" s="57">
        <f t="shared" si="15"/>
        <v>6687.5706011041366</v>
      </c>
      <c r="F252" s="57">
        <f t="shared" si="19"/>
        <v>61.517460981125623</v>
      </c>
    </row>
    <row r="253" spans="1:6" x14ac:dyDescent="0.25">
      <c r="A253" s="1">
        <f t="shared" si="16"/>
        <v>46108</v>
      </c>
      <c r="B253" s="57">
        <v>60</v>
      </c>
      <c r="C253" s="57">
        <f t="shared" si="17"/>
        <v>14820</v>
      </c>
      <c r="D253" s="57">
        <f t="shared" si="18"/>
        <v>21569.438593222705</v>
      </c>
      <c r="E253" s="57">
        <f t="shared" si="15"/>
        <v>6749.4385932227051</v>
      </c>
      <c r="F253" s="57">
        <f t="shared" si="19"/>
        <v>61.867992118568509</v>
      </c>
    </row>
    <row r="254" spans="1:6" x14ac:dyDescent="0.25">
      <c r="A254" s="1">
        <f t="shared" si="16"/>
        <v>46122</v>
      </c>
      <c r="B254" s="57">
        <v>60</v>
      </c>
      <c r="C254" s="57">
        <f t="shared" si="17"/>
        <v>14880</v>
      </c>
      <c r="D254" s="57">
        <f t="shared" si="18"/>
        <v>21691.658127626233</v>
      </c>
      <c r="E254" s="57">
        <f t="shared" si="15"/>
        <v>6811.6581276262332</v>
      </c>
      <c r="F254" s="57">
        <f t="shared" si="19"/>
        <v>62.219534403528087</v>
      </c>
    </row>
    <row r="255" spans="1:6" x14ac:dyDescent="0.25">
      <c r="A255" s="1">
        <f t="shared" si="16"/>
        <v>46136</v>
      </c>
      <c r="B255" s="57">
        <v>60</v>
      </c>
      <c r="C255" s="57">
        <f t="shared" si="17"/>
        <v>14940</v>
      </c>
      <c r="D255" s="57">
        <f t="shared" si="18"/>
        <v>21814.230218379002</v>
      </c>
      <c r="E255" s="57">
        <f t="shared" si="15"/>
        <v>6874.2302183790016</v>
      </c>
      <c r="F255" s="57">
        <f t="shared" si="19"/>
        <v>62.572090752768418</v>
      </c>
    </row>
    <row r="256" spans="1:6" x14ac:dyDescent="0.25">
      <c r="A256" s="1">
        <f t="shared" si="16"/>
        <v>46150</v>
      </c>
      <c r="B256" s="57">
        <v>60</v>
      </c>
      <c r="C256" s="57">
        <f t="shared" si="17"/>
        <v>15000</v>
      </c>
      <c r="D256" s="57">
        <f t="shared" si="18"/>
        <v>21937.155882470481</v>
      </c>
      <c r="E256" s="57">
        <f t="shared" si="15"/>
        <v>6937.1558824704807</v>
      </c>
      <c r="F256" s="57">
        <f t="shared" si="19"/>
        <v>62.925664091479121</v>
      </c>
    </row>
    <row r="257" spans="1:6" x14ac:dyDescent="0.25">
      <c r="A257" s="1">
        <f t="shared" si="16"/>
        <v>46164</v>
      </c>
      <c r="B257" s="57">
        <v>60</v>
      </c>
      <c r="C257" s="57">
        <f t="shared" si="17"/>
        <v>15060</v>
      </c>
      <c r="D257" s="57">
        <f t="shared" si="18"/>
        <v>22060.43613982376</v>
      </c>
      <c r="E257" s="57">
        <f t="shared" si="15"/>
        <v>7000.4361398237597</v>
      </c>
      <c r="F257" s="57">
        <f t="shared" si="19"/>
        <v>63.280257353279012</v>
      </c>
    </row>
    <row r="258" spans="1:6" x14ac:dyDescent="0.25">
      <c r="A258" s="1">
        <f t="shared" si="16"/>
        <v>46178</v>
      </c>
      <c r="B258" s="57">
        <v>60</v>
      </c>
      <c r="C258" s="57">
        <f t="shared" si="17"/>
        <v>15120</v>
      </c>
      <c r="D258" s="57">
        <f t="shared" si="18"/>
        <v>22184.072013304019</v>
      </c>
      <c r="E258" s="57">
        <f t="shared" si="15"/>
        <v>7064.0720133040195</v>
      </c>
      <c r="F258" s="57">
        <f t="shared" si="19"/>
        <v>63.635873480259761</v>
      </c>
    </row>
    <row r="259" spans="1:6" x14ac:dyDescent="0.25">
      <c r="A259" s="1">
        <f t="shared" si="16"/>
        <v>46192</v>
      </c>
      <c r="B259" s="57">
        <v>60</v>
      </c>
      <c r="C259" s="57">
        <f t="shared" si="17"/>
        <v>15180</v>
      </c>
      <c r="D259" s="57">
        <f t="shared" si="18"/>
        <v>22308.064528727013</v>
      </c>
      <c r="E259" s="57">
        <f t="shared" si="15"/>
        <v>7128.0645287270127</v>
      </c>
      <c r="F259" s="57">
        <f t="shared" si="19"/>
        <v>63.992515422993165</v>
      </c>
    </row>
    <row r="260" spans="1:6" x14ac:dyDescent="0.25">
      <c r="A260" s="1">
        <f t="shared" si="16"/>
        <v>46206</v>
      </c>
      <c r="B260" s="57">
        <v>60</v>
      </c>
      <c r="C260" s="57">
        <f t="shared" si="17"/>
        <v>15240</v>
      </c>
      <c r="D260" s="57">
        <f t="shared" si="18"/>
        <v>22432.414714867573</v>
      </c>
      <c r="E260" s="57">
        <f t="shared" si="15"/>
        <v>7192.4147148675729</v>
      </c>
      <c r="F260" s="57">
        <f t="shared" si="19"/>
        <v>64.350186140560254</v>
      </c>
    </row>
    <row r="261" spans="1:6" x14ac:dyDescent="0.25">
      <c r="A261" s="1">
        <f t="shared" si="16"/>
        <v>46220</v>
      </c>
      <c r="B261" s="57">
        <v>60</v>
      </c>
      <c r="C261" s="57">
        <f t="shared" si="17"/>
        <v>15300</v>
      </c>
      <c r="D261" s="57">
        <f t="shared" si="18"/>
        <v>22557.123603468153</v>
      </c>
      <c r="E261" s="57">
        <f t="shared" si="15"/>
        <v>7257.1236034681533</v>
      </c>
      <c r="F261" s="57">
        <f t="shared" si="19"/>
        <v>64.708888600580394</v>
      </c>
    </row>
    <row r="262" spans="1:6" x14ac:dyDescent="0.25">
      <c r="A262" s="1">
        <f t="shared" si="16"/>
        <v>46234</v>
      </c>
      <c r="B262" s="57">
        <v>60</v>
      </c>
      <c r="C262" s="57">
        <f t="shared" si="17"/>
        <v>15360</v>
      </c>
      <c r="D262" s="57">
        <f t="shared" si="18"/>
        <v>22682.192229247386</v>
      </c>
      <c r="E262" s="57">
        <f t="shared" ref="E262:E325" si="20">D262-C262</f>
        <v>7322.1922292473864</v>
      </c>
      <c r="F262" s="57">
        <f t="shared" si="19"/>
        <v>65.068625779233116</v>
      </c>
    </row>
    <row r="263" spans="1:6" x14ac:dyDescent="0.25">
      <c r="A263" s="1">
        <f t="shared" ref="A263:A326" si="21">A262+14</f>
        <v>46248</v>
      </c>
      <c r="B263" s="57">
        <v>60</v>
      </c>
      <c r="C263" s="57">
        <f t="shared" ref="C263:C326" si="22">C262+B263</f>
        <v>15420</v>
      </c>
      <c r="D263" s="57">
        <f t="shared" ref="D263:D326" si="23">D262*(1+$D$2) + B263</f>
        <v>22807.621629908677</v>
      </c>
      <c r="E263" s="57">
        <f t="shared" si="20"/>
        <v>7387.6216299086773</v>
      </c>
      <c r="F263" s="57">
        <f t="shared" ref="F263:F326" si="24">E263-E262</f>
        <v>65.429400661290856</v>
      </c>
    </row>
    <row r="264" spans="1:6" x14ac:dyDescent="0.25">
      <c r="A264" s="1">
        <f t="shared" si="21"/>
        <v>46262</v>
      </c>
      <c r="B264" s="57">
        <v>60</v>
      </c>
      <c r="C264" s="57">
        <f t="shared" si="22"/>
        <v>15480</v>
      </c>
      <c r="D264" s="57">
        <f t="shared" si="23"/>
        <v>22933.4128461488</v>
      </c>
      <c r="E264" s="57">
        <f t="shared" si="20"/>
        <v>7453.4128461487999</v>
      </c>
      <c r="F264" s="57">
        <f t="shared" si="24"/>
        <v>65.791216240122594</v>
      </c>
    </row>
    <row r="265" spans="1:6" x14ac:dyDescent="0.25">
      <c r="A265" s="1">
        <f t="shared" si="21"/>
        <v>46276</v>
      </c>
      <c r="B265" s="57">
        <v>60</v>
      </c>
      <c r="C265" s="57">
        <f t="shared" si="22"/>
        <v>15540</v>
      </c>
      <c r="D265" s="57">
        <f t="shared" si="23"/>
        <v>23059.566921666537</v>
      </c>
      <c r="E265" s="57">
        <f t="shared" si="20"/>
        <v>7519.5669216665374</v>
      </c>
      <c r="F265" s="57">
        <f t="shared" si="24"/>
        <v>66.15407551773751</v>
      </c>
    </row>
    <row r="266" spans="1:6" x14ac:dyDescent="0.25">
      <c r="A266" s="1">
        <f t="shared" si="21"/>
        <v>46290</v>
      </c>
      <c r="B266" s="57">
        <v>60</v>
      </c>
      <c r="C266" s="57">
        <f t="shared" si="22"/>
        <v>15600</v>
      </c>
      <c r="D266" s="57">
        <f t="shared" si="23"/>
        <v>23186.084903171344</v>
      </c>
      <c r="E266" s="57">
        <f t="shared" si="20"/>
        <v>7586.0849031713442</v>
      </c>
      <c r="F266" s="57">
        <f t="shared" si="24"/>
        <v>66.517981504806812</v>
      </c>
    </row>
    <row r="267" spans="1:6" x14ac:dyDescent="0.25">
      <c r="A267" s="1">
        <f t="shared" si="21"/>
        <v>46304</v>
      </c>
      <c r="B267" s="57">
        <v>60</v>
      </c>
      <c r="C267" s="57">
        <f t="shared" si="22"/>
        <v>15660</v>
      </c>
      <c r="D267" s="57">
        <f t="shared" si="23"/>
        <v>23312.96784039203</v>
      </c>
      <c r="E267" s="57">
        <f t="shared" si="20"/>
        <v>7652.9678403920298</v>
      </c>
      <c r="F267" s="57">
        <f t="shared" si="24"/>
        <v>66.882937220685562</v>
      </c>
    </row>
    <row r="268" spans="1:6" x14ac:dyDescent="0.25">
      <c r="A268" s="1">
        <f t="shared" si="21"/>
        <v>46318</v>
      </c>
      <c r="B268" s="57">
        <v>60</v>
      </c>
      <c r="C268" s="57">
        <f t="shared" si="22"/>
        <v>15720</v>
      </c>
      <c r="D268" s="57">
        <f t="shared" si="23"/>
        <v>23440.216786085468</v>
      </c>
      <c r="E268" s="57">
        <f t="shared" si="20"/>
        <v>7720.2167860854679</v>
      </c>
      <c r="F268" s="57">
        <f t="shared" si="24"/>
        <v>67.248945693438145</v>
      </c>
    </row>
    <row r="269" spans="1:6" x14ac:dyDescent="0.25">
      <c r="A269" s="1">
        <f t="shared" si="21"/>
        <v>46332</v>
      </c>
      <c r="B269" s="57">
        <v>60</v>
      </c>
      <c r="C269" s="57">
        <f t="shared" si="22"/>
        <v>15780</v>
      </c>
      <c r="D269" s="57">
        <f t="shared" si="23"/>
        <v>23567.832796045328</v>
      </c>
      <c r="E269" s="57">
        <f t="shared" si="20"/>
        <v>7787.832796045328</v>
      </c>
      <c r="F269" s="57">
        <f t="shared" si="24"/>
        <v>67.616009959860094</v>
      </c>
    </row>
    <row r="270" spans="1:6" x14ac:dyDescent="0.25">
      <c r="A270" s="1">
        <f t="shared" si="21"/>
        <v>46346</v>
      </c>
      <c r="B270" s="57">
        <v>60</v>
      </c>
      <c r="C270" s="57">
        <f t="shared" si="22"/>
        <v>15840</v>
      </c>
      <c r="D270" s="57">
        <f t="shared" si="23"/>
        <v>23695.816929110842</v>
      </c>
      <c r="E270" s="57">
        <f t="shared" si="20"/>
        <v>7855.8169291108425</v>
      </c>
      <c r="F270" s="57">
        <f t="shared" si="24"/>
        <v>67.98413306551447</v>
      </c>
    </row>
    <row r="271" spans="1:6" x14ac:dyDescent="0.25">
      <c r="A271" s="1">
        <f t="shared" si="21"/>
        <v>46360</v>
      </c>
      <c r="B271" s="57">
        <v>60</v>
      </c>
      <c r="C271" s="57">
        <f t="shared" si="22"/>
        <v>15900</v>
      </c>
      <c r="D271" s="57">
        <f t="shared" si="23"/>
        <v>23824.170247175585</v>
      </c>
      <c r="E271" s="57">
        <f t="shared" si="20"/>
        <v>7924.1702471755852</v>
      </c>
      <c r="F271" s="57">
        <f t="shared" si="24"/>
        <v>68.35331806474278</v>
      </c>
    </row>
    <row r="272" spans="1:6" x14ac:dyDescent="0.25">
      <c r="A272" s="1">
        <f t="shared" si="21"/>
        <v>46374</v>
      </c>
      <c r="B272" s="57">
        <v>60</v>
      </c>
      <c r="C272" s="57">
        <f t="shared" si="22"/>
        <v>15960</v>
      </c>
      <c r="D272" s="57">
        <f t="shared" si="23"/>
        <v>23952.893815196283</v>
      </c>
      <c r="E272" s="57">
        <f t="shared" si="20"/>
        <v>7992.893815196283</v>
      </c>
      <c r="F272" s="57">
        <f t="shared" si="24"/>
        <v>68.723568020697712</v>
      </c>
    </row>
    <row r="273" spans="1:6" x14ac:dyDescent="0.25">
      <c r="A273" s="1">
        <f t="shared" si="21"/>
        <v>46388</v>
      </c>
      <c r="B273" s="57">
        <v>60</v>
      </c>
      <c r="C273" s="57">
        <f t="shared" si="22"/>
        <v>16020</v>
      </c>
      <c r="D273" s="57">
        <f t="shared" si="23"/>
        <v>24081.988701201655</v>
      </c>
      <c r="E273" s="57">
        <f t="shared" si="20"/>
        <v>8061.9887012016552</v>
      </c>
      <c r="F273" s="57">
        <f t="shared" si="24"/>
        <v>69.094886005372246</v>
      </c>
    </row>
    <row r="274" spans="1:6" x14ac:dyDescent="0.25">
      <c r="A274" s="1">
        <f t="shared" si="21"/>
        <v>46402</v>
      </c>
      <c r="B274" s="57">
        <v>60</v>
      </c>
      <c r="C274" s="57">
        <f t="shared" si="22"/>
        <v>16080</v>
      </c>
      <c r="D274" s="57">
        <f t="shared" si="23"/>
        <v>24211.455976301277</v>
      </c>
      <c r="E274" s="57">
        <f t="shared" si="20"/>
        <v>8131.4559763012767</v>
      </c>
      <c r="F274" s="57">
        <f t="shared" si="24"/>
        <v>69.467275099621475</v>
      </c>
    </row>
    <row r="275" spans="1:6" x14ac:dyDescent="0.25">
      <c r="A275" s="1">
        <f t="shared" si="21"/>
        <v>46416</v>
      </c>
      <c r="B275" s="57">
        <v>60</v>
      </c>
      <c r="C275" s="57">
        <f t="shared" si="22"/>
        <v>16140</v>
      </c>
      <c r="D275" s="57">
        <f t="shared" si="23"/>
        <v>24341.296714694454</v>
      </c>
      <c r="E275" s="57">
        <f t="shared" si="20"/>
        <v>8201.2967146944538</v>
      </c>
      <c r="F275" s="57">
        <f t="shared" si="24"/>
        <v>69.840738393177162</v>
      </c>
    </row>
    <row r="276" spans="1:6" x14ac:dyDescent="0.25">
      <c r="A276" s="1">
        <f t="shared" si="21"/>
        <v>46430</v>
      </c>
      <c r="B276" s="57">
        <v>60</v>
      </c>
      <c r="C276" s="57">
        <f t="shared" si="22"/>
        <v>16200</v>
      </c>
      <c r="D276" s="57">
        <f t="shared" si="23"/>
        <v>24471.511993679149</v>
      </c>
      <c r="E276" s="57">
        <f t="shared" si="20"/>
        <v>8271.5119936791489</v>
      </c>
      <c r="F276" s="57">
        <f t="shared" si="24"/>
        <v>70.215278984695033</v>
      </c>
    </row>
    <row r="277" spans="1:6" x14ac:dyDescent="0.25">
      <c r="A277" s="1">
        <f t="shared" si="21"/>
        <v>46444</v>
      </c>
      <c r="B277" s="57">
        <v>60</v>
      </c>
      <c r="C277" s="57">
        <f t="shared" si="22"/>
        <v>16260</v>
      </c>
      <c r="D277" s="57">
        <f t="shared" si="23"/>
        <v>24602.102893660915</v>
      </c>
      <c r="E277" s="57">
        <f t="shared" si="20"/>
        <v>8342.1028936609146</v>
      </c>
      <c r="F277" s="57">
        <f t="shared" si="24"/>
        <v>70.590899981765688</v>
      </c>
    </row>
    <row r="278" spans="1:6" x14ac:dyDescent="0.25">
      <c r="A278" s="1">
        <f t="shared" si="21"/>
        <v>46458</v>
      </c>
      <c r="B278" s="57">
        <v>60</v>
      </c>
      <c r="C278" s="57">
        <f t="shared" si="22"/>
        <v>16320</v>
      </c>
      <c r="D278" s="57">
        <f t="shared" si="23"/>
        <v>24733.070498161858</v>
      </c>
      <c r="E278" s="57">
        <f t="shared" si="20"/>
        <v>8413.0704981618583</v>
      </c>
      <c r="F278" s="57">
        <f t="shared" si="24"/>
        <v>70.967604500943708</v>
      </c>
    </row>
    <row r="279" spans="1:6" x14ac:dyDescent="0.25">
      <c r="A279" s="1">
        <f t="shared" si="21"/>
        <v>46472</v>
      </c>
      <c r="B279" s="57">
        <v>60</v>
      </c>
      <c r="C279" s="57">
        <f t="shared" si="22"/>
        <v>16380</v>
      </c>
      <c r="D279" s="57">
        <f t="shared" si="23"/>
        <v>24864.415893829631</v>
      </c>
      <c r="E279" s="57">
        <f t="shared" si="20"/>
        <v>8484.4158938296314</v>
      </c>
      <c r="F279" s="57">
        <f t="shared" si="24"/>
        <v>71.345395667773118</v>
      </c>
    </row>
    <row r="280" spans="1:6" x14ac:dyDescent="0.25">
      <c r="A280" s="1">
        <f t="shared" si="21"/>
        <v>46486</v>
      </c>
      <c r="B280" s="57">
        <v>60</v>
      </c>
      <c r="C280" s="57">
        <f t="shared" si="22"/>
        <v>16440</v>
      </c>
      <c r="D280" s="57">
        <f t="shared" si="23"/>
        <v>24996.140170446448</v>
      </c>
      <c r="E280" s="57">
        <f t="shared" si="20"/>
        <v>8556.1401704464479</v>
      </c>
      <c r="F280" s="57">
        <f t="shared" si="24"/>
        <v>71.724276616816496</v>
      </c>
    </row>
    <row r="281" spans="1:6" x14ac:dyDescent="0.25">
      <c r="A281" s="1">
        <f t="shared" si="21"/>
        <v>46500</v>
      </c>
      <c r="B281" s="57">
        <v>60</v>
      </c>
      <c r="C281" s="57">
        <f t="shared" si="22"/>
        <v>16500</v>
      </c>
      <c r="D281" s="57">
        <f t="shared" si="23"/>
        <v>25128.244420938121</v>
      </c>
      <c r="E281" s="57">
        <f t="shared" si="20"/>
        <v>8628.244420938121</v>
      </c>
      <c r="F281" s="57">
        <f t="shared" si="24"/>
        <v>72.104250491673156</v>
      </c>
    </row>
    <row r="282" spans="1:6" x14ac:dyDescent="0.25">
      <c r="A282" s="1">
        <f t="shared" si="21"/>
        <v>46514</v>
      </c>
      <c r="B282" s="57">
        <v>60</v>
      </c>
      <c r="C282" s="57">
        <f t="shared" si="22"/>
        <v>16560</v>
      </c>
      <c r="D282" s="57">
        <f t="shared" si="23"/>
        <v>25260.729741383133</v>
      </c>
      <c r="E282" s="57">
        <f t="shared" si="20"/>
        <v>8700.7297413831329</v>
      </c>
      <c r="F282" s="57">
        <f t="shared" si="24"/>
        <v>72.485320445011894</v>
      </c>
    </row>
    <row r="283" spans="1:6" x14ac:dyDescent="0.25">
      <c r="A283" s="1">
        <f t="shared" si="21"/>
        <v>46528</v>
      </c>
      <c r="B283" s="57">
        <v>60</v>
      </c>
      <c r="C283" s="57">
        <f t="shared" si="22"/>
        <v>16620</v>
      </c>
      <c r="D283" s="57">
        <f t="shared" si="23"/>
        <v>25393.597231021737</v>
      </c>
      <c r="E283" s="57">
        <f t="shared" si="20"/>
        <v>8773.5972310217367</v>
      </c>
      <c r="F283" s="57">
        <f t="shared" si="24"/>
        <v>72.867489638603729</v>
      </c>
    </row>
    <row r="284" spans="1:6" x14ac:dyDescent="0.25">
      <c r="A284" s="1">
        <f t="shared" si="21"/>
        <v>46542</v>
      </c>
      <c r="B284" s="57">
        <v>60</v>
      </c>
      <c r="C284" s="57">
        <f t="shared" si="22"/>
        <v>16680</v>
      </c>
      <c r="D284" s="57">
        <f t="shared" si="23"/>
        <v>25526.847992265069</v>
      </c>
      <c r="E284" s="57">
        <f t="shared" si="20"/>
        <v>8846.8479922650695</v>
      </c>
      <c r="F284" s="57">
        <f t="shared" si="24"/>
        <v>73.250761243332818</v>
      </c>
    </row>
    <row r="285" spans="1:6" x14ac:dyDescent="0.25">
      <c r="A285" s="1">
        <f t="shared" si="21"/>
        <v>46556</v>
      </c>
      <c r="B285" s="57">
        <v>60</v>
      </c>
      <c r="C285" s="57">
        <f t="shared" si="22"/>
        <v>16740</v>
      </c>
      <c r="D285" s="57">
        <f t="shared" si="23"/>
        <v>25660.483130704295</v>
      </c>
      <c r="E285" s="57">
        <f t="shared" si="20"/>
        <v>8920.483130704295</v>
      </c>
      <c r="F285" s="57">
        <f t="shared" si="24"/>
        <v>73.635138439225557</v>
      </c>
    </row>
    <row r="286" spans="1:6" x14ac:dyDescent="0.25">
      <c r="A286" s="1">
        <f t="shared" si="21"/>
        <v>46570</v>
      </c>
      <c r="B286" s="57">
        <v>60</v>
      </c>
      <c r="C286" s="57">
        <f t="shared" si="22"/>
        <v>16800</v>
      </c>
      <c r="D286" s="57">
        <f t="shared" si="23"/>
        <v>25794.503755119789</v>
      </c>
      <c r="E286" s="57">
        <f t="shared" si="20"/>
        <v>8994.5037551197893</v>
      </c>
      <c r="F286" s="57">
        <f t="shared" si="24"/>
        <v>74.02062441549424</v>
      </c>
    </row>
    <row r="287" spans="1:6" x14ac:dyDescent="0.25">
      <c r="A287" s="1">
        <f t="shared" si="21"/>
        <v>46584</v>
      </c>
      <c r="B287" s="57">
        <v>60</v>
      </c>
      <c r="C287" s="57">
        <f t="shared" si="22"/>
        <v>16860</v>
      </c>
      <c r="D287" s="57">
        <f t="shared" si="23"/>
        <v>25928.910977490326</v>
      </c>
      <c r="E287" s="57">
        <f t="shared" si="20"/>
        <v>9068.9109774903263</v>
      </c>
      <c r="F287" s="57">
        <f t="shared" si="24"/>
        <v>74.407222370537056</v>
      </c>
    </row>
    <row r="288" spans="1:6" x14ac:dyDescent="0.25">
      <c r="A288" s="1">
        <f t="shared" si="21"/>
        <v>46598</v>
      </c>
      <c r="B288" s="57">
        <v>60</v>
      </c>
      <c r="C288" s="57">
        <f t="shared" si="22"/>
        <v>16920</v>
      </c>
      <c r="D288" s="57">
        <f t="shared" si="23"/>
        <v>26063.705913002319</v>
      </c>
      <c r="E288" s="57">
        <f t="shared" si="20"/>
        <v>9143.705913002319</v>
      </c>
      <c r="F288" s="57">
        <f t="shared" si="24"/>
        <v>74.794935511992662</v>
      </c>
    </row>
    <row r="289" spans="1:6" x14ac:dyDescent="0.25">
      <c r="A289" s="1">
        <f t="shared" si="21"/>
        <v>46612</v>
      </c>
      <c r="B289" s="57">
        <v>60</v>
      </c>
      <c r="C289" s="57">
        <f t="shared" si="22"/>
        <v>16980</v>
      </c>
      <c r="D289" s="57">
        <f t="shared" si="23"/>
        <v>26198.889680059056</v>
      </c>
      <c r="E289" s="57">
        <f t="shared" si="20"/>
        <v>9218.8896800590555</v>
      </c>
      <c r="F289" s="57">
        <f t="shared" si="24"/>
        <v>75.183767056736542</v>
      </c>
    </row>
    <row r="290" spans="1:6" x14ac:dyDescent="0.25">
      <c r="A290" s="1">
        <f t="shared" si="21"/>
        <v>46626</v>
      </c>
      <c r="B290" s="57">
        <v>60</v>
      </c>
      <c r="C290" s="57">
        <f t="shared" si="22"/>
        <v>17040</v>
      </c>
      <c r="D290" s="57">
        <f t="shared" si="23"/>
        <v>26334.463400289995</v>
      </c>
      <c r="E290" s="57">
        <f t="shared" si="20"/>
        <v>9294.4634002899948</v>
      </c>
      <c r="F290" s="57">
        <f t="shared" si="24"/>
        <v>75.573720230939216</v>
      </c>
    </row>
    <row r="291" spans="1:6" x14ac:dyDescent="0.25">
      <c r="A291" s="1">
        <f t="shared" si="21"/>
        <v>46640</v>
      </c>
      <c r="B291" s="57">
        <v>60</v>
      </c>
      <c r="C291" s="57">
        <f t="shared" si="22"/>
        <v>17100</v>
      </c>
      <c r="D291" s="57">
        <f t="shared" si="23"/>
        <v>26470.428198560061</v>
      </c>
      <c r="E291" s="57">
        <f t="shared" si="20"/>
        <v>9370.428198560061</v>
      </c>
      <c r="F291" s="57">
        <f t="shared" si="24"/>
        <v>75.96479827006624</v>
      </c>
    </row>
    <row r="292" spans="1:6" x14ac:dyDescent="0.25">
      <c r="A292" s="1">
        <f t="shared" si="21"/>
        <v>46654</v>
      </c>
      <c r="B292" s="57">
        <v>60</v>
      </c>
      <c r="C292" s="57">
        <f t="shared" si="22"/>
        <v>17160</v>
      </c>
      <c r="D292" s="57">
        <f t="shared" si="23"/>
        <v>26606.785202978983</v>
      </c>
      <c r="E292" s="57">
        <f t="shared" si="20"/>
        <v>9446.7852029789829</v>
      </c>
      <c r="F292" s="57">
        <f t="shared" si="24"/>
        <v>76.357004418921861</v>
      </c>
    </row>
    <row r="293" spans="1:6" x14ac:dyDescent="0.25">
      <c r="A293" s="1">
        <f t="shared" si="21"/>
        <v>46668</v>
      </c>
      <c r="B293" s="57">
        <v>60</v>
      </c>
      <c r="C293" s="57">
        <f t="shared" si="22"/>
        <v>17220</v>
      </c>
      <c r="D293" s="57">
        <f t="shared" si="23"/>
        <v>26743.535544910654</v>
      </c>
      <c r="E293" s="57">
        <f t="shared" si="20"/>
        <v>9523.5355449106537</v>
      </c>
      <c r="F293" s="57">
        <f t="shared" si="24"/>
        <v>76.750341931670846</v>
      </c>
    </row>
    <row r="294" spans="1:6" x14ac:dyDescent="0.25">
      <c r="A294" s="1">
        <f t="shared" si="21"/>
        <v>46682</v>
      </c>
      <c r="B294" s="57">
        <v>60</v>
      </c>
      <c r="C294" s="57">
        <f t="shared" si="22"/>
        <v>17280</v>
      </c>
      <c r="D294" s="57">
        <f t="shared" si="23"/>
        <v>26880.68035898251</v>
      </c>
      <c r="E294" s="57">
        <f t="shared" si="20"/>
        <v>9600.6803589825104</v>
      </c>
      <c r="F294" s="57">
        <f t="shared" si="24"/>
        <v>77.144814071856672</v>
      </c>
    </row>
    <row r="295" spans="1:6" x14ac:dyDescent="0.25">
      <c r="A295" s="1">
        <f t="shared" si="21"/>
        <v>46696</v>
      </c>
      <c r="B295" s="57">
        <v>60</v>
      </c>
      <c r="C295" s="57">
        <f t="shared" si="22"/>
        <v>17340</v>
      </c>
      <c r="D295" s="57">
        <f t="shared" si="23"/>
        <v>27018.220783094959</v>
      </c>
      <c r="E295" s="57">
        <f t="shared" si="20"/>
        <v>9678.2207830949592</v>
      </c>
      <c r="F295" s="57">
        <f t="shared" si="24"/>
        <v>77.540424112448818</v>
      </c>
    </row>
    <row r="296" spans="1:6" x14ac:dyDescent="0.25">
      <c r="A296" s="1">
        <f t="shared" si="21"/>
        <v>46710</v>
      </c>
      <c r="B296" s="57">
        <v>60</v>
      </c>
      <c r="C296" s="57">
        <f t="shared" si="22"/>
        <v>17400</v>
      </c>
      <c r="D296" s="57">
        <f t="shared" si="23"/>
        <v>27156.157958430809</v>
      </c>
      <c r="E296" s="57">
        <f t="shared" si="20"/>
        <v>9756.1579584308092</v>
      </c>
      <c r="F296" s="57">
        <f t="shared" si="24"/>
        <v>77.937175335850043</v>
      </c>
    </row>
    <row r="297" spans="1:6" x14ac:dyDescent="0.25">
      <c r="A297" s="1">
        <f t="shared" si="21"/>
        <v>46724</v>
      </c>
      <c r="B297" s="57">
        <v>60</v>
      </c>
      <c r="C297" s="57">
        <f t="shared" si="22"/>
        <v>17460</v>
      </c>
      <c r="D297" s="57">
        <f t="shared" si="23"/>
        <v>27294.493029464746</v>
      </c>
      <c r="E297" s="57">
        <f t="shared" si="20"/>
        <v>9834.4930294647456</v>
      </c>
      <c r="F297" s="57">
        <f t="shared" si="24"/>
        <v>78.335071033936401</v>
      </c>
    </row>
    <row r="298" spans="1:6" x14ac:dyDescent="0.25">
      <c r="A298" s="1">
        <f t="shared" si="21"/>
        <v>46738</v>
      </c>
      <c r="B298" s="57">
        <v>60</v>
      </c>
      <c r="C298" s="57">
        <f t="shared" si="22"/>
        <v>17520</v>
      </c>
      <c r="D298" s="57">
        <f t="shared" si="23"/>
        <v>27433.227143972817</v>
      </c>
      <c r="E298" s="57">
        <f t="shared" si="20"/>
        <v>9913.2271439728174</v>
      </c>
      <c r="F298" s="57">
        <f t="shared" si="24"/>
        <v>78.734114508071798</v>
      </c>
    </row>
    <row r="299" spans="1:6" x14ac:dyDescent="0.25">
      <c r="A299" s="1">
        <f t="shared" si="21"/>
        <v>46752</v>
      </c>
      <c r="B299" s="57">
        <v>60</v>
      </c>
      <c r="C299" s="57">
        <f t="shared" si="22"/>
        <v>17580</v>
      </c>
      <c r="D299" s="57">
        <f t="shared" si="23"/>
        <v>27572.361453041969</v>
      </c>
      <c r="E299" s="57">
        <f t="shared" si="20"/>
        <v>9992.3614530419691</v>
      </c>
      <c r="F299" s="57">
        <f t="shared" si="24"/>
        <v>79.134309069151641</v>
      </c>
    </row>
    <row r="300" spans="1:6" x14ac:dyDescent="0.25">
      <c r="A300" s="1">
        <f t="shared" si="21"/>
        <v>46766</v>
      </c>
      <c r="B300" s="57">
        <v>60</v>
      </c>
      <c r="C300" s="57">
        <f t="shared" si="22"/>
        <v>17640</v>
      </c>
      <c r="D300" s="57">
        <f t="shared" si="23"/>
        <v>27711.89711107959</v>
      </c>
      <c r="E300" s="57">
        <f t="shared" si="20"/>
        <v>10071.89711107959</v>
      </c>
      <c r="F300" s="57">
        <f t="shared" si="24"/>
        <v>79.535658037621033</v>
      </c>
    </row>
    <row r="301" spans="1:6" x14ac:dyDescent="0.25">
      <c r="A301" s="1">
        <f t="shared" si="21"/>
        <v>46780</v>
      </c>
      <c r="B301" s="57">
        <v>60</v>
      </c>
      <c r="C301" s="57">
        <f t="shared" si="22"/>
        <v>17700</v>
      </c>
      <c r="D301" s="57">
        <f t="shared" si="23"/>
        <v>27851.83527582309</v>
      </c>
      <c r="E301" s="57">
        <f t="shared" si="20"/>
        <v>10151.83527582309</v>
      </c>
      <c r="F301" s="57">
        <f t="shared" si="24"/>
        <v>79.938164743500238</v>
      </c>
    </row>
    <row r="302" spans="1:6" x14ac:dyDescent="0.25">
      <c r="A302" s="1">
        <f t="shared" si="21"/>
        <v>46794</v>
      </c>
      <c r="B302" s="57">
        <v>60</v>
      </c>
      <c r="C302" s="57">
        <f t="shared" si="22"/>
        <v>17760</v>
      </c>
      <c r="D302" s="57">
        <f t="shared" si="23"/>
        <v>27992.177108349504</v>
      </c>
      <c r="E302" s="57">
        <f t="shared" si="20"/>
        <v>10232.177108349504</v>
      </c>
      <c r="F302" s="57">
        <f t="shared" si="24"/>
        <v>80.341832526413782</v>
      </c>
    </row>
    <row r="303" spans="1:6" x14ac:dyDescent="0.25">
      <c r="A303" s="1">
        <f t="shared" si="21"/>
        <v>46808</v>
      </c>
      <c r="B303" s="57">
        <v>60</v>
      </c>
      <c r="C303" s="57">
        <f t="shared" si="22"/>
        <v>17820</v>
      </c>
      <c r="D303" s="57">
        <f t="shared" si="23"/>
        <v>28132.923773085127</v>
      </c>
      <c r="E303" s="57">
        <f t="shared" si="20"/>
        <v>10312.923773085127</v>
      </c>
      <c r="F303" s="57">
        <f t="shared" si="24"/>
        <v>80.746664735623199</v>
      </c>
    </row>
    <row r="304" spans="1:6" x14ac:dyDescent="0.25">
      <c r="A304" s="1">
        <f t="shared" si="21"/>
        <v>46822</v>
      </c>
      <c r="B304" s="57">
        <v>60</v>
      </c>
      <c r="C304" s="57">
        <f t="shared" si="22"/>
        <v>17880</v>
      </c>
      <c r="D304" s="57">
        <f t="shared" si="23"/>
        <v>28274.07643781518</v>
      </c>
      <c r="E304" s="57">
        <f t="shared" si="20"/>
        <v>10394.07643781518</v>
      </c>
      <c r="F304" s="57">
        <f t="shared" si="24"/>
        <v>81.152664730052493</v>
      </c>
    </row>
    <row r="305" spans="1:6" x14ac:dyDescent="0.25">
      <c r="A305" s="1">
        <f t="shared" si="21"/>
        <v>46836</v>
      </c>
      <c r="B305" s="57">
        <v>60</v>
      </c>
      <c r="C305" s="57">
        <f t="shared" si="22"/>
        <v>17940</v>
      </c>
      <c r="D305" s="57">
        <f t="shared" si="23"/>
        <v>28415.636273693493</v>
      </c>
      <c r="E305" s="57">
        <f t="shared" si="20"/>
        <v>10475.636273693493</v>
      </c>
      <c r="F305" s="57">
        <f t="shared" si="24"/>
        <v>81.559835878313606</v>
      </c>
    </row>
    <row r="306" spans="1:6" x14ac:dyDescent="0.25">
      <c r="A306" s="1">
        <f t="shared" si="21"/>
        <v>46850</v>
      </c>
      <c r="B306" s="57">
        <v>60</v>
      </c>
      <c r="C306" s="57">
        <f t="shared" si="22"/>
        <v>18000</v>
      </c>
      <c r="D306" s="57">
        <f t="shared" si="23"/>
        <v>28557.604455252225</v>
      </c>
      <c r="E306" s="57">
        <f t="shared" si="20"/>
        <v>10557.604455252225</v>
      </c>
      <c r="F306" s="57">
        <f t="shared" si="24"/>
        <v>81.968181558731885</v>
      </c>
    </row>
    <row r="307" spans="1:6" x14ac:dyDescent="0.25">
      <c r="A307" s="1">
        <f t="shared" si="21"/>
        <v>46864</v>
      </c>
      <c r="B307" s="57">
        <v>60</v>
      </c>
      <c r="C307" s="57">
        <f t="shared" si="22"/>
        <v>18060</v>
      </c>
      <c r="D307" s="57">
        <f t="shared" si="23"/>
        <v>28699.982160411608</v>
      </c>
      <c r="E307" s="57">
        <f t="shared" si="20"/>
        <v>10639.982160411608</v>
      </c>
      <c r="F307" s="57">
        <f t="shared" si="24"/>
        <v>82.377705159382458</v>
      </c>
    </row>
    <row r="308" spans="1:6" x14ac:dyDescent="0.25">
      <c r="A308" s="1">
        <f t="shared" si="21"/>
        <v>46878</v>
      </c>
      <c r="B308" s="57">
        <v>60</v>
      </c>
      <c r="C308" s="57">
        <f t="shared" si="22"/>
        <v>18120</v>
      </c>
      <c r="D308" s="57">
        <f t="shared" si="23"/>
        <v>28842.770570489716</v>
      </c>
      <c r="E308" s="57">
        <f t="shared" si="20"/>
        <v>10722.770570489716</v>
      </c>
      <c r="F308" s="57">
        <f t="shared" si="24"/>
        <v>82.788410078108427</v>
      </c>
    </row>
    <row r="309" spans="1:6" x14ac:dyDescent="0.25">
      <c r="A309" s="1">
        <f t="shared" si="21"/>
        <v>46892</v>
      </c>
      <c r="B309" s="57">
        <v>60</v>
      </c>
      <c r="C309" s="57">
        <f t="shared" si="22"/>
        <v>18180</v>
      </c>
      <c r="D309" s="57">
        <f t="shared" si="23"/>
        <v>28985.970870212281</v>
      </c>
      <c r="E309" s="57">
        <f t="shared" si="20"/>
        <v>10805.970870212281</v>
      </c>
      <c r="F309" s="57">
        <f t="shared" si="24"/>
        <v>83.200299722564523</v>
      </c>
    </row>
    <row r="310" spans="1:6" x14ac:dyDescent="0.25">
      <c r="A310" s="1">
        <f t="shared" si="21"/>
        <v>46906</v>
      </c>
      <c r="B310" s="57">
        <v>60</v>
      </c>
      <c r="C310" s="57">
        <f t="shared" si="22"/>
        <v>18240</v>
      </c>
      <c r="D310" s="57">
        <f t="shared" si="23"/>
        <v>29129.584247722509</v>
      </c>
      <c r="E310" s="57">
        <f t="shared" si="20"/>
        <v>10889.584247722509</v>
      </c>
      <c r="F310" s="57">
        <f t="shared" si="24"/>
        <v>83.61337751022802</v>
      </c>
    </row>
    <row r="311" spans="1:6" x14ac:dyDescent="0.25">
      <c r="A311" s="1">
        <f t="shared" si="21"/>
        <v>46920</v>
      </c>
      <c r="B311" s="57">
        <v>60</v>
      </c>
      <c r="C311" s="57">
        <f t="shared" si="22"/>
        <v>18300</v>
      </c>
      <c r="D311" s="57">
        <f t="shared" si="23"/>
        <v>29273.61189459094</v>
      </c>
      <c r="E311" s="57">
        <f t="shared" si="20"/>
        <v>10973.61189459094</v>
      </c>
      <c r="F311" s="57">
        <f t="shared" si="24"/>
        <v>84.027646868431475</v>
      </c>
    </row>
    <row r="312" spans="1:6" x14ac:dyDescent="0.25">
      <c r="A312" s="1">
        <f t="shared" si="21"/>
        <v>46934</v>
      </c>
      <c r="B312" s="57">
        <v>60</v>
      </c>
      <c r="C312" s="57">
        <f t="shared" si="22"/>
        <v>18360</v>
      </c>
      <c r="D312" s="57">
        <f t="shared" si="23"/>
        <v>29418.055005825336</v>
      </c>
      <c r="E312" s="57">
        <f t="shared" si="20"/>
        <v>11058.055005825336</v>
      </c>
      <c r="F312" s="57">
        <f t="shared" si="24"/>
        <v>84.443111234395474</v>
      </c>
    </row>
    <row r="313" spans="1:6" x14ac:dyDescent="0.25">
      <c r="A313" s="1">
        <f t="shared" si="21"/>
        <v>46948</v>
      </c>
      <c r="B313" s="57">
        <v>60</v>
      </c>
      <c r="C313" s="57">
        <f t="shared" si="22"/>
        <v>18420</v>
      </c>
      <c r="D313" s="57">
        <f t="shared" si="23"/>
        <v>29562.914779880601</v>
      </c>
      <c r="E313" s="57">
        <f t="shared" si="20"/>
        <v>11142.914779880601</v>
      </c>
      <c r="F313" s="57">
        <f t="shared" si="24"/>
        <v>84.859774055265007</v>
      </c>
    </row>
    <row r="314" spans="1:6" x14ac:dyDescent="0.25">
      <c r="A314" s="1">
        <f t="shared" si="21"/>
        <v>46962</v>
      </c>
      <c r="B314" s="57">
        <v>60</v>
      </c>
      <c r="C314" s="57">
        <f t="shared" si="22"/>
        <v>18480</v>
      </c>
      <c r="D314" s="57">
        <f t="shared" si="23"/>
        <v>29708.192418668717</v>
      </c>
      <c r="E314" s="57">
        <f t="shared" si="20"/>
        <v>11228.192418668717</v>
      </c>
      <c r="F314" s="57">
        <f t="shared" si="24"/>
        <v>85.277638788116747</v>
      </c>
    </row>
    <row r="315" spans="1:6" x14ac:dyDescent="0.25">
      <c r="A315" s="1">
        <f t="shared" si="21"/>
        <v>46976</v>
      </c>
      <c r="B315" s="57">
        <v>60</v>
      </c>
      <c r="C315" s="57">
        <f t="shared" si="22"/>
        <v>18540</v>
      </c>
      <c r="D315" s="57">
        <f t="shared" si="23"/>
        <v>29853.889127568724</v>
      </c>
      <c r="E315" s="57">
        <f t="shared" si="20"/>
        <v>11313.889127568724</v>
      </c>
      <c r="F315" s="57">
        <f t="shared" si="24"/>
        <v>85.696708900006342</v>
      </c>
    </row>
    <row r="316" spans="1:6" x14ac:dyDescent="0.25">
      <c r="A316" s="1">
        <f t="shared" si="21"/>
        <v>46990</v>
      </c>
      <c r="B316" s="57">
        <v>60</v>
      </c>
      <c r="C316" s="57">
        <f t="shared" si="22"/>
        <v>18600</v>
      </c>
      <c r="D316" s="57">
        <f t="shared" si="23"/>
        <v>30000.00611543671</v>
      </c>
      <c r="E316" s="57">
        <f t="shared" si="20"/>
        <v>11400.00611543671</v>
      </c>
      <c r="F316" s="57">
        <f t="shared" si="24"/>
        <v>86.116987867986609</v>
      </c>
    </row>
    <row r="317" spans="1:6" x14ac:dyDescent="0.25">
      <c r="A317" s="1">
        <f t="shared" si="21"/>
        <v>47004</v>
      </c>
      <c r="B317" s="57">
        <v>60</v>
      </c>
      <c r="C317" s="57">
        <f t="shared" si="22"/>
        <v>18660</v>
      </c>
      <c r="D317" s="57">
        <f t="shared" si="23"/>
        <v>30146.544594615854</v>
      </c>
      <c r="E317" s="57">
        <f t="shared" si="20"/>
        <v>11486.544594615854</v>
      </c>
      <c r="F317" s="57">
        <f t="shared" si="24"/>
        <v>86.538479179143906</v>
      </c>
    </row>
    <row r="318" spans="1:6" x14ac:dyDescent="0.25">
      <c r="A318" s="1">
        <f t="shared" si="21"/>
        <v>47018</v>
      </c>
      <c r="B318" s="57">
        <v>60</v>
      </c>
      <c r="C318" s="57">
        <f t="shared" si="22"/>
        <v>18720</v>
      </c>
      <c r="D318" s="57">
        <f t="shared" si="23"/>
        <v>30293.505780946478</v>
      </c>
      <c r="E318" s="57">
        <f t="shared" si="20"/>
        <v>11573.505780946478</v>
      </c>
      <c r="F318" s="57">
        <f t="shared" si="24"/>
        <v>86.961186330623605</v>
      </c>
    </row>
    <row r="319" spans="1:6" x14ac:dyDescent="0.25">
      <c r="A319" s="1">
        <f t="shared" si="21"/>
        <v>47032</v>
      </c>
      <c r="B319" s="57">
        <v>60</v>
      </c>
      <c r="C319" s="57">
        <f t="shared" si="22"/>
        <v>18780</v>
      </c>
      <c r="D319" s="57">
        <f t="shared" si="23"/>
        <v>30440.89089377613</v>
      </c>
      <c r="E319" s="57">
        <f t="shared" si="20"/>
        <v>11660.89089377613</v>
      </c>
      <c r="F319" s="57">
        <f t="shared" si="24"/>
        <v>87.385112829651916</v>
      </c>
    </row>
    <row r="320" spans="1:6" x14ac:dyDescent="0.25">
      <c r="A320" s="1">
        <f t="shared" si="21"/>
        <v>47046</v>
      </c>
      <c r="B320" s="57">
        <v>60</v>
      </c>
      <c r="C320" s="57">
        <f t="shared" si="22"/>
        <v>18840</v>
      </c>
      <c r="D320" s="57">
        <f t="shared" si="23"/>
        <v>30588.701155969713</v>
      </c>
      <c r="E320" s="57">
        <f t="shared" si="20"/>
        <v>11748.701155969713</v>
      </c>
      <c r="F320" s="57">
        <f t="shared" si="24"/>
        <v>87.810262193583185</v>
      </c>
    </row>
    <row r="321" spans="1:6" x14ac:dyDescent="0.25">
      <c r="A321" s="1">
        <f t="shared" si="21"/>
        <v>47060</v>
      </c>
      <c r="B321" s="57">
        <v>60</v>
      </c>
      <c r="C321" s="57">
        <f t="shared" si="22"/>
        <v>18900</v>
      </c>
      <c r="D321" s="57">
        <f t="shared" si="23"/>
        <v>30736.937793919624</v>
      </c>
      <c r="E321" s="57">
        <f t="shared" si="20"/>
        <v>11836.937793919624</v>
      </c>
      <c r="F321" s="57">
        <f t="shared" si="24"/>
        <v>88.236637949910801</v>
      </c>
    </row>
    <row r="322" spans="1:6" x14ac:dyDescent="0.25">
      <c r="A322" s="1">
        <f t="shared" si="21"/>
        <v>47074</v>
      </c>
      <c r="B322" s="57">
        <v>60</v>
      </c>
      <c r="C322" s="57">
        <f t="shared" si="22"/>
        <v>18960</v>
      </c>
      <c r="D322" s="57">
        <f t="shared" si="23"/>
        <v>30885.602037555931</v>
      </c>
      <c r="E322" s="57">
        <f t="shared" si="20"/>
        <v>11925.602037555931</v>
      </c>
      <c r="F322" s="57">
        <f t="shared" si="24"/>
        <v>88.664243636307219</v>
      </c>
    </row>
    <row r="323" spans="1:6" x14ac:dyDescent="0.25">
      <c r="A323" s="1">
        <f t="shared" si="21"/>
        <v>47088</v>
      </c>
      <c r="B323" s="57">
        <v>60</v>
      </c>
      <c r="C323" s="57">
        <f t="shared" si="22"/>
        <v>19020</v>
      </c>
      <c r="D323" s="57">
        <f t="shared" si="23"/>
        <v>31034.695120356573</v>
      </c>
      <c r="E323" s="57">
        <f t="shared" si="20"/>
        <v>12014.695120356573</v>
      </c>
      <c r="F323" s="57">
        <f t="shared" si="24"/>
        <v>89.093082800642151</v>
      </c>
    </row>
    <row r="324" spans="1:6" x14ac:dyDescent="0.25">
      <c r="A324" s="1">
        <f t="shared" si="21"/>
        <v>47102</v>
      </c>
      <c r="B324" s="57">
        <v>60</v>
      </c>
      <c r="C324" s="57">
        <f t="shared" si="22"/>
        <v>19080</v>
      </c>
      <c r="D324" s="57">
        <f t="shared" si="23"/>
        <v>31184.218279357603</v>
      </c>
      <c r="E324" s="57">
        <f t="shared" si="20"/>
        <v>12104.218279357603</v>
      </c>
      <c r="F324" s="57">
        <f t="shared" si="24"/>
        <v>89.523159001029853</v>
      </c>
    </row>
    <row r="325" spans="1:6" x14ac:dyDescent="0.25">
      <c r="A325" s="1">
        <f t="shared" si="21"/>
        <v>47116</v>
      </c>
      <c r="B325" s="57">
        <v>60</v>
      </c>
      <c r="C325" s="57">
        <f t="shared" si="22"/>
        <v>19140</v>
      </c>
      <c r="D325" s="57">
        <f t="shared" si="23"/>
        <v>31334.172755163443</v>
      </c>
      <c r="E325" s="57">
        <f t="shared" si="20"/>
        <v>12194.172755163443</v>
      </c>
      <c r="F325" s="57">
        <f t="shared" si="24"/>
        <v>89.954475805840048</v>
      </c>
    </row>
    <row r="326" spans="1:6" x14ac:dyDescent="0.25">
      <c r="A326" s="1">
        <f t="shared" si="21"/>
        <v>47130</v>
      </c>
      <c r="B326" s="57">
        <v>60</v>
      </c>
      <c r="C326" s="57">
        <f t="shared" si="22"/>
        <v>19200</v>
      </c>
      <c r="D326" s="57">
        <f t="shared" si="23"/>
        <v>31484.559791957185</v>
      </c>
      <c r="E326" s="57">
        <f t="shared" ref="E326:E389" si="25">D326-C326</f>
        <v>12284.559791957185</v>
      </c>
      <c r="F326" s="57">
        <f t="shared" si="24"/>
        <v>90.387036793741572</v>
      </c>
    </row>
    <row r="327" spans="1:6" x14ac:dyDescent="0.25">
      <c r="A327" s="1">
        <f t="shared" ref="A327:A390" si="26">A326+14</f>
        <v>47144</v>
      </c>
      <c r="B327" s="57">
        <v>60</v>
      </c>
      <c r="C327" s="57">
        <f t="shared" ref="C327:C390" si="27">C326+B327</f>
        <v>19260</v>
      </c>
      <c r="D327" s="57">
        <f t="shared" ref="D327:D390" si="28">D326*(1+$D$2) + B327</f>
        <v>31635.380637510905</v>
      </c>
      <c r="E327" s="57">
        <f t="shared" si="25"/>
        <v>12375.380637510905</v>
      </c>
      <c r="F327" s="57">
        <f t="shared" ref="F327:F390" si="29">E327-E326</f>
        <v>90.820845553720574</v>
      </c>
    </row>
    <row r="328" spans="1:6" x14ac:dyDescent="0.25">
      <c r="A328" s="1">
        <f t="shared" si="26"/>
        <v>47158</v>
      </c>
      <c r="B328" s="57">
        <v>60</v>
      </c>
      <c r="C328" s="57">
        <f t="shared" si="27"/>
        <v>19320</v>
      </c>
      <c r="D328" s="57">
        <f t="shared" si="28"/>
        <v>31786.636543196033</v>
      </c>
      <c r="E328" s="57">
        <f t="shared" si="25"/>
        <v>12466.636543196033</v>
      </c>
      <c r="F328" s="57">
        <f t="shared" si="29"/>
        <v>91.2559056851278</v>
      </c>
    </row>
    <row r="329" spans="1:6" x14ac:dyDescent="0.25">
      <c r="A329" s="1">
        <f t="shared" si="26"/>
        <v>47172</v>
      </c>
      <c r="B329" s="57">
        <v>60</v>
      </c>
      <c r="C329" s="57">
        <f t="shared" si="27"/>
        <v>19380</v>
      </c>
      <c r="D329" s="57">
        <f t="shared" si="28"/>
        <v>31938.328763993715</v>
      </c>
      <c r="E329" s="57">
        <f t="shared" si="25"/>
        <v>12558.328763993715</v>
      </c>
      <c r="F329" s="57">
        <f t="shared" si="29"/>
        <v>91.692220797682239</v>
      </c>
    </row>
    <row r="330" spans="1:6" x14ac:dyDescent="0.25">
      <c r="A330" s="1">
        <f t="shared" si="26"/>
        <v>47186</v>
      </c>
      <c r="B330" s="57">
        <v>60</v>
      </c>
      <c r="C330" s="57">
        <f t="shared" si="27"/>
        <v>19440</v>
      </c>
      <c r="D330" s="57">
        <f t="shared" si="28"/>
        <v>32090.458558505234</v>
      </c>
      <c r="E330" s="57">
        <f t="shared" si="25"/>
        <v>12650.458558505234</v>
      </c>
      <c r="F330" s="57">
        <f t="shared" si="29"/>
        <v>92.129794511518412</v>
      </c>
    </row>
    <row r="331" spans="1:6" x14ac:dyDescent="0.25">
      <c r="A331" s="1">
        <f t="shared" si="26"/>
        <v>47200</v>
      </c>
      <c r="B331" s="57">
        <v>60</v>
      </c>
      <c r="C331" s="57">
        <f t="shared" si="27"/>
        <v>19500</v>
      </c>
      <c r="D331" s="57">
        <f t="shared" si="28"/>
        <v>32243.02718896246</v>
      </c>
      <c r="E331" s="57">
        <f t="shared" si="25"/>
        <v>12743.02718896246</v>
      </c>
      <c r="F331" s="57">
        <f t="shared" si="29"/>
        <v>92.568630457226391</v>
      </c>
    </row>
    <row r="332" spans="1:6" x14ac:dyDescent="0.25">
      <c r="A332" s="1">
        <f t="shared" si="26"/>
        <v>47214</v>
      </c>
      <c r="B332" s="57">
        <v>60</v>
      </c>
      <c r="C332" s="57">
        <f t="shared" si="27"/>
        <v>19560</v>
      </c>
      <c r="D332" s="57">
        <f t="shared" si="28"/>
        <v>32396.035921238312</v>
      </c>
      <c r="E332" s="57">
        <f t="shared" si="25"/>
        <v>12836.035921238312</v>
      </c>
      <c r="F332" s="57">
        <f t="shared" si="29"/>
        <v>93.008732275851798</v>
      </c>
    </row>
    <row r="333" spans="1:6" x14ac:dyDescent="0.25">
      <c r="A333" s="1">
        <f t="shared" si="26"/>
        <v>47228</v>
      </c>
      <c r="B333" s="57">
        <v>60</v>
      </c>
      <c r="C333" s="57">
        <f t="shared" si="27"/>
        <v>19620</v>
      </c>
      <c r="D333" s="57">
        <f t="shared" si="28"/>
        <v>32549.48602485727</v>
      </c>
      <c r="E333" s="57">
        <f t="shared" si="25"/>
        <v>12929.48602485727</v>
      </c>
      <c r="F333" s="57">
        <f t="shared" si="29"/>
        <v>93.450103618957655</v>
      </c>
    </row>
    <row r="334" spans="1:6" x14ac:dyDescent="0.25">
      <c r="A334" s="1">
        <f t="shared" si="26"/>
        <v>47242</v>
      </c>
      <c r="B334" s="57">
        <v>60</v>
      </c>
      <c r="C334" s="57">
        <f t="shared" si="27"/>
        <v>19680</v>
      </c>
      <c r="D334" s="57">
        <f t="shared" si="28"/>
        <v>32703.378773005898</v>
      </c>
      <c r="E334" s="57">
        <f t="shared" si="25"/>
        <v>13023.378773005898</v>
      </c>
      <c r="F334" s="57">
        <f t="shared" si="29"/>
        <v>93.892748148628016</v>
      </c>
    </row>
    <row r="335" spans="1:6" x14ac:dyDescent="0.25">
      <c r="A335" s="1">
        <f t="shared" si="26"/>
        <v>47256</v>
      </c>
      <c r="B335" s="57">
        <v>60</v>
      </c>
      <c r="C335" s="57">
        <f t="shared" si="27"/>
        <v>19740</v>
      </c>
      <c r="D335" s="57">
        <f t="shared" si="28"/>
        <v>32857.715442543413</v>
      </c>
      <c r="E335" s="57">
        <f t="shared" si="25"/>
        <v>13117.715442543413</v>
      </c>
      <c r="F335" s="57">
        <f t="shared" si="29"/>
        <v>94.336669537515263</v>
      </c>
    </row>
    <row r="336" spans="1:6" x14ac:dyDescent="0.25">
      <c r="A336" s="1">
        <f t="shared" si="26"/>
        <v>47270</v>
      </c>
      <c r="B336" s="57">
        <v>60</v>
      </c>
      <c r="C336" s="57">
        <f t="shared" si="27"/>
        <v>19800</v>
      </c>
      <c r="D336" s="57">
        <f t="shared" si="28"/>
        <v>33012.497314012289</v>
      </c>
      <c r="E336" s="57">
        <f t="shared" si="25"/>
        <v>13212.497314012289</v>
      </c>
      <c r="F336" s="57">
        <f t="shared" si="29"/>
        <v>94.781871468876489</v>
      </c>
    </row>
    <row r="337" spans="1:6" x14ac:dyDescent="0.25">
      <c r="A337" s="1">
        <f t="shared" si="26"/>
        <v>47284</v>
      </c>
      <c r="B337" s="57">
        <v>60</v>
      </c>
      <c r="C337" s="57">
        <f t="shared" si="27"/>
        <v>19860</v>
      </c>
      <c r="D337" s="57">
        <f t="shared" si="28"/>
        <v>33167.725671648863</v>
      </c>
      <c r="E337" s="57">
        <f t="shared" si="25"/>
        <v>13307.725671648863</v>
      </c>
      <c r="F337" s="57">
        <f t="shared" si="29"/>
        <v>95.228357636573492</v>
      </c>
    </row>
    <row r="338" spans="1:6" x14ac:dyDescent="0.25">
      <c r="A338" s="1">
        <f t="shared" si="26"/>
        <v>47298</v>
      </c>
      <c r="B338" s="57">
        <v>60</v>
      </c>
      <c r="C338" s="57">
        <f t="shared" si="27"/>
        <v>19920</v>
      </c>
      <c r="D338" s="57">
        <f t="shared" si="28"/>
        <v>33323.401803394001</v>
      </c>
      <c r="E338" s="57">
        <f t="shared" si="25"/>
        <v>13403.401803394001</v>
      </c>
      <c r="F338" s="57">
        <f t="shared" si="29"/>
        <v>95.676131745138264</v>
      </c>
    </row>
    <row r="339" spans="1:6" x14ac:dyDescent="0.25">
      <c r="A339" s="1">
        <f t="shared" si="26"/>
        <v>47312</v>
      </c>
      <c r="B339" s="57">
        <v>60</v>
      </c>
      <c r="C339" s="57">
        <f t="shared" si="27"/>
        <v>19980</v>
      </c>
      <c r="D339" s="57">
        <f t="shared" si="28"/>
        <v>33479.527000903792</v>
      </c>
      <c r="E339" s="57">
        <f t="shared" si="25"/>
        <v>13499.527000903792</v>
      </c>
      <c r="F339" s="57">
        <f t="shared" si="29"/>
        <v>96.125197509791178</v>
      </c>
    </row>
    <row r="340" spans="1:6" x14ac:dyDescent="0.25">
      <c r="A340" s="1">
        <f t="shared" si="26"/>
        <v>47326</v>
      </c>
      <c r="B340" s="57">
        <v>60</v>
      </c>
      <c r="C340" s="57">
        <f t="shared" si="27"/>
        <v>20040</v>
      </c>
      <c r="D340" s="57">
        <f t="shared" si="28"/>
        <v>33636.102559560248</v>
      </c>
      <c r="E340" s="57">
        <f t="shared" si="25"/>
        <v>13596.102559560248</v>
      </c>
      <c r="F340" s="57">
        <f t="shared" si="29"/>
        <v>96.575558656455541</v>
      </c>
    </row>
    <row r="341" spans="1:6" x14ac:dyDescent="0.25">
      <c r="A341" s="1">
        <f t="shared" si="26"/>
        <v>47340</v>
      </c>
      <c r="B341" s="57">
        <v>60</v>
      </c>
      <c r="C341" s="57">
        <f t="shared" si="27"/>
        <v>20100</v>
      </c>
      <c r="D341" s="57">
        <f t="shared" si="28"/>
        <v>33793.129778482056</v>
      </c>
      <c r="E341" s="57">
        <f t="shared" si="25"/>
        <v>13693.129778482056</v>
      </c>
      <c r="F341" s="57">
        <f t="shared" si="29"/>
        <v>97.027218921808526</v>
      </c>
    </row>
    <row r="342" spans="1:6" x14ac:dyDescent="0.25">
      <c r="A342" s="1">
        <f t="shared" si="26"/>
        <v>47354</v>
      </c>
      <c r="B342" s="57">
        <v>60</v>
      </c>
      <c r="C342" s="57">
        <f t="shared" si="27"/>
        <v>20160</v>
      </c>
      <c r="D342" s="57">
        <f t="shared" si="28"/>
        <v>33950.609960535367</v>
      </c>
      <c r="E342" s="57">
        <f t="shared" si="25"/>
        <v>13790.609960535367</v>
      </c>
      <c r="F342" s="57">
        <f t="shared" si="29"/>
        <v>97.480182053310273</v>
      </c>
    </row>
    <row r="343" spans="1:6" x14ac:dyDescent="0.25">
      <c r="A343" s="1">
        <f t="shared" si="26"/>
        <v>47368</v>
      </c>
      <c r="B343" s="57">
        <v>60</v>
      </c>
      <c r="C343" s="57">
        <f t="shared" si="27"/>
        <v>20220</v>
      </c>
      <c r="D343" s="57">
        <f t="shared" si="28"/>
        <v>34108.5444123446</v>
      </c>
      <c r="E343" s="57">
        <f t="shared" si="25"/>
        <v>13888.5444123446</v>
      </c>
      <c r="F343" s="57">
        <f t="shared" si="29"/>
        <v>97.934451809232996</v>
      </c>
    </row>
    <row r="344" spans="1:6" x14ac:dyDescent="0.25">
      <c r="A344" s="1">
        <f t="shared" si="26"/>
        <v>47382</v>
      </c>
      <c r="B344" s="57">
        <v>60</v>
      </c>
      <c r="C344" s="57">
        <f t="shared" si="27"/>
        <v>20280</v>
      </c>
      <c r="D344" s="57">
        <f t="shared" si="28"/>
        <v>34266.934444303282</v>
      </c>
      <c r="E344" s="57">
        <f t="shared" si="25"/>
        <v>13986.934444303282</v>
      </c>
      <c r="F344" s="57">
        <f t="shared" si="29"/>
        <v>98.390031958682812</v>
      </c>
    </row>
    <row r="345" spans="1:6" x14ac:dyDescent="0.25">
      <c r="A345" s="1">
        <f t="shared" si="26"/>
        <v>47396</v>
      </c>
      <c r="B345" s="57">
        <v>60</v>
      </c>
      <c r="C345" s="57">
        <f t="shared" si="27"/>
        <v>20340</v>
      </c>
      <c r="D345" s="57">
        <f t="shared" si="28"/>
        <v>34425.781370584926</v>
      </c>
      <c r="E345" s="57">
        <f t="shared" si="25"/>
        <v>14085.781370584926</v>
      </c>
      <c r="F345" s="57">
        <f t="shared" si="29"/>
        <v>98.846926281643391</v>
      </c>
    </row>
    <row r="346" spans="1:6" x14ac:dyDescent="0.25">
      <c r="A346" s="1">
        <f t="shared" si="26"/>
        <v>47410</v>
      </c>
      <c r="B346" s="57">
        <v>60</v>
      </c>
      <c r="C346" s="57">
        <f t="shared" si="27"/>
        <v>20400</v>
      </c>
      <c r="D346" s="57">
        <f t="shared" si="28"/>
        <v>34585.086509153924</v>
      </c>
      <c r="E346" s="57">
        <f t="shared" si="25"/>
        <v>14185.086509153924</v>
      </c>
      <c r="F346" s="57">
        <f t="shared" si="29"/>
        <v>99.305138568997791</v>
      </c>
    </row>
    <row r="347" spans="1:6" x14ac:dyDescent="0.25">
      <c r="A347" s="1">
        <f t="shared" si="26"/>
        <v>47424</v>
      </c>
      <c r="B347" s="57">
        <v>60</v>
      </c>
      <c r="C347" s="57">
        <f t="shared" si="27"/>
        <v>20460</v>
      </c>
      <c r="D347" s="57">
        <f t="shared" si="28"/>
        <v>34744.851181776481</v>
      </c>
      <c r="E347" s="57">
        <f t="shared" si="25"/>
        <v>14284.851181776481</v>
      </c>
      <c r="F347" s="57">
        <f t="shared" si="29"/>
        <v>99.764672622557555</v>
      </c>
    </row>
    <row r="348" spans="1:6" x14ac:dyDescent="0.25">
      <c r="A348" s="1">
        <f t="shared" si="26"/>
        <v>47438</v>
      </c>
      <c r="B348" s="57">
        <v>60</v>
      </c>
      <c r="C348" s="57">
        <f t="shared" si="27"/>
        <v>20520</v>
      </c>
      <c r="D348" s="57">
        <f t="shared" si="28"/>
        <v>34905.076714031602</v>
      </c>
      <c r="E348" s="57">
        <f t="shared" si="25"/>
        <v>14385.076714031602</v>
      </c>
      <c r="F348" s="57">
        <f t="shared" si="29"/>
        <v>100.22553225512092</v>
      </c>
    </row>
    <row r="349" spans="1:6" x14ac:dyDescent="0.25">
      <c r="A349" s="1">
        <f t="shared" si="26"/>
        <v>47452</v>
      </c>
      <c r="B349" s="57">
        <v>60</v>
      </c>
      <c r="C349" s="57">
        <f t="shared" si="27"/>
        <v>20580</v>
      </c>
      <c r="D349" s="57">
        <f t="shared" si="28"/>
        <v>35065.764435322075</v>
      </c>
      <c r="E349" s="57">
        <f t="shared" si="25"/>
        <v>14485.764435322075</v>
      </c>
      <c r="F349" s="57">
        <f t="shared" si="29"/>
        <v>100.68772129047284</v>
      </c>
    </row>
    <row r="350" spans="1:6" x14ac:dyDescent="0.25">
      <c r="A350" s="1">
        <f t="shared" si="26"/>
        <v>47466</v>
      </c>
      <c r="B350" s="57">
        <v>60</v>
      </c>
      <c r="C350" s="57">
        <f t="shared" si="27"/>
        <v>20640</v>
      </c>
      <c r="D350" s="57">
        <f t="shared" si="28"/>
        <v>35226.915678885503</v>
      </c>
      <c r="E350" s="57">
        <f t="shared" si="25"/>
        <v>14586.915678885503</v>
      </c>
      <c r="F350" s="57">
        <f t="shared" si="29"/>
        <v>101.15124356342858</v>
      </c>
    </row>
    <row r="351" spans="1:6" x14ac:dyDescent="0.25">
      <c r="A351" s="1">
        <f t="shared" si="26"/>
        <v>47480</v>
      </c>
      <c r="B351" s="57">
        <v>60</v>
      </c>
      <c r="C351" s="57">
        <f t="shared" si="27"/>
        <v>20700</v>
      </c>
      <c r="D351" s="57">
        <f t="shared" si="28"/>
        <v>35388.531781805366</v>
      </c>
      <c r="E351" s="57">
        <f t="shared" si="25"/>
        <v>14688.531781805366</v>
      </c>
      <c r="F351" s="57">
        <f t="shared" si="29"/>
        <v>101.6161029198629</v>
      </c>
    </row>
    <row r="352" spans="1:6" x14ac:dyDescent="0.25">
      <c r="A352" s="1">
        <f t="shared" si="26"/>
        <v>47494</v>
      </c>
      <c r="B352" s="57">
        <v>60</v>
      </c>
      <c r="C352" s="57">
        <f t="shared" si="27"/>
        <v>20760</v>
      </c>
      <c r="D352" s="57">
        <f t="shared" si="28"/>
        <v>35550.614085022113</v>
      </c>
      <c r="E352" s="57">
        <f t="shared" si="25"/>
        <v>14790.614085022113</v>
      </c>
      <c r="F352" s="57">
        <f t="shared" si="29"/>
        <v>102.08230321674637</v>
      </c>
    </row>
    <row r="353" spans="1:6" x14ac:dyDescent="0.25">
      <c r="A353" s="1">
        <f t="shared" si="26"/>
        <v>47508</v>
      </c>
      <c r="B353" s="57">
        <v>60</v>
      </c>
      <c r="C353" s="57">
        <f t="shared" si="27"/>
        <v>20820</v>
      </c>
      <c r="D353" s="57">
        <f t="shared" si="28"/>
        <v>35713.163933344294</v>
      </c>
      <c r="E353" s="57">
        <f t="shared" si="25"/>
        <v>14893.163933344294</v>
      </c>
      <c r="F353" s="57">
        <f t="shared" si="29"/>
        <v>102.54984832218179</v>
      </c>
    </row>
    <row r="354" spans="1:6" x14ac:dyDescent="0.25">
      <c r="A354" s="1">
        <f t="shared" si="26"/>
        <v>47522</v>
      </c>
      <c r="B354" s="57">
        <v>60</v>
      </c>
      <c r="C354" s="57">
        <f t="shared" si="27"/>
        <v>20880</v>
      </c>
      <c r="D354" s="57">
        <f t="shared" si="28"/>
        <v>35876.182675459713</v>
      </c>
      <c r="E354" s="57">
        <f t="shared" si="25"/>
        <v>14996.182675459713</v>
      </c>
      <c r="F354" s="57">
        <f t="shared" si="29"/>
        <v>103.01874211541872</v>
      </c>
    </row>
    <row r="355" spans="1:6" x14ac:dyDescent="0.25">
      <c r="A355" s="1">
        <f t="shared" si="26"/>
        <v>47536</v>
      </c>
      <c r="B355" s="57">
        <v>60</v>
      </c>
      <c r="C355" s="57">
        <f t="shared" si="27"/>
        <v>20940</v>
      </c>
      <c r="D355" s="57">
        <f t="shared" si="28"/>
        <v>36039.671663946618</v>
      </c>
      <c r="E355" s="57">
        <f t="shared" si="25"/>
        <v>15099.671663946618</v>
      </c>
      <c r="F355" s="57">
        <f t="shared" si="29"/>
        <v>103.48898848690442</v>
      </c>
    </row>
    <row r="356" spans="1:6" x14ac:dyDescent="0.25">
      <c r="A356" s="1">
        <f t="shared" si="26"/>
        <v>47550</v>
      </c>
      <c r="B356" s="57">
        <v>60</v>
      </c>
      <c r="C356" s="57">
        <f t="shared" si="27"/>
        <v>21000</v>
      </c>
      <c r="D356" s="57">
        <f t="shared" si="28"/>
        <v>36203.632255284923</v>
      </c>
      <c r="E356" s="57">
        <f t="shared" si="25"/>
        <v>15203.632255284923</v>
      </c>
      <c r="F356" s="57">
        <f t="shared" si="29"/>
        <v>103.96059133830568</v>
      </c>
    </row>
    <row r="357" spans="1:6" x14ac:dyDescent="0.25">
      <c r="A357" s="1">
        <f t="shared" si="26"/>
        <v>47564</v>
      </c>
      <c r="B357" s="57">
        <v>60</v>
      </c>
      <c r="C357" s="57">
        <f t="shared" si="27"/>
        <v>21060</v>
      </c>
      <c r="D357" s="57">
        <f t="shared" si="28"/>
        <v>36368.065809867476</v>
      </c>
      <c r="E357" s="57">
        <f t="shared" si="25"/>
        <v>15308.065809867476</v>
      </c>
      <c r="F357" s="57">
        <f t="shared" si="29"/>
        <v>104.43355458255246</v>
      </c>
    </row>
    <row r="358" spans="1:6" x14ac:dyDescent="0.25">
      <c r="A358" s="1">
        <f t="shared" si="26"/>
        <v>47578</v>
      </c>
      <c r="B358" s="57">
        <v>60</v>
      </c>
      <c r="C358" s="57">
        <f t="shared" si="27"/>
        <v>21120</v>
      </c>
      <c r="D358" s="57">
        <f t="shared" si="28"/>
        <v>36532.973692011321</v>
      </c>
      <c r="E358" s="57">
        <f t="shared" si="25"/>
        <v>15412.973692011321</v>
      </c>
      <c r="F358" s="57">
        <f t="shared" si="29"/>
        <v>104.9078821438452</v>
      </c>
    </row>
    <row r="359" spans="1:6" x14ac:dyDescent="0.25">
      <c r="A359" s="1">
        <f t="shared" si="26"/>
        <v>47592</v>
      </c>
      <c r="B359" s="57">
        <v>60</v>
      </c>
      <c r="C359" s="57">
        <f t="shared" si="27"/>
        <v>21180</v>
      </c>
      <c r="D359" s="57">
        <f t="shared" si="28"/>
        <v>36698.357269969049</v>
      </c>
      <c r="E359" s="57">
        <f t="shared" si="25"/>
        <v>15518.357269969049</v>
      </c>
      <c r="F359" s="57">
        <f t="shared" si="29"/>
        <v>105.38357795772754</v>
      </c>
    </row>
    <row r="360" spans="1:6" x14ac:dyDescent="0.25">
      <c r="A360" s="1">
        <f t="shared" si="26"/>
        <v>47606</v>
      </c>
      <c r="B360" s="57">
        <v>60</v>
      </c>
      <c r="C360" s="57">
        <f t="shared" si="27"/>
        <v>21240</v>
      </c>
      <c r="D360" s="57">
        <f t="shared" si="28"/>
        <v>36864.217915940113</v>
      </c>
      <c r="E360" s="57">
        <f t="shared" si="25"/>
        <v>15624.217915940113</v>
      </c>
      <c r="F360" s="57">
        <f t="shared" si="29"/>
        <v>105.86064597106451</v>
      </c>
    </row>
    <row r="361" spans="1:6" x14ac:dyDescent="0.25">
      <c r="A361" s="1">
        <f t="shared" si="26"/>
        <v>47620</v>
      </c>
      <c r="B361" s="57">
        <v>60</v>
      </c>
      <c r="C361" s="57">
        <f t="shared" si="27"/>
        <v>21300</v>
      </c>
      <c r="D361" s="57">
        <f t="shared" si="28"/>
        <v>37030.55700608225</v>
      </c>
      <c r="E361" s="57">
        <f t="shared" si="25"/>
        <v>15730.55700608225</v>
      </c>
      <c r="F361" s="57">
        <f t="shared" si="29"/>
        <v>106.33909014213714</v>
      </c>
    </row>
    <row r="362" spans="1:6" x14ac:dyDescent="0.25">
      <c r="A362" s="1">
        <f t="shared" si="26"/>
        <v>47634</v>
      </c>
      <c r="B362" s="57">
        <v>60</v>
      </c>
      <c r="C362" s="57">
        <f t="shared" si="27"/>
        <v>21360</v>
      </c>
      <c r="D362" s="57">
        <f t="shared" si="28"/>
        <v>37197.375920522871</v>
      </c>
      <c r="E362" s="57">
        <f t="shared" si="25"/>
        <v>15837.375920522871</v>
      </c>
      <c r="F362" s="57">
        <f t="shared" si="29"/>
        <v>106.81891444062057</v>
      </c>
    </row>
    <row r="363" spans="1:6" x14ac:dyDescent="0.25">
      <c r="A363" s="1">
        <f t="shared" si="26"/>
        <v>47648</v>
      </c>
      <c r="B363" s="57">
        <v>60</v>
      </c>
      <c r="C363" s="57">
        <f t="shared" si="27"/>
        <v>21420</v>
      </c>
      <c r="D363" s="57">
        <f t="shared" si="28"/>
        <v>37364.676043370535</v>
      </c>
      <c r="E363" s="57">
        <f t="shared" si="25"/>
        <v>15944.676043370535</v>
      </c>
      <c r="F363" s="57">
        <f t="shared" si="29"/>
        <v>107.30012284766417</v>
      </c>
    </row>
    <row r="364" spans="1:6" x14ac:dyDescent="0.25">
      <c r="A364" s="1">
        <f t="shared" si="26"/>
        <v>47662</v>
      </c>
      <c r="B364" s="57">
        <v>60</v>
      </c>
      <c r="C364" s="57">
        <f t="shared" si="27"/>
        <v>21480</v>
      </c>
      <c r="D364" s="57">
        <f t="shared" si="28"/>
        <v>37532.458762726412</v>
      </c>
      <c r="E364" s="57">
        <f t="shared" si="25"/>
        <v>16052.458762726412</v>
      </c>
      <c r="F364" s="57">
        <f t="shared" si="29"/>
        <v>107.78271935587691</v>
      </c>
    </row>
    <row r="365" spans="1:6" x14ac:dyDescent="0.25">
      <c r="A365" s="1">
        <f t="shared" si="26"/>
        <v>47676</v>
      </c>
      <c r="B365" s="57">
        <v>60</v>
      </c>
      <c r="C365" s="57">
        <f t="shared" si="27"/>
        <v>21540</v>
      </c>
      <c r="D365" s="57">
        <f t="shared" si="28"/>
        <v>37700.725470695812</v>
      </c>
      <c r="E365" s="57">
        <f t="shared" si="25"/>
        <v>16160.725470695812</v>
      </c>
      <c r="F365" s="57">
        <f t="shared" si="29"/>
        <v>108.26670796940016</v>
      </c>
    </row>
    <row r="366" spans="1:6" x14ac:dyDescent="0.25">
      <c r="A366" s="1">
        <f t="shared" si="26"/>
        <v>47690</v>
      </c>
      <c r="B366" s="57">
        <v>60</v>
      </c>
      <c r="C366" s="57">
        <f t="shared" si="27"/>
        <v>21600</v>
      </c>
      <c r="D366" s="57">
        <f t="shared" si="28"/>
        <v>37869.477563399741</v>
      </c>
      <c r="E366" s="57">
        <f t="shared" si="25"/>
        <v>16269.477563399741</v>
      </c>
      <c r="F366" s="57">
        <f t="shared" si="29"/>
        <v>108.75209270392952</v>
      </c>
    </row>
    <row r="367" spans="1:6" x14ac:dyDescent="0.25">
      <c r="A367" s="1">
        <f t="shared" si="26"/>
        <v>47704</v>
      </c>
      <c r="B367" s="57">
        <v>60</v>
      </c>
      <c r="C367" s="57">
        <f t="shared" si="27"/>
        <v>21660</v>
      </c>
      <c r="D367" s="57">
        <f t="shared" si="28"/>
        <v>38038.716440986471</v>
      </c>
      <c r="E367" s="57">
        <f t="shared" si="25"/>
        <v>16378.716440986471</v>
      </c>
      <c r="F367" s="57">
        <f t="shared" si="29"/>
        <v>109.23887758672936</v>
      </c>
    </row>
    <row r="368" spans="1:6" x14ac:dyDescent="0.25">
      <c r="A368" s="1">
        <f t="shared" si="26"/>
        <v>47718</v>
      </c>
      <c r="B368" s="57">
        <v>60</v>
      </c>
      <c r="C368" s="57">
        <f t="shared" si="27"/>
        <v>21720</v>
      </c>
      <c r="D368" s="57">
        <f t="shared" si="28"/>
        <v>38208.443507643162</v>
      </c>
      <c r="E368" s="57">
        <f t="shared" si="25"/>
        <v>16488.443507643162</v>
      </c>
      <c r="F368" s="57">
        <f t="shared" si="29"/>
        <v>109.72706665669102</v>
      </c>
    </row>
    <row r="369" spans="1:6" x14ac:dyDescent="0.25">
      <c r="A369" s="1">
        <f t="shared" si="26"/>
        <v>47732</v>
      </c>
      <c r="B369" s="57">
        <v>60</v>
      </c>
      <c r="C369" s="57">
        <f t="shared" si="27"/>
        <v>21780</v>
      </c>
      <c r="D369" s="57">
        <f t="shared" si="28"/>
        <v>38378.660171607517</v>
      </c>
      <c r="E369" s="57">
        <f t="shared" si="25"/>
        <v>16598.660171607517</v>
      </c>
      <c r="F369" s="57">
        <f t="shared" si="29"/>
        <v>110.21666396435467</v>
      </c>
    </row>
    <row r="370" spans="1:6" x14ac:dyDescent="0.25">
      <c r="A370" s="1">
        <f t="shared" si="26"/>
        <v>47746</v>
      </c>
      <c r="B370" s="57">
        <v>60</v>
      </c>
      <c r="C370" s="57">
        <f t="shared" si="27"/>
        <v>21840</v>
      </c>
      <c r="D370" s="57">
        <f t="shared" si="28"/>
        <v>38549.367845179462</v>
      </c>
      <c r="E370" s="57">
        <f t="shared" si="25"/>
        <v>16709.367845179462</v>
      </c>
      <c r="F370" s="57">
        <f t="shared" si="29"/>
        <v>110.70767357194563</v>
      </c>
    </row>
    <row r="371" spans="1:6" x14ac:dyDescent="0.25">
      <c r="A371" s="1">
        <f t="shared" si="26"/>
        <v>47760</v>
      </c>
      <c r="B371" s="57">
        <v>60</v>
      </c>
      <c r="C371" s="57">
        <f t="shared" si="27"/>
        <v>21900</v>
      </c>
      <c r="D371" s="57">
        <f t="shared" si="28"/>
        <v>38720.567944732866</v>
      </c>
      <c r="E371" s="57">
        <f t="shared" si="25"/>
        <v>16820.567944732866</v>
      </c>
      <c r="F371" s="57">
        <f t="shared" si="29"/>
        <v>111.20009955340356</v>
      </c>
    </row>
    <row r="372" spans="1:6" x14ac:dyDescent="0.25">
      <c r="A372" s="1">
        <f t="shared" si="26"/>
        <v>47774</v>
      </c>
      <c r="B372" s="57">
        <v>60</v>
      </c>
      <c r="C372" s="57">
        <f t="shared" si="27"/>
        <v>21960</v>
      </c>
      <c r="D372" s="57">
        <f t="shared" si="28"/>
        <v>38892.261890727284</v>
      </c>
      <c r="E372" s="57">
        <f t="shared" si="25"/>
        <v>16932.261890727284</v>
      </c>
      <c r="F372" s="57">
        <f t="shared" si="29"/>
        <v>111.69394599441875</v>
      </c>
    </row>
    <row r="373" spans="1:6" x14ac:dyDescent="0.25">
      <c r="A373" s="1">
        <f t="shared" si="26"/>
        <v>47788</v>
      </c>
      <c r="B373" s="57">
        <v>60</v>
      </c>
      <c r="C373" s="57">
        <f t="shared" si="27"/>
        <v>22020</v>
      </c>
      <c r="D373" s="57">
        <f t="shared" si="28"/>
        <v>39064.451107719768</v>
      </c>
      <c r="E373" s="57">
        <f t="shared" si="25"/>
        <v>17044.451107719768</v>
      </c>
      <c r="F373" s="57">
        <f t="shared" si="29"/>
        <v>112.18921699248313</v>
      </c>
    </row>
    <row r="374" spans="1:6" x14ac:dyDescent="0.25">
      <c r="A374" s="1">
        <f t="shared" si="26"/>
        <v>47802</v>
      </c>
      <c r="B374" s="57">
        <v>60</v>
      </c>
      <c r="C374" s="57">
        <f t="shared" si="27"/>
        <v>22080</v>
      </c>
      <c r="D374" s="57">
        <f t="shared" si="28"/>
        <v>39237.137024376651</v>
      </c>
      <c r="E374" s="57">
        <f t="shared" si="25"/>
        <v>17157.137024376651</v>
      </c>
      <c r="F374" s="57">
        <f t="shared" si="29"/>
        <v>112.68591665688291</v>
      </c>
    </row>
    <row r="375" spans="1:6" x14ac:dyDescent="0.25">
      <c r="A375" s="1">
        <f t="shared" si="26"/>
        <v>47816</v>
      </c>
      <c r="B375" s="57">
        <v>60</v>
      </c>
      <c r="C375" s="57">
        <f t="shared" si="27"/>
        <v>22140</v>
      </c>
      <c r="D375" s="57">
        <f t="shared" si="28"/>
        <v>39410.321073485429</v>
      </c>
      <c r="E375" s="57">
        <f t="shared" si="25"/>
        <v>17270.321073485429</v>
      </c>
      <c r="F375" s="57">
        <f t="shared" si="29"/>
        <v>113.18404910877871</v>
      </c>
    </row>
    <row r="376" spans="1:6" x14ac:dyDescent="0.25">
      <c r="A376" s="1">
        <f t="shared" si="26"/>
        <v>47830</v>
      </c>
      <c r="B376" s="57">
        <v>60</v>
      </c>
      <c r="C376" s="57">
        <f t="shared" si="27"/>
        <v>22200</v>
      </c>
      <c r="D376" s="57">
        <f t="shared" si="28"/>
        <v>39584.004691966635</v>
      </c>
      <c r="E376" s="57">
        <f t="shared" si="25"/>
        <v>17384.004691966635</v>
      </c>
      <c r="F376" s="57">
        <f t="shared" si="29"/>
        <v>113.68361848120549</v>
      </c>
    </row>
    <row r="377" spans="1:6" x14ac:dyDescent="0.25">
      <c r="A377" s="1">
        <f t="shared" si="26"/>
        <v>47844</v>
      </c>
      <c r="B377" s="57">
        <v>60</v>
      </c>
      <c r="C377" s="57">
        <f t="shared" si="27"/>
        <v>22260</v>
      </c>
      <c r="D377" s="57">
        <f t="shared" si="28"/>
        <v>39758.189320885765</v>
      </c>
      <c r="E377" s="57">
        <f t="shared" si="25"/>
        <v>17498.189320885765</v>
      </c>
      <c r="F377" s="57">
        <f t="shared" si="29"/>
        <v>114.18462891913077</v>
      </c>
    </row>
    <row r="378" spans="1:6" x14ac:dyDescent="0.25">
      <c r="A378" s="1">
        <f t="shared" si="26"/>
        <v>47858</v>
      </c>
      <c r="B378" s="57">
        <v>60</v>
      </c>
      <c r="C378" s="57">
        <f t="shared" si="27"/>
        <v>22320</v>
      </c>
      <c r="D378" s="57">
        <f t="shared" si="28"/>
        <v>39932.876405465242</v>
      </c>
      <c r="E378" s="57">
        <f t="shared" si="25"/>
        <v>17612.876405465242</v>
      </c>
      <c r="F378" s="57">
        <f t="shared" si="29"/>
        <v>114.6870845794765</v>
      </c>
    </row>
    <row r="379" spans="1:6" x14ac:dyDescent="0.25">
      <c r="A379" s="1">
        <f t="shared" si="26"/>
        <v>47872</v>
      </c>
      <c r="B379" s="57">
        <v>60</v>
      </c>
      <c r="C379" s="57">
        <f t="shared" si="27"/>
        <v>22380</v>
      </c>
      <c r="D379" s="57">
        <f t="shared" si="28"/>
        <v>40108.06739509639</v>
      </c>
      <c r="E379" s="57">
        <f t="shared" si="25"/>
        <v>17728.06739509639</v>
      </c>
      <c r="F379" s="57">
        <f t="shared" si="29"/>
        <v>115.19098963114811</v>
      </c>
    </row>
    <row r="380" spans="1:6" x14ac:dyDescent="0.25">
      <c r="A380" s="1">
        <f t="shared" si="26"/>
        <v>47886</v>
      </c>
      <c r="B380" s="57">
        <v>60</v>
      </c>
      <c r="C380" s="57">
        <f t="shared" si="27"/>
        <v>22440</v>
      </c>
      <c r="D380" s="57">
        <f t="shared" si="28"/>
        <v>40283.763743351476</v>
      </c>
      <c r="E380" s="57">
        <f t="shared" si="25"/>
        <v>17843.763743351476</v>
      </c>
      <c r="F380" s="57">
        <f t="shared" si="29"/>
        <v>115.69634825508547</v>
      </c>
    </row>
    <row r="381" spans="1:6" x14ac:dyDescent="0.25">
      <c r="A381" s="1">
        <f t="shared" si="26"/>
        <v>47900</v>
      </c>
      <c r="B381" s="57">
        <v>60</v>
      </c>
      <c r="C381" s="57">
        <f t="shared" si="27"/>
        <v>22500</v>
      </c>
      <c r="D381" s="57">
        <f t="shared" si="28"/>
        <v>40459.96690799576</v>
      </c>
      <c r="E381" s="57">
        <f t="shared" si="25"/>
        <v>17959.96690799576</v>
      </c>
      <c r="F381" s="57">
        <f t="shared" si="29"/>
        <v>116.2031646442847</v>
      </c>
    </row>
    <row r="382" spans="1:6" x14ac:dyDescent="0.25">
      <c r="A382" s="1">
        <f t="shared" si="26"/>
        <v>47914</v>
      </c>
      <c r="B382" s="57">
        <v>60</v>
      </c>
      <c r="C382" s="57">
        <f t="shared" si="27"/>
        <v>22560</v>
      </c>
      <c r="D382" s="57">
        <f t="shared" si="28"/>
        <v>40636.678350999595</v>
      </c>
      <c r="E382" s="57">
        <f t="shared" si="25"/>
        <v>18076.678350999595</v>
      </c>
      <c r="F382" s="57">
        <f t="shared" si="29"/>
        <v>116.71144300383457</v>
      </c>
    </row>
    <row r="383" spans="1:6" x14ac:dyDescent="0.25">
      <c r="A383" s="1">
        <f t="shared" si="26"/>
        <v>47928</v>
      </c>
      <c r="B383" s="57">
        <v>60</v>
      </c>
      <c r="C383" s="57">
        <f t="shared" si="27"/>
        <v>22620</v>
      </c>
      <c r="D383" s="57">
        <f t="shared" si="28"/>
        <v>40813.899538550555</v>
      </c>
      <c r="E383" s="57">
        <f t="shared" si="25"/>
        <v>18193.899538550555</v>
      </c>
      <c r="F383" s="57">
        <f t="shared" si="29"/>
        <v>117.22118755096017</v>
      </c>
    </row>
    <row r="384" spans="1:6" x14ac:dyDescent="0.25">
      <c r="A384" s="1">
        <f t="shared" si="26"/>
        <v>47942</v>
      </c>
      <c r="B384" s="57">
        <v>60</v>
      </c>
      <c r="C384" s="57">
        <f t="shared" si="27"/>
        <v>22680</v>
      </c>
      <c r="D384" s="57">
        <f t="shared" si="28"/>
        <v>40991.631941065607</v>
      </c>
      <c r="E384" s="57">
        <f t="shared" si="25"/>
        <v>18311.631941065607</v>
      </c>
      <c r="F384" s="57">
        <f t="shared" si="29"/>
        <v>117.73240251505194</v>
      </c>
    </row>
    <row r="385" spans="1:6" x14ac:dyDescent="0.25">
      <c r="A385" s="1">
        <f t="shared" si="26"/>
        <v>47956</v>
      </c>
      <c r="B385" s="57">
        <v>60</v>
      </c>
      <c r="C385" s="57">
        <f t="shared" si="27"/>
        <v>22740</v>
      </c>
      <c r="D385" s="57">
        <f t="shared" si="28"/>
        <v>41169.877033203295</v>
      </c>
      <c r="E385" s="57">
        <f t="shared" si="25"/>
        <v>18429.877033203295</v>
      </c>
      <c r="F385" s="57">
        <f t="shared" si="29"/>
        <v>118.24509213768761</v>
      </c>
    </row>
    <row r="386" spans="1:6" x14ac:dyDescent="0.25">
      <c r="A386" s="1">
        <f t="shared" si="26"/>
        <v>47970</v>
      </c>
      <c r="B386" s="57">
        <v>60</v>
      </c>
      <c r="C386" s="57">
        <f t="shared" si="27"/>
        <v>22800</v>
      </c>
      <c r="D386" s="57">
        <f t="shared" si="28"/>
        <v>41348.636293875999</v>
      </c>
      <c r="E386" s="57">
        <f t="shared" si="25"/>
        <v>18548.636293875999</v>
      </c>
      <c r="F386" s="57">
        <f t="shared" si="29"/>
        <v>118.75926067270484</v>
      </c>
    </row>
    <row r="387" spans="1:6" x14ac:dyDescent="0.25">
      <c r="A387" s="1">
        <f t="shared" si="26"/>
        <v>47984</v>
      </c>
      <c r="B387" s="57">
        <v>60</v>
      </c>
      <c r="C387" s="57">
        <f t="shared" si="27"/>
        <v>22860</v>
      </c>
      <c r="D387" s="57">
        <f t="shared" si="28"/>
        <v>41527.911206262179</v>
      </c>
      <c r="E387" s="57">
        <f t="shared" si="25"/>
        <v>18667.911206262179</v>
      </c>
      <c r="F387" s="57">
        <f t="shared" si="29"/>
        <v>119.27491238617949</v>
      </c>
    </row>
    <row r="388" spans="1:6" x14ac:dyDescent="0.25">
      <c r="A388" s="1">
        <f t="shared" si="26"/>
        <v>47998</v>
      </c>
      <c r="B388" s="57">
        <v>60</v>
      </c>
      <c r="C388" s="57">
        <f t="shared" si="27"/>
        <v>22920</v>
      </c>
      <c r="D388" s="57">
        <f t="shared" si="28"/>
        <v>41707.703257818706</v>
      </c>
      <c r="E388" s="57">
        <f t="shared" si="25"/>
        <v>18787.703257818706</v>
      </c>
      <c r="F388" s="57">
        <f t="shared" si="29"/>
        <v>119.79205155652744</v>
      </c>
    </row>
    <row r="389" spans="1:6" x14ac:dyDescent="0.25">
      <c r="A389" s="1">
        <f t="shared" si="26"/>
        <v>48012</v>
      </c>
      <c r="B389" s="57">
        <v>60</v>
      </c>
      <c r="C389" s="57">
        <f t="shared" si="27"/>
        <v>22980</v>
      </c>
      <c r="D389" s="57">
        <f t="shared" si="28"/>
        <v>41888.013940293182</v>
      </c>
      <c r="E389" s="57">
        <f t="shared" si="25"/>
        <v>18908.013940293182</v>
      </c>
      <c r="F389" s="57">
        <f t="shared" si="29"/>
        <v>120.31068247447547</v>
      </c>
    </row>
    <row r="390" spans="1:6" x14ac:dyDescent="0.25">
      <c r="A390" s="1">
        <f t="shared" si="26"/>
        <v>48026</v>
      </c>
      <c r="B390" s="57">
        <v>60</v>
      </c>
      <c r="C390" s="57">
        <f t="shared" si="27"/>
        <v>23040</v>
      </c>
      <c r="D390" s="57">
        <f t="shared" si="28"/>
        <v>42068.844749736338</v>
      </c>
      <c r="E390" s="57">
        <f t="shared" ref="E390:E453" si="30">D390-C390</f>
        <v>19028.844749736338</v>
      </c>
      <c r="F390" s="57">
        <f t="shared" si="29"/>
        <v>120.83080944315589</v>
      </c>
    </row>
    <row r="391" spans="1:6" x14ac:dyDescent="0.25">
      <c r="A391" s="1">
        <f t="shared" ref="A391:A454" si="31">A390+14</f>
        <v>48040</v>
      </c>
      <c r="B391" s="57">
        <v>60</v>
      </c>
      <c r="C391" s="57">
        <f t="shared" ref="C391:C454" si="32">C390+B391</f>
        <v>23100</v>
      </c>
      <c r="D391" s="57">
        <f t="shared" ref="D391:D454" si="33">D390*(1+$D$2) + B391</f>
        <v>42250.197186514422</v>
      </c>
      <c r="E391" s="57">
        <f t="shared" si="30"/>
        <v>19150.197186514422</v>
      </c>
      <c r="F391" s="57">
        <f t="shared" ref="F391:F454" si="34">E391-E390</f>
        <v>121.35243677808467</v>
      </c>
    </row>
    <row r="392" spans="1:6" x14ac:dyDescent="0.25">
      <c r="A392" s="1">
        <f t="shared" si="31"/>
        <v>48054</v>
      </c>
      <c r="B392" s="57">
        <v>60</v>
      </c>
      <c r="C392" s="57">
        <f t="shared" si="32"/>
        <v>23160</v>
      </c>
      <c r="D392" s="57">
        <f t="shared" si="33"/>
        <v>42432.072755321678</v>
      </c>
      <c r="E392" s="57">
        <f t="shared" si="30"/>
        <v>19272.072755321678</v>
      </c>
      <c r="F392" s="57">
        <f t="shared" si="34"/>
        <v>121.87556880725606</v>
      </c>
    </row>
    <row r="393" spans="1:6" x14ac:dyDescent="0.25">
      <c r="A393" s="1">
        <f t="shared" si="31"/>
        <v>48068</v>
      </c>
      <c r="B393" s="57">
        <v>60</v>
      </c>
      <c r="C393" s="57">
        <f t="shared" si="32"/>
        <v>23220</v>
      </c>
      <c r="D393" s="57">
        <f t="shared" si="33"/>
        <v>42614.472965192799</v>
      </c>
      <c r="E393" s="57">
        <f t="shared" si="30"/>
        <v>19394.472965192799</v>
      </c>
      <c r="F393" s="57">
        <f t="shared" si="34"/>
        <v>122.40020987112075</v>
      </c>
    </row>
    <row r="394" spans="1:6" x14ac:dyDescent="0.25">
      <c r="A394" s="1">
        <f t="shared" si="31"/>
        <v>48082</v>
      </c>
      <c r="B394" s="57">
        <v>60</v>
      </c>
      <c r="C394" s="57">
        <f t="shared" si="32"/>
        <v>23280</v>
      </c>
      <c r="D394" s="57">
        <f t="shared" si="33"/>
        <v>42797.399329515472</v>
      </c>
      <c r="E394" s="57">
        <f t="shared" si="30"/>
        <v>19517.399329515472</v>
      </c>
      <c r="F394" s="57">
        <f t="shared" si="34"/>
        <v>122.92636432267318</v>
      </c>
    </row>
    <row r="395" spans="1:6" x14ac:dyDescent="0.25">
      <c r="A395" s="1">
        <f t="shared" si="31"/>
        <v>48096</v>
      </c>
      <c r="B395" s="57">
        <v>60</v>
      </c>
      <c r="C395" s="57">
        <f t="shared" si="32"/>
        <v>23340</v>
      </c>
      <c r="D395" s="57">
        <f t="shared" si="33"/>
        <v>42980.853366042924</v>
      </c>
      <c r="E395" s="57">
        <f t="shared" si="30"/>
        <v>19640.853366042924</v>
      </c>
      <c r="F395" s="57">
        <f t="shared" si="34"/>
        <v>123.45403652745154</v>
      </c>
    </row>
    <row r="396" spans="1:6" x14ac:dyDescent="0.25">
      <c r="A396" s="1">
        <f t="shared" si="31"/>
        <v>48110</v>
      </c>
      <c r="B396" s="57">
        <v>60</v>
      </c>
      <c r="C396" s="57">
        <f t="shared" si="32"/>
        <v>23400</v>
      </c>
      <c r="D396" s="57">
        <f t="shared" si="33"/>
        <v>43164.836596906505</v>
      </c>
      <c r="E396" s="57">
        <f t="shared" si="30"/>
        <v>19764.836596906505</v>
      </c>
      <c r="F396" s="57">
        <f t="shared" si="34"/>
        <v>123.98323086358141</v>
      </c>
    </row>
    <row r="397" spans="1:6" x14ac:dyDescent="0.25">
      <c r="A397" s="1">
        <f t="shared" si="31"/>
        <v>48124</v>
      </c>
      <c r="B397" s="57">
        <v>60</v>
      </c>
      <c r="C397" s="57">
        <f t="shared" si="32"/>
        <v>23460</v>
      </c>
      <c r="D397" s="57">
        <f t="shared" si="33"/>
        <v>43349.350548628354</v>
      </c>
      <c r="E397" s="57">
        <f t="shared" si="30"/>
        <v>19889.350548628354</v>
      </c>
      <c r="F397" s="57">
        <f t="shared" si="34"/>
        <v>124.51395172184857</v>
      </c>
    </row>
    <row r="398" spans="1:6" x14ac:dyDescent="0.25">
      <c r="A398" s="1">
        <f t="shared" si="31"/>
        <v>48138</v>
      </c>
      <c r="B398" s="57">
        <v>60</v>
      </c>
      <c r="C398" s="57">
        <f t="shared" si="32"/>
        <v>23520</v>
      </c>
      <c r="D398" s="57">
        <f t="shared" si="33"/>
        <v>43534.396752134009</v>
      </c>
      <c r="E398" s="57">
        <f t="shared" si="30"/>
        <v>20014.396752134009</v>
      </c>
      <c r="F398" s="57">
        <f t="shared" si="34"/>
        <v>125.04620350565528</v>
      </c>
    </row>
    <row r="399" spans="1:6" x14ac:dyDescent="0.25">
      <c r="A399" s="1">
        <f t="shared" si="31"/>
        <v>48152</v>
      </c>
      <c r="B399" s="57">
        <v>60</v>
      </c>
      <c r="C399" s="57">
        <f t="shared" si="32"/>
        <v>23580</v>
      </c>
      <c r="D399" s="57">
        <f t="shared" si="33"/>
        <v>43719.976742765168</v>
      </c>
      <c r="E399" s="57">
        <f t="shared" si="30"/>
        <v>20139.976742765168</v>
      </c>
      <c r="F399" s="57">
        <f t="shared" si="34"/>
        <v>125.57999063115858</v>
      </c>
    </row>
    <row r="400" spans="1:6" x14ac:dyDescent="0.25">
      <c r="A400" s="1">
        <f t="shared" si="31"/>
        <v>48166</v>
      </c>
      <c r="B400" s="57">
        <v>60</v>
      </c>
      <c r="C400" s="57">
        <f t="shared" si="32"/>
        <v>23640</v>
      </c>
      <c r="D400" s="57">
        <f t="shared" si="33"/>
        <v>43906.092060292372</v>
      </c>
      <c r="E400" s="57">
        <f t="shared" si="30"/>
        <v>20266.092060292372</v>
      </c>
      <c r="F400" s="57">
        <f t="shared" si="34"/>
        <v>126.11531752720475</v>
      </c>
    </row>
    <row r="401" spans="1:6" x14ac:dyDescent="0.25">
      <c r="A401" s="1">
        <f t="shared" si="31"/>
        <v>48180</v>
      </c>
      <c r="B401" s="57">
        <v>60</v>
      </c>
      <c r="C401" s="57">
        <f t="shared" si="32"/>
        <v>23700</v>
      </c>
      <c r="D401" s="57">
        <f t="shared" si="33"/>
        <v>44092.744248927833</v>
      </c>
      <c r="E401" s="57">
        <f t="shared" si="30"/>
        <v>20392.744248927833</v>
      </c>
      <c r="F401" s="57">
        <f t="shared" si="34"/>
        <v>126.65218863546033</v>
      </c>
    </row>
    <row r="402" spans="1:6" x14ac:dyDescent="0.25">
      <c r="A402" s="1">
        <f t="shared" si="31"/>
        <v>48194</v>
      </c>
      <c r="B402" s="57">
        <v>60</v>
      </c>
      <c r="C402" s="57">
        <f t="shared" si="32"/>
        <v>23760</v>
      </c>
      <c r="D402" s="57">
        <f t="shared" si="33"/>
        <v>44279.934857338201</v>
      </c>
      <c r="E402" s="57">
        <f t="shared" si="30"/>
        <v>20519.934857338201</v>
      </c>
      <c r="F402" s="57">
        <f t="shared" si="34"/>
        <v>127.19060841036844</v>
      </c>
    </row>
    <row r="403" spans="1:6" x14ac:dyDescent="0.25">
      <c r="A403" s="1">
        <f t="shared" si="31"/>
        <v>48208</v>
      </c>
      <c r="B403" s="57">
        <v>60</v>
      </c>
      <c r="C403" s="57">
        <f t="shared" si="32"/>
        <v>23820</v>
      </c>
      <c r="D403" s="57">
        <f t="shared" si="33"/>
        <v>44467.665438657445</v>
      </c>
      <c r="E403" s="57">
        <f t="shared" si="30"/>
        <v>20647.665438657445</v>
      </c>
      <c r="F403" s="57">
        <f t="shared" si="34"/>
        <v>127.73058131924336</v>
      </c>
    </row>
    <row r="404" spans="1:6" x14ac:dyDescent="0.25">
      <c r="A404" s="1">
        <f t="shared" si="31"/>
        <v>48222</v>
      </c>
      <c r="B404" s="57">
        <v>60</v>
      </c>
      <c r="C404" s="57">
        <f t="shared" si="32"/>
        <v>23880</v>
      </c>
      <c r="D404" s="57">
        <f t="shared" si="33"/>
        <v>44655.937550499722</v>
      </c>
      <c r="E404" s="57">
        <f t="shared" si="30"/>
        <v>20775.937550499722</v>
      </c>
      <c r="F404" s="57">
        <f t="shared" si="34"/>
        <v>128.27211184227781</v>
      </c>
    </row>
    <row r="405" spans="1:6" x14ac:dyDescent="0.25">
      <c r="A405" s="1">
        <f t="shared" si="31"/>
        <v>48236</v>
      </c>
      <c r="B405" s="57">
        <v>60</v>
      </c>
      <c r="C405" s="57">
        <f t="shared" si="32"/>
        <v>23940</v>
      </c>
      <c r="D405" s="57">
        <f t="shared" si="33"/>
        <v>44844.752754972316</v>
      </c>
      <c r="E405" s="57">
        <f t="shared" si="30"/>
        <v>20904.752754972316</v>
      </c>
      <c r="F405" s="57">
        <f t="shared" si="34"/>
        <v>128.8152044725939</v>
      </c>
    </row>
    <row r="406" spans="1:6" x14ac:dyDescent="0.25">
      <c r="A406" s="1">
        <f t="shared" si="31"/>
        <v>48250</v>
      </c>
      <c r="B406" s="57">
        <v>60</v>
      </c>
      <c r="C406" s="57">
        <f t="shared" si="32"/>
        <v>24000</v>
      </c>
      <c r="D406" s="57">
        <f t="shared" si="33"/>
        <v>45034.112618688581</v>
      </c>
      <c r="E406" s="57">
        <f t="shared" si="30"/>
        <v>21034.112618688581</v>
      </c>
      <c r="F406" s="57">
        <f t="shared" si="34"/>
        <v>129.35986371626495</v>
      </c>
    </row>
    <row r="407" spans="1:6" x14ac:dyDescent="0.25">
      <c r="A407" s="1">
        <f t="shared" si="31"/>
        <v>48264</v>
      </c>
      <c r="B407" s="57">
        <v>60</v>
      </c>
      <c r="C407" s="57">
        <f t="shared" si="32"/>
        <v>24060</v>
      </c>
      <c r="D407" s="57">
        <f t="shared" si="33"/>
        <v>45224.018712780955</v>
      </c>
      <c r="E407" s="57">
        <f t="shared" si="30"/>
        <v>21164.018712780955</v>
      </c>
      <c r="F407" s="57">
        <f t="shared" si="34"/>
        <v>129.90609409237368</v>
      </c>
    </row>
    <row r="408" spans="1:6" x14ac:dyDescent="0.25">
      <c r="A408" s="1">
        <f t="shared" si="31"/>
        <v>48278</v>
      </c>
      <c r="B408" s="57">
        <v>60</v>
      </c>
      <c r="C408" s="57">
        <f t="shared" si="32"/>
        <v>24120</v>
      </c>
      <c r="D408" s="57">
        <f t="shared" si="33"/>
        <v>45414.472612913974</v>
      </c>
      <c r="E408" s="57">
        <f t="shared" si="30"/>
        <v>21294.472612913974</v>
      </c>
      <c r="F408" s="57">
        <f t="shared" si="34"/>
        <v>130.45390013301949</v>
      </c>
    </row>
    <row r="409" spans="1:6" x14ac:dyDescent="0.25">
      <c r="A409" s="1">
        <f t="shared" si="31"/>
        <v>48292</v>
      </c>
      <c r="B409" s="57">
        <v>60</v>
      </c>
      <c r="C409" s="57">
        <f t="shared" si="32"/>
        <v>24180</v>
      </c>
      <c r="D409" s="57">
        <f t="shared" si="33"/>
        <v>45605.47589929738</v>
      </c>
      <c r="E409" s="57">
        <f t="shared" si="30"/>
        <v>21425.47589929738</v>
      </c>
      <c r="F409" s="57">
        <f t="shared" si="34"/>
        <v>131.00328638340579</v>
      </c>
    </row>
    <row r="410" spans="1:6" x14ac:dyDescent="0.25">
      <c r="A410" s="1">
        <f t="shared" si="31"/>
        <v>48306</v>
      </c>
      <c r="B410" s="57">
        <v>60</v>
      </c>
      <c r="C410" s="57">
        <f t="shared" si="32"/>
        <v>24240</v>
      </c>
      <c r="D410" s="57">
        <f t="shared" si="33"/>
        <v>45797.030156699198</v>
      </c>
      <c r="E410" s="57">
        <f t="shared" si="30"/>
        <v>21557.030156699198</v>
      </c>
      <c r="F410" s="57">
        <f t="shared" si="34"/>
        <v>131.55425740181818</v>
      </c>
    </row>
    <row r="411" spans="1:6" x14ac:dyDescent="0.25">
      <c r="A411" s="1">
        <f t="shared" si="31"/>
        <v>48320</v>
      </c>
      <c r="B411" s="57">
        <v>60</v>
      </c>
      <c r="C411" s="57">
        <f t="shared" si="32"/>
        <v>24300</v>
      </c>
      <c r="D411" s="57">
        <f t="shared" si="33"/>
        <v>45989.13697445891</v>
      </c>
      <c r="E411" s="57">
        <f t="shared" si="30"/>
        <v>21689.13697445891</v>
      </c>
      <c r="F411" s="57">
        <f t="shared" si="34"/>
        <v>132.1068177597117</v>
      </c>
    </row>
    <row r="412" spans="1:6" x14ac:dyDescent="0.25">
      <c r="A412" s="1">
        <f t="shared" si="31"/>
        <v>48334</v>
      </c>
      <c r="B412" s="57">
        <v>60</v>
      </c>
      <c r="C412" s="57">
        <f t="shared" si="32"/>
        <v>24360</v>
      </c>
      <c r="D412" s="57">
        <f t="shared" si="33"/>
        <v>46181.797946500621</v>
      </c>
      <c r="E412" s="57">
        <f t="shared" si="30"/>
        <v>21821.797946500621</v>
      </c>
      <c r="F412" s="57">
        <f t="shared" si="34"/>
        <v>132.66097204171092</v>
      </c>
    </row>
    <row r="413" spans="1:6" x14ac:dyDescent="0.25">
      <c r="A413" s="1">
        <f t="shared" si="31"/>
        <v>48348</v>
      </c>
      <c r="B413" s="57">
        <v>60</v>
      </c>
      <c r="C413" s="57">
        <f t="shared" si="32"/>
        <v>24420</v>
      </c>
      <c r="D413" s="57">
        <f t="shared" si="33"/>
        <v>46375.014671346296</v>
      </c>
      <c r="E413" s="57">
        <f t="shared" si="30"/>
        <v>21955.014671346296</v>
      </c>
      <c r="F413" s="57">
        <f t="shared" si="34"/>
        <v>133.21672484567534</v>
      </c>
    </row>
    <row r="414" spans="1:6" x14ac:dyDescent="0.25">
      <c r="A414" s="1">
        <f t="shared" si="31"/>
        <v>48362</v>
      </c>
      <c r="B414" s="57">
        <v>60</v>
      </c>
      <c r="C414" s="57">
        <f t="shared" si="32"/>
        <v>24480</v>
      </c>
      <c r="D414" s="57">
        <f t="shared" si="33"/>
        <v>46568.788752129025</v>
      </c>
      <c r="E414" s="57">
        <f t="shared" si="30"/>
        <v>22088.788752129025</v>
      </c>
      <c r="F414" s="57">
        <f t="shared" si="34"/>
        <v>133.77408078272856</v>
      </c>
    </row>
    <row r="415" spans="1:6" x14ac:dyDescent="0.25">
      <c r="A415" s="1">
        <f t="shared" si="31"/>
        <v>48376</v>
      </c>
      <c r="B415" s="57">
        <v>60</v>
      </c>
      <c r="C415" s="57">
        <f t="shared" si="32"/>
        <v>24540</v>
      </c>
      <c r="D415" s="57">
        <f t="shared" si="33"/>
        <v>46763.12179660632</v>
      </c>
      <c r="E415" s="57">
        <f t="shared" si="30"/>
        <v>22223.12179660632</v>
      </c>
      <c r="F415" s="57">
        <f t="shared" si="34"/>
        <v>134.33304447729461</v>
      </c>
    </row>
    <row r="416" spans="1:6" x14ac:dyDescent="0.25">
      <c r="A416" s="1">
        <f t="shared" si="31"/>
        <v>48390</v>
      </c>
      <c r="B416" s="57">
        <v>60</v>
      </c>
      <c r="C416" s="57">
        <f t="shared" si="32"/>
        <v>24600</v>
      </c>
      <c r="D416" s="57">
        <f t="shared" si="33"/>
        <v>46958.015417173454</v>
      </c>
      <c r="E416" s="57">
        <f t="shared" si="30"/>
        <v>22358.015417173454</v>
      </c>
      <c r="F416" s="57">
        <f t="shared" si="34"/>
        <v>134.89362056713435</v>
      </c>
    </row>
    <row r="417" spans="1:6" x14ac:dyDescent="0.25">
      <c r="A417" s="1">
        <f t="shared" si="31"/>
        <v>48404</v>
      </c>
      <c r="B417" s="57">
        <v>60</v>
      </c>
      <c r="C417" s="57">
        <f t="shared" si="32"/>
        <v>24660</v>
      </c>
      <c r="D417" s="57">
        <f t="shared" si="33"/>
        <v>47153.471230876836</v>
      </c>
      <c r="E417" s="57">
        <f t="shared" si="30"/>
        <v>22493.471230876836</v>
      </c>
      <c r="F417" s="57">
        <f t="shared" si="34"/>
        <v>135.45581370338186</v>
      </c>
    </row>
    <row r="418" spans="1:6" x14ac:dyDescent="0.25">
      <c r="A418" s="1">
        <f t="shared" si="31"/>
        <v>48418</v>
      </c>
      <c r="B418" s="57">
        <v>60</v>
      </c>
      <c r="C418" s="57">
        <f t="shared" si="32"/>
        <v>24720</v>
      </c>
      <c r="D418" s="57">
        <f t="shared" si="33"/>
        <v>47349.490859427438</v>
      </c>
      <c r="E418" s="57">
        <f t="shared" si="30"/>
        <v>22629.490859427438</v>
      </c>
      <c r="F418" s="57">
        <f t="shared" si="34"/>
        <v>136.01962855060265</v>
      </c>
    </row>
    <row r="419" spans="1:6" x14ac:dyDescent="0.25">
      <c r="A419" s="1">
        <f t="shared" si="31"/>
        <v>48432</v>
      </c>
      <c r="B419" s="57">
        <v>60</v>
      </c>
      <c r="C419" s="57">
        <f t="shared" si="32"/>
        <v>24780</v>
      </c>
      <c r="D419" s="57">
        <f t="shared" si="33"/>
        <v>47546.075929214247</v>
      </c>
      <c r="E419" s="57">
        <f t="shared" si="30"/>
        <v>22766.075929214247</v>
      </c>
      <c r="F419" s="57">
        <f t="shared" si="34"/>
        <v>136.58506978680816</v>
      </c>
    </row>
    <row r="420" spans="1:6" x14ac:dyDescent="0.25">
      <c r="A420" s="1">
        <f t="shared" si="31"/>
        <v>48446</v>
      </c>
      <c r="B420" s="57">
        <v>60</v>
      </c>
      <c r="C420" s="57">
        <f t="shared" si="32"/>
        <v>24840</v>
      </c>
      <c r="D420" s="57">
        <f t="shared" si="33"/>
        <v>47743.228071317746</v>
      </c>
      <c r="E420" s="57">
        <f t="shared" si="30"/>
        <v>22903.228071317746</v>
      </c>
      <c r="F420" s="57">
        <f t="shared" si="34"/>
        <v>137.1521421034995</v>
      </c>
    </row>
    <row r="421" spans="1:6" x14ac:dyDescent="0.25">
      <c r="A421" s="1">
        <f t="shared" si="31"/>
        <v>48460</v>
      </c>
      <c r="B421" s="57">
        <v>60</v>
      </c>
      <c r="C421" s="57">
        <f t="shared" si="32"/>
        <v>24900</v>
      </c>
      <c r="D421" s="57">
        <f t="shared" si="33"/>
        <v>47940.948921523472</v>
      </c>
      <c r="E421" s="57">
        <f t="shared" si="30"/>
        <v>23040.948921523472</v>
      </c>
      <c r="F421" s="57">
        <f t="shared" si="34"/>
        <v>137.72085020572558</v>
      </c>
    </row>
    <row r="422" spans="1:6" x14ac:dyDescent="0.25">
      <c r="A422" s="1">
        <f t="shared" si="31"/>
        <v>48474</v>
      </c>
      <c r="B422" s="57">
        <v>60</v>
      </c>
      <c r="C422" s="57">
        <f t="shared" si="32"/>
        <v>24960</v>
      </c>
      <c r="D422" s="57">
        <f t="shared" si="33"/>
        <v>48139.240120335555</v>
      </c>
      <c r="E422" s="57">
        <f t="shared" si="30"/>
        <v>23179.240120335555</v>
      </c>
      <c r="F422" s="57">
        <f t="shared" si="34"/>
        <v>138.29119881208317</v>
      </c>
    </row>
    <row r="423" spans="1:6" x14ac:dyDescent="0.25">
      <c r="A423" s="1">
        <f t="shared" si="31"/>
        <v>48488</v>
      </c>
      <c r="B423" s="57">
        <v>60</v>
      </c>
      <c r="C423" s="57">
        <f t="shared" si="32"/>
        <v>25020</v>
      </c>
      <c r="D423" s="57">
        <f t="shared" si="33"/>
        <v>48338.103312990366</v>
      </c>
      <c r="E423" s="57">
        <f t="shared" si="30"/>
        <v>23318.103312990366</v>
      </c>
      <c r="F423" s="57">
        <f t="shared" si="34"/>
        <v>138.86319265481143</v>
      </c>
    </row>
    <row r="424" spans="1:6" x14ac:dyDescent="0.25">
      <c r="A424" s="1">
        <f t="shared" si="31"/>
        <v>48502</v>
      </c>
      <c r="B424" s="57">
        <v>60</v>
      </c>
      <c r="C424" s="57">
        <f t="shared" si="32"/>
        <v>25080</v>
      </c>
      <c r="D424" s="57">
        <f t="shared" si="33"/>
        <v>48537.540149470144</v>
      </c>
      <c r="E424" s="57">
        <f t="shared" si="30"/>
        <v>23457.540149470144</v>
      </c>
      <c r="F424" s="57">
        <f t="shared" si="34"/>
        <v>139.43683647977741</v>
      </c>
    </row>
    <row r="425" spans="1:6" x14ac:dyDescent="0.25">
      <c r="A425" s="1">
        <f t="shared" si="31"/>
        <v>48516</v>
      </c>
      <c r="B425" s="57">
        <v>60</v>
      </c>
      <c r="C425" s="57">
        <f t="shared" si="32"/>
        <v>25140</v>
      </c>
      <c r="D425" s="57">
        <f t="shared" si="33"/>
        <v>48737.552284516692</v>
      </c>
      <c r="E425" s="57">
        <f t="shared" si="30"/>
        <v>23597.552284516692</v>
      </c>
      <c r="F425" s="57">
        <f t="shared" si="34"/>
        <v>140.01213504654879</v>
      </c>
    </row>
    <row r="426" spans="1:6" x14ac:dyDescent="0.25">
      <c r="A426" s="1">
        <f t="shared" si="31"/>
        <v>48530</v>
      </c>
      <c r="B426" s="57">
        <v>60</v>
      </c>
      <c r="C426" s="57">
        <f t="shared" si="32"/>
        <v>25200</v>
      </c>
      <c r="D426" s="57">
        <f t="shared" si="33"/>
        <v>48938.141377645108</v>
      </c>
      <c r="E426" s="57">
        <f t="shared" si="30"/>
        <v>23738.141377645108</v>
      </c>
      <c r="F426" s="57">
        <f t="shared" si="34"/>
        <v>140.5890931284157</v>
      </c>
    </row>
    <row r="427" spans="1:6" x14ac:dyDescent="0.25">
      <c r="A427" s="1">
        <f t="shared" si="31"/>
        <v>48544</v>
      </c>
      <c r="B427" s="57">
        <v>60</v>
      </c>
      <c r="C427" s="57">
        <f t="shared" si="32"/>
        <v>25260</v>
      </c>
      <c r="D427" s="57">
        <f t="shared" si="33"/>
        <v>49139.309093157543</v>
      </c>
      <c r="E427" s="57">
        <f t="shared" si="30"/>
        <v>23879.309093157543</v>
      </c>
      <c r="F427" s="57">
        <f t="shared" si="34"/>
        <v>141.16771551243437</v>
      </c>
    </row>
    <row r="428" spans="1:6" x14ac:dyDescent="0.25">
      <c r="A428" s="1">
        <f t="shared" si="31"/>
        <v>48558</v>
      </c>
      <c r="B428" s="57">
        <v>60</v>
      </c>
      <c r="C428" s="57">
        <f t="shared" si="32"/>
        <v>25320</v>
      </c>
      <c r="D428" s="57">
        <f t="shared" si="33"/>
        <v>49341.057100157035</v>
      </c>
      <c r="E428" s="57">
        <f t="shared" si="30"/>
        <v>24021.057100157035</v>
      </c>
      <c r="F428" s="57">
        <f t="shared" si="34"/>
        <v>141.74800699949265</v>
      </c>
    </row>
    <row r="429" spans="1:6" x14ac:dyDescent="0.25">
      <c r="A429" s="1">
        <f t="shared" si="31"/>
        <v>48572</v>
      </c>
      <c r="B429" s="57">
        <v>60</v>
      </c>
      <c r="C429" s="57">
        <f t="shared" si="32"/>
        <v>25380</v>
      </c>
      <c r="D429" s="57">
        <f t="shared" si="33"/>
        <v>49543.387072561331</v>
      </c>
      <c r="E429" s="57">
        <f t="shared" si="30"/>
        <v>24163.387072561331</v>
      </c>
      <c r="F429" s="57">
        <f t="shared" si="34"/>
        <v>142.3299724042954</v>
      </c>
    </row>
    <row r="430" spans="1:6" x14ac:dyDescent="0.25">
      <c r="A430" s="1">
        <f t="shared" si="31"/>
        <v>48586</v>
      </c>
      <c r="B430" s="57">
        <v>60</v>
      </c>
      <c r="C430" s="57">
        <f t="shared" si="32"/>
        <v>25440</v>
      </c>
      <c r="D430" s="57">
        <f t="shared" si="33"/>
        <v>49746.300689116797</v>
      </c>
      <c r="E430" s="57">
        <f t="shared" si="30"/>
        <v>24306.300689116797</v>
      </c>
      <c r="F430" s="57">
        <f t="shared" si="34"/>
        <v>142.91361655546643</v>
      </c>
    </row>
    <row r="431" spans="1:6" x14ac:dyDescent="0.25">
      <c r="A431" s="1">
        <f t="shared" si="31"/>
        <v>48600</v>
      </c>
      <c r="B431" s="57">
        <v>60</v>
      </c>
      <c r="C431" s="57">
        <f t="shared" si="32"/>
        <v>25500</v>
      </c>
      <c r="D431" s="57">
        <f t="shared" si="33"/>
        <v>49949.799633412324</v>
      </c>
      <c r="E431" s="57">
        <f t="shared" si="30"/>
        <v>24449.799633412324</v>
      </c>
      <c r="F431" s="57">
        <f t="shared" si="34"/>
        <v>143.4989442955266</v>
      </c>
    </row>
    <row r="432" spans="1:6" x14ac:dyDescent="0.25">
      <c r="A432" s="1">
        <f t="shared" si="31"/>
        <v>48614</v>
      </c>
      <c r="B432" s="57">
        <v>60</v>
      </c>
      <c r="C432" s="57">
        <f t="shared" si="32"/>
        <v>25560</v>
      </c>
      <c r="D432" s="57">
        <f t="shared" si="33"/>
        <v>50153.885593893319</v>
      </c>
      <c r="E432" s="57">
        <f t="shared" si="30"/>
        <v>24593.885593893319</v>
      </c>
      <c r="F432" s="57">
        <f t="shared" si="34"/>
        <v>144.08596048099571</v>
      </c>
    </row>
    <row r="433" spans="1:6" x14ac:dyDescent="0.25">
      <c r="A433" s="1">
        <f t="shared" si="31"/>
        <v>48628</v>
      </c>
      <c r="B433" s="57">
        <v>60</v>
      </c>
      <c r="C433" s="57">
        <f t="shared" si="32"/>
        <v>25620</v>
      </c>
      <c r="D433" s="57">
        <f t="shared" si="33"/>
        <v>50358.560263875705</v>
      </c>
      <c r="E433" s="57">
        <f t="shared" si="30"/>
        <v>24738.560263875705</v>
      </c>
      <c r="F433" s="57">
        <f t="shared" si="34"/>
        <v>144.67466998238524</v>
      </c>
    </row>
    <row r="434" spans="1:6" x14ac:dyDescent="0.25">
      <c r="A434" s="1">
        <f t="shared" si="31"/>
        <v>48642</v>
      </c>
      <c r="B434" s="57">
        <v>60</v>
      </c>
      <c r="C434" s="57">
        <f t="shared" si="32"/>
        <v>25680</v>
      </c>
      <c r="D434" s="57">
        <f t="shared" si="33"/>
        <v>50563.825341559961</v>
      </c>
      <c r="E434" s="57">
        <f t="shared" si="30"/>
        <v>24883.825341559961</v>
      </c>
      <c r="F434" s="57">
        <f t="shared" si="34"/>
        <v>145.26507768425654</v>
      </c>
    </row>
    <row r="435" spans="1:6" x14ac:dyDescent="0.25">
      <c r="A435" s="1">
        <f t="shared" si="31"/>
        <v>48656</v>
      </c>
      <c r="B435" s="57">
        <v>60</v>
      </c>
      <c r="C435" s="57">
        <f t="shared" si="32"/>
        <v>25740</v>
      </c>
      <c r="D435" s="57">
        <f t="shared" si="33"/>
        <v>50769.682530045233</v>
      </c>
      <c r="E435" s="57">
        <f t="shared" si="30"/>
        <v>25029.682530045233</v>
      </c>
      <c r="F435" s="57">
        <f t="shared" si="34"/>
        <v>145.85718848527176</v>
      </c>
    </row>
    <row r="436" spans="1:6" x14ac:dyDescent="0.25">
      <c r="A436" s="1">
        <f t="shared" si="31"/>
        <v>48670</v>
      </c>
      <c r="B436" s="57">
        <v>60</v>
      </c>
      <c r="C436" s="57">
        <f t="shared" si="32"/>
        <v>25800</v>
      </c>
      <c r="D436" s="57">
        <f t="shared" si="33"/>
        <v>50976.133537343441</v>
      </c>
      <c r="E436" s="57">
        <f t="shared" si="30"/>
        <v>25176.133537343441</v>
      </c>
      <c r="F436" s="57">
        <f t="shared" si="34"/>
        <v>146.45100729820842</v>
      </c>
    </row>
    <row r="437" spans="1:6" x14ac:dyDescent="0.25">
      <c r="A437" s="1">
        <f t="shared" si="31"/>
        <v>48684</v>
      </c>
      <c r="B437" s="57">
        <v>60</v>
      </c>
      <c r="C437" s="57">
        <f t="shared" si="32"/>
        <v>25860</v>
      </c>
      <c r="D437" s="57">
        <f t="shared" si="33"/>
        <v>51183.180076393473</v>
      </c>
      <c r="E437" s="57">
        <f t="shared" si="30"/>
        <v>25323.180076393473</v>
      </c>
      <c r="F437" s="57">
        <f t="shared" si="34"/>
        <v>147.04653905003215</v>
      </c>
    </row>
    <row r="438" spans="1:6" x14ac:dyDescent="0.25">
      <c r="A438" s="1">
        <f t="shared" si="31"/>
        <v>48698</v>
      </c>
      <c r="B438" s="57">
        <v>60</v>
      </c>
      <c r="C438" s="57">
        <f t="shared" si="32"/>
        <v>25920</v>
      </c>
      <c r="D438" s="57">
        <f t="shared" si="33"/>
        <v>51390.823865075377</v>
      </c>
      <c r="E438" s="57">
        <f t="shared" si="30"/>
        <v>25470.823865075377</v>
      </c>
      <c r="F438" s="57">
        <f t="shared" si="34"/>
        <v>147.64378868190397</v>
      </c>
    </row>
    <row r="439" spans="1:6" x14ac:dyDescent="0.25">
      <c r="A439" s="1">
        <f t="shared" si="31"/>
        <v>48712</v>
      </c>
      <c r="B439" s="57">
        <v>60</v>
      </c>
      <c r="C439" s="57">
        <f t="shared" si="32"/>
        <v>25980</v>
      </c>
      <c r="D439" s="57">
        <f t="shared" si="33"/>
        <v>51599.06662622463</v>
      </c>
      <c r="E439" s="57">
        <f t="shared" si="30"/>
        <v>25619.06662622463</v>
      </c>
      <c r="F439" s="57">
        <f t="shared" si="34"/>
        <v>148.24276114925306</v>
      </c>
    </row>
    <row r="440" spans="1:6" x14ac:dyDescent="0.25">
      <c r="A440" s="1">
        <f t="shared" si="31"/>
        <v>48726</v>
      </c>
      <c r="B440" s="57">
        <v>60</v>
      </c>
      <c r="C440" s="57">
        <f t="shared" si="32"/>
        <v>26040</v>
      </c>
      <c r="D440" s="57">
        <f t="shared" si="33"/>
        <v>51807.910087646429</v>
      </c>
      <c r="E440" s="57">
        <f t="shared" si="30"/>
        <v>25767.910087646429</v>
      </c>
      <c r="F440" s="57">
        <f t="shared" si="34"/>
        <v>148.84346142179857</v>
      </c>
    </row>
    <row r="441" spans="1:6" x14ac:dyDescent="0.25">
      <c r="A441" s="1">
        <f t="shared" si="31"/>
        <v>48740</v>
      </c>
      <c r="B441" s="57">
        <v>60</v>
      </c>
      <c r="C441" s="57">
        <f t="shared" si="32"/>
        <v>26100</v>
      </c>
      <c r="D441" s="57">
        <f t="shared" si="33"/>
        <v>52017.355982130022</v>
      </c>
      <c r="E441" s="57">
        <f t="shared" si="30"/>
        <v>25917.355982130022</v>
      </c>
      <c r="F441" s="57">
        <f t="shared" si="34"/>
        <v>149.44589448359329</v>
      </c>
    </row>
    <row r="442" spans="1:6" x14ac:dyDescent="0.25">
      <c r="A442" s="1">
        <f t="shared" si="31"/>
        <v>48754</v>
      </c>
      <c r="B442" s="57">
        <v>60</v>
      </c>
      <c r="C442" s="57">
        <f t="shared" si="32"/>
        <v>26160</v>
      </c>
      <c r="D442" s="57">
        <f t="shared" si="33"/>
        <v>52227.40604746309</v>
      </c>
      <c r="E442" s="57">
        <f t="shared" si="30"/>
        <v>26067.40604746309</v>
      </c>
      <c r="F442" s="57">
        <f t="shared" si="34"/>
        <v>150.05006533306732</v>
      </c>
    </row>
    <row r="443" spans="1:6" x14ac:dyDescent="0.25">
      <c r="A443" s="1">
        <f t="shared" si="31"/>
        <v>48768</v>
      </c>
      <c r="B443" s="57">
        <v>60</v>
      </c>
      <c r="C443" s="57">
        <f t="shared" si="32"/>
        <v>26220</v>
      </c>
      <c r="D443" s="57">
        <f t="shared" si="33"/>
        <v>52438.062026446154</v>
      </c>
      <c r="E443" s="57">
        <f t="shared" si="30"/>
        <v>26218.062026446154</v>
      </c>
      <c r="F443" s="57">
        <f t="shared" si="34"/>
        <v>150.65597898306441</v>
      </c>
    </row>
    <row r="444" spans="1:6" x14ac:dyDescent="0.25">
      <c r="A444" s="1">
        <f t="shared" si="31"/>
        <v>48782</v>
      </c>
      <c r="B444" s="57">
        <v>60</v>
      </c>
      <c r="C444" s="57">
        <f t="shared" si="32"/>
        <v>26280</v>
      </c>
      <c r="D444" s="57">
        <f t="shared" si="33"/>
        <v>52649.325666907054</v>
      </c>
      <c r="E444" s="57">
        <f t="shared" si="30"/>
        <v>26369.325666907054</v>
      </c>
      <c r="F444" s="57">
        <f t="shared" si="34"/>
        <v>151.26364046090021</v>
      </c>
    </row>
    <row r="445" spans="1:6" x14ac:dyDescent="0.25">
      <c r="A445" s="1">
        <f t="shared" si="31"/>
        <v>48796</v>
      </c>
      <c r="B445" s="57">
        <v>60</v>
      </c>
      <c r="C445" s="57">
        <f t="shared" si="32"/>
        <v>26340</v>
      </c>
      <c r="D445" s="57">
        <f t="shared" si="33"/>
        <v>52861.198721715438</v>
      </c>
      <c r="E445" s="57">
        <f t="shared" si="30"/>
        <v>26521.198721715438</v>
      </c>
      <c r="F445" s="57">
        <f t="shared" si="34"/>
        <v>151.87305480838404</v>
      </c>
    </row>
    <row r="446" spans="1:6" x14ac:dyDescent="0.25">
      <c r="A446" s="1">
        <f t="shared" si="31"/>
        <v>48810</v>
      </c>
      <c r="B446" s="57">
        <v>60</v>
      </c>
      <c r="C446" s="57">
        <f t="shared" si="32"/>
        <v>26400</v>
      </c>
      <c r="D446" s="57">
        <f t="shared" si="33"/>
        <v>53073.682948797308</v>
      </c>
      <c r="E446" s="57">
        <f t="shared" si="30"/>
        <v>26673.682948797308</v>
      </c>
      <c r="F446" s="57">
        <f t="shared" si="34"/>
        <v>152.4842270818699</v>
      </c>
    </row>
    <row r="447" spans="1:6" x14ac:dyDescent="0.25">
      <c r="A447" s="1">
        <f t="shared" si="31"/>
        <v>48824</v>
      </c>
      <c r="B447" s="57">
        <v>60</v>
      </c>
      <c r="C447" s="57">
        <f t="shared" si="32"/>
        <v>26460</v>
      </c>
      <c r="D447" s="57">
        <f t="shared" si="33"/>
        <v>53286.780111149608</v>
      </c>
      <c r="E447" s="57">
        <f t="shared" si="30"/>
        <v>26826.780111149608</v>
      </c>
      <c r="F447" s="57">
        <f t="shared" si="34"/>
        <v>153.09716235230007</v>
      </c>
    </row>
    <row r="448" spans="1:6" x14ac:dyDescent="0.25">
      <c r="A448" s="1">
        <f t="shared" si="31"/>
        <v>48838</v>
      </c>
      <c r="B448" s="57">
        <v>60</v>
      </c>
      <c r="C448" s="57">
        <f t="shared" si="32"/>
        <v>26520</v>
      </c>
      <c r="D448" s="57">
        <f t="shared" si="33"/>
        <v>53500.49197685485</v>
      </c>
      <c r="E448" s="57">
        <f t="shared" si="30"/>
        <v>26980.49197685485</v>
      </c>
      <c r="F448" s="57">
        <f t="shared" si="34"/>
        <v>153.71186570524151</v>
      </c>
    </row>
    <row r="449" spans="1:6" x14ac:dyDescent="0.25">
      <c r="A449" s="1">
        <f t="shared" si="31"/>
        <v>48852</v>
      </c>
      <c r="B449" s="57">
        <v>60</v>
      </c>
      <c r="C449" s="57">
        <f t="shared" si="32"/>
        <v>26580</v>
      </c>
      <c r="D449" s="57">
        <f t="shared" si="33"/>
        <v>53714.820319095779</v>
      </c>
      <c r="E449" s="57">
        <f t="shared" si="30"/>
        <v>27134.820319095779</v>
      </c>
      <c r="F449" s="57">
        <f t="shared" si="34"/>
        <v>154.32834224092949</v>
      </c>
    </row>
    <row r="450" spans="1:6" x14ac:dyDescent="0.25">
      <c r="A450" s="1">
        <f t="shared" si="31"/>
        <v>48866</v>
      </c>
      <c r="B450" s="57">
        <v>60</v>
      </c>
      <c r="C450" s="57">
        <f t="shared" si="32"/>
        <v>26640</v>
      </c>
      <c r="D450" s="57">
        <f t="shared" si="33"/>
        <v>53929.766916170091</v>
      </c>
      <c r="E450" s="57">
        <f t="shared" si="30"/>
        <v>27289.766916170091</v>
      </c>
      <c r="F450" s="57">
        <f t="shared" si="34"/>
        <v>154.94659707431128</v>
      </c>
    </row>
    <row r="451" spans="1:6" x14ac:dyDescent="0.25">
      <c r="A451" s="1">
        <f t="shared" si="31"/>
        <v>48880</v>
      </c>
      <c r="B451" s="57">
        <v>60</v>
      </c>
      <c r="C451" s="57">
        <f t="shared" si="32"/>
        <v>26700</v>
      </c>
      <c r="D451" s="57">
        <f t="shared" si="33"/>
        <v>54145.333551505195</v>
      </c>
      <c r="E451" s="57">
        <f t="shared" si="30"/>
        <v>27445.333551505195</v>
      </c>
      <c r="F451" s="57">
        <f t="shared" si="34"/>
        <v>155.56663533510437</v>
      </c>
    </row>
    <row r="452" spans="1:6" x14ac:dyDescent="0.25">
      <c r="A452" s="1">
        <f t="shared" si="31"/>
        <v>48894</v>
      </c>
      <c r="B452" s="57">
        <v>60</v>
      </c>
      <c r="C452" s="57">
        <f t="shared" si="32"/>
        <v>26760</v>
      </c>
      <c r="D452" s="57">
        <f t="shared" si="33"/>
        <v>54361.522013672999</v>
      </c>
      <c r="E452" s="57">
        <f t="shared" si="30"/>
        <v>27601.522013672999</v>
      </c>
      <c r="F452" s="57">
        <f t="shared" si="34"/>
        <v>156.18846216780366</v>
      </c>
    </row>
    <row r="453" spans="1:6" x14ac:dyDescent="0.25">
      <c r="A453" s="1">
        <f t="shared" si="31"/>
        <v>48908</v>
      </c>
      <c r="B453" s="57">
        <v>60</v>
      </c>
      <c r="C453" s="57">
        <f t="shared" si="32"/>
        <v>26820</v>
      </c>
      <c r="D453" s="57">
        <f t="shared" si="33"/>
        <v>54578.334096404746</v>
      </c>
      <c r="E453" s="57">
        <f t="shared" si="30"/>
        <v>27758.334096404746</v>
      </c>
      <c r="F453" s="57">
        <f t="shared" si="34"/>
        <v>156.81208273174707</v>
      </c>
    </row>
    <row r="454" spans="1:6" x14ac:dyDescent="0.25">
      <c r="A454" s="1">
        <f t="shared" si="31"/>
        <v>48922</v>
      </c>
      <c r="B454" s="57">
        <v>60</v>
      </c>
      <c r="C454" s="57">
        <f t="shared" si="32"/>
        <v>26880</v>
      </c>
      <c r="D454" s="57">
        <f t="shared" si="33"/>
        <v>54795.771598605912</v>
      </c>
      <c r="E454" s="57">
        <f t="shared" ref="E454:E517" si="35">D454-C454</f>
        <v>27915.771598605912</v>
      </c>
      <c r="F454" s="57">
        <f t="shared" si="34"/>
        <v>157.43750220116635</v>
      </c>
    </row>
    <row r="455" spans="1:6" x14ac:dyDescent="0.25">
      <c r="A455" s="1">
        <f t="shared" ref="A455:A518" si="36">A454+14</f>
        <v>48936</v>
      </c>
      <c r="B455" s="57">
        <v>60</v>
      </c>
      <c r="C455" s="57">
        <f t="shared" ref="C455:C518" si="37">C454+B455</f>
        <v>26940</v>
      </c>
      <c r="D455" s="57">
        <f t="shared" ref="D455:D518" si="38">D454*(1+$D$2) + B455</f>
        <v>55013.836324371121</v>
      </c>
      <c r="E455" s="57">
        <f t="shared" si="35"/>
        <v>28073.836324371121</v>
      </c>
      <c r="F455" s="57">
        <f t="shared" ref="F455:F518" si="39">E455-E454</f>
        <v>158.064725765209</v>
      </c>
    </row>
    <row r="456" spans="1:6" x14ac:dyDescent="0.25">
      <c r="A456" s="1">
        <f t="shared" si="36"/>
        <v>48950</v>
      </c>
      <c r="B456" s="57">
        <v>60</v>
      </c>
      <c r="C456" s="57">
        <f t="shared" si="37"/>
        <v>27000</v>
      </c>
      <c r="D456" s="57">
        <f t="shared" si="38"/>
        <v>55232.530082999117</v>
      </c>
      <c r="E456" s="57">
        <f t="shared" si="35"/>
        <v>28232.530082999117</v>
      </c>
      <c r="F456" s="57">
        <f t="shared" si="39"/>
        <v>158.69375862799643</v>
      </c>
    </row>
    <row r="457" spans="1:6" x14ac:dyDescent="0.25">
      <c r="A457" s="1">
        <f t="shared" si="36"/>
        <v>48964</v>
      </c>
      <c r="B457" s="57">
        <v>60</v>
      </c>
      <c r="C457" s="57">
        <f t="shared" si="37"/>
        <v>27060</v>
      </c>
      <c r="D457" s="57">
        <f t="shared" si="38"/>
        <v>55451.854689007771</v>
      </c>
      <c r="E457" s="57">
        <f t="shared" si="35"/>
        <v>28391.854689007771</v>
      </c>
      <c r="F457" s="57">
        <f t="shared" si="39"/>
        <v>159.32460600865306</v>
      </c>
    </row>
    <row r="458" spans="1:6" x14ac:dyDescent="0.25">
      <c r="A458" s="1">
        <f t="shared" si="36"/>
        <v>48978</v>
      </c>
      <c r="B458" s="57">
        <v>60</v>
      </c>
      <c r="C458" s="57">
        <f t="shared" si="37"/>
        <v>27120</v>
      </c>
      <c r="D458" s="57">
        <f t="shared" si="38"/>
        <v>55671.811962149135</v>
      </c>
      <c r="E458" s="57">
        <f t="shared" si="35"/>
        <v>28551.811962149135</v>
      </c>
      <c r="F458" s="57">
        <f t="shared" si="39"/>
        <v>159.95727314136457</v>
      </c>
    </row>
    <row r="459" spans="1:6" x14ac:dyDescent="0.25">
      <c r="A459" s="1">
        <f t="shared" si="36"/>
        <v>48992</v>
      </c>
      <c r="B459" s="57">
        <v>60</v>
      </c>
      <c r="C459" s="57">
        <f t="shared" si="37"/>
        <v>27180</v>
      </c>
      <c r="D459" s="57">
        <f t="shared" si="38"/>
        <v>55892.403727424564</v>
      </c>
      <c r="E459" s="57">
        <f t="shared" si="35"/>
        <v>28712.403727424564</v>
      </c>
      <c r="F459" s="57">
        <f t="shared" si="39"/>
        <v>160.59176527542877</v>
      </c>
    </row>
    <row r="460" spans="1:6" x14ac:dyDescent="0.25">
      <c r="A460" s="1">
        <f t="shared" si="36"/>
        <v>49006</v>
      </c>
      <c r="B460" s="57">
        <v>60</v>
      </c>
      <c r="C460" s="57">
        <f t="shared" si="37"/>
        <v>27240</v>
      </c>
      <c r="D460" s="57">
        <f t="shared" si="38"/>
        <v>56113.631815099827</v>
      </c>
      <c r="E460" s="57">
        <f t="shared" si="35"/>
        <v>28873.631815099827</v>
      </c>
      <c r="F460" s="57">
        <f t="shared" si="39"/>
        <v>161.22808767526294</v>
      </c>
    </row>
    <row r="461" spans="1:6" x14ac:dyDescent="0.25">
      <c r="A461" s="1">
        <f t="shared" si="36"/>
        <v>49020</v>
      </c>
      <c r="B461" s="57">
        <v>60</v>
      </c>
      <c r="C461" s="57">
        <f t="shared" si="37"/>
        <v>27300</v>
      </c>
      <c r="D461" s="57">
        <f t="shared" si="38"/>
        <v>56335.498060720303</v>
      </c>
      <c r="E461" s="57">
        <f t="shared" si="35"/>
        <v>29035.498060720303</v>
      </c>
      <c r="F461" s="57">
        <f t="shared" si="39"/>
        <v>161.86624562047655</v>
      </c>
    </row>
    <row r="462" spans="1:6" x14ac:dyDescent="0.25">
      <c r="A462" s="1">
        <f t="shared" si="36"/>
        <v>49034</v>
      </c>
      <c r="B462" s="57">
        <v>60</v>
      </c>
      <c r="C462" s="57">
        <f t="shared" si="37"/>
        <v>27360</v>
      </c>
      <c r="D462" s="57">
        <f t="shared" si="38"/>
        <v>56558.004305126226</v>
      </c>
      <c r="E462" s="57">
        <f t="shared" si="35"/>
        <v>29198.004305126226</v>
      </c>
      <c r="F462" s="57">
        <f t="shared" si="39"/>
        <v>162.50624440592219</v>
      </c>
    </row>
    <row r="463" spans="1:6" x14ac:dyDescent="0.25">
      <c r="A463" s="1">
        <f t="shared" si="36"/>
        <v>49048</v>
      </c>
      <c r="B463" s="57">
        <v>60</v>
      </c>
      <c r="C463" s="57">
        <f t="shared" si="37"/>
        <v>27420</v>
      </c>
      <c r="D463" s="57">
        <f t="shared" si="38"/>
        <v>56781.152394467936</v>
      </c>
      <c r="E463" s="57">
        <f t="shared" si="35"/>
        <v>29361.152394467936</v>
      </c>
      <c r="F463" s="57">
        <f t="shared" si="39"/>
        <v>163.14808934171015</v>
      </c>
    </row>
    <row r="464" spans="1:6" x14ac:dyDescent="0.25">
      <c r="A464" s="1">
        <f t="shared" si="36"/>
        <v>49062</v>
      </c>
      <c r="B464" s="57">
        <v>60</v>
      </c>
      <c r="C464" s="57">
        <f t="shared" si="37"/>
        <v>27480</v>
      </c>
      <c r="D464" s="57">
        <f t="shared" si="38"/>
        <v>57004.94418022121</v>
      </c>
      <c r="E464" s="57">
        <f t="shared" si="35"/>
        <v>29524.94418022121</v>
      </c>
      <c r="F464" s="57">
        <f t="shared" si="39"/>
        <v>163.79178575327387</v>
      </c>
    </row>
    <row r="465" spans="1:6" x14ac:dyDescent="0.25">
      <c r="A465" s="1">
        <f t="shared" si="36"/>
        <v>49076</v>
      </c>
      <c r="B465" s="57">
        <v>60</v>
      </c>
      <c r="C465" s="57">
        <f t="shared" si="37"/>
        <v>27540</v>
      </c>
      <c r="D465" s="57">
        <f t="shared" si="38"/>
        <v>57229.381519202616</v>
      </c>
      <c r="E465" s="57">
        <f t="shared" si="35"/>
        <v>29689.381519202616</v>
      </c>
      <c r="F465" s="57">
        <f t="shared" si="39"/>
        <v>164.43733898140636</v>
      </c>
    </row>
    <row r="466" spans="1:6" x14ac:dyDescent="0.25">
      <c r="A466" s="1">
        <f t="shared" si="36"/>
        <v>49090</v>
      </c>
      <c r="B466" s="57">
        <v>60</v>
      </c>
      <c r="C466" s="57">
        <f t="shared" si="37"/>
        <v>27600</v>
      </c>
      <c r="D466" s="57">
        <f t="shared" si="38"/>
        <v>57454.466273584927</v>
      </c>
      <c r="E466" s="57">
        <f t="shared" si="35"/>
        <v>29854.466273584927</v>
      </c>
      <c r="F466" s="57">
        <f t="shared" si="39"/>
        <v>165.08475438231108</v>
      </c>
    </row>
    <row r="467" spans="1:6" x14ac:dyDescent="0.25">
      <c r="A467" s="1">
        <f t="shared" si="36"/>
        <v>49104</v>
      </c>
      <c r="B467" s="57">
        <v>60</v>
      </c>
      <c r="C467" s="57">
        <f t="shared" si="37"/>
        <v>27660</v>
      </c>
      <c r="D467" s="57">
        <f t="shared" si="38"/>
        <v>57680.200310912573</v>
      </c>
      <c r="E467" s="57">
        <f t="shared" si="35"/>
        <v>30020.200310912573</v>
      </c>
      <c r="F467" s="57">
        <f t="shared" si="39"/>
        <v>165.73403732764564</v>
      </c>
    </row>
    <row r="468" spans="1:6" x14ac:dyDescent="0.25">
      <c r="A468" s="1">
        <f t="shared" si="36"/>
        <v>49118</v>
      </c>
      <c r="B468" s="57">
        <v>60</v>
      </c>
      <c r="C468" s="57">
        <f t="shared" si="37"/>
        <v>27720</v>
      </c>
      <c r="D468" s="57">
        <f t="shared" si="38"/>
        <v>57906.585504117131</v>
      </c>
      <c r="E468" s="57">
        <f t="shared" si="35"/>
        <v>30186.585504117131</v>
      </c>
      <c r="F468" s="57">
        <f t="shared" si="39"/>
        <v>166.38519320455816</v>
      </c>
    </row>
    <row r="469" spans="1:6" x14ac:dyDescent="0.25">
      <c r="A469" s="1">
        <f t="shared" si="36"/>
        <v>49132</v>
      </c>
      <c r="B469" s="57">
        <v>60</v>
      </c>
      <c r="C469" s="57">
        <f t="shared" si="37"/>
        <v>27780</v>
      </c>
      <c r="D469" s="57">
        <f t="shared" si="38"/>
        <v>58133.623731532854</v>
      </c>
      <c r="E469" s="57">
        <f t="shared" si="35"/>
        <v>30353.623731532854</v>
      </c>
      <c r="F469" s="57">
        <f t="shared" si="39"/>
        <v>167.03822741572367</v>
      </c>
    </row>
    <row r="470" spans="1:6" x14ac:dyDescent="0.25">
      <c r="A470" s="1">
        <f t="shared" si="36"/>
        <v>49146</v>
      </c>
      <c r="B470" s="57">
        <v>60</v>
      </c>
      <c r="C470" s="57">
        <f t="shared" si="37"/>
        <v>27840</v>
      </c>
      <c r="D470" s="57">
        <f t="shared" si="38"/>
        <v>58361.316876912279</v>
      </c>
      <c r="E470" s="57">
        <f t="shared" si="35"/>
        <v>30521.316876912279</v>
      </c>
      <c r="F470" s="57">
        <f t="shared" si="39"/>
        <v>167.6931453794241</v>
      </c>
    </row>
    <row r="471" spans="1:6" x14ac:dyDescent="0.25">
      <c r="A471" s="1">
        <f t="shared" si="36"/>
        <v>49160</v>
      </c>
      <c r="B471" s="57">
        <v>60</v>
      </c>
      <c r="C471" s="57">
        <f t="shared" si="37"/>
        <v>27900</v>
      </c>
      <c r="D471" s="57">
        <f t="shared" si="38"/>
        <v>58589.666829441834</v>
      </c>
      <c r="E471" s="57">
        <f t="shared" si="35"/>
        <v>30689.666829441834</v>
      </c>
      <c r="F471" s="57">
        <f t="shared" si="39"/>
        <v>168.34995252955559</v>
      </c>
    </row>
    <row r="472" spans="1:6" x14ac:dyDescent="0.25">
      <c r="A472" s="1">
        <f t="shared" si="36"/>
        <v>49174</v>
      </c>
      <c r="B472" s="57">
        <v>60</v>
      </c>
      <c r="C472" s="57">
        <f t="shared" si="37"/>
        <v>27960</v>
      </c>
      <c r="D472" s="57">
        <f t="shared" si="38"/>
        <v>58818.675483757528</v>
      </c>
      <c r="E472" s="57">
        <f t="shared" si="35"/>
        <v>30858.675483757528</v>
      </c>
      <c r="F472" s="57">
        <f t="shared" si="39"/>
        <v>169.008654315694</v>
      </c>
    </row>
    <row r="473" spans="1:6" x14ac:dyDescent="0.25">
      <c r="A473" s="1">
        <f t="shared" si="36"/>
        <v>49188</v>
      </c>
      <c r="B473" s="57">
        <v>60</v>
      </c>
      <c r="C473" s="57">
        <f t="shared" si="37"/>
        <v>28020</v>
      </c>
      <c r="D473" s="57">
        <f t="shared" si="38"/>
        <v>59048.344739960674</v>
      </c>
      <c r="E473" s="57">
        <f t="shared" si="35"/>
        <v>31028.344739960674</v>
      </c>
      <c r="F473" s="57">
        <f t="shared" si="39"/>
        <v>169.66925620314578</v>
      </c>
    </row>
    <row r="474" spans="1:6" x14ac:dyDescent="0.25">
      <c r="A474" s="1">
        <f t="shared" si="36"/>
        <v>49202</v>
      </c>
      <c r="B474" s="57">
        <v>60</v>
      </c>
      <c r="C474" s="57">
        <f t="shared" si="37"/>
        <v>28080</v>
      </c>
      <c r="D474" s="57">
        <f t="shared" si="38"/>
        <v>59278.676503633636</v>
      </c>
      <c r="E474" s="57">
        <f t="shared" si="35"/>
        <v>31198.676503633636</v>
      </c>
      <c r="F474" s="57">
        <f t="shared" si="39"/>
        <v>170.33176367296255</v>
      </c>
    </row>
    <row r="475" spans="1:6" x14ac:dyDescent="0.25">
      <c r="A475" s="1">
        <f t="shared" si="36"/>
        <v>49216</v>
      </c>
      <c r="B475" s="57">
        <v>60</v>
      </c>
      <c r="C475" s="57">
        <f t="shared" si="37"/>
        <v>28140</v>
      </c>
      <c r="D475" s="57">
        <f t="shared" si="38"/>
        <v>59509.672685855658</v>
      </c>
      <c r="E475" s="57">
        <f t="shared" si="35"/>
        <v>31369.672685855658</v>
      </c>
      <c r="F475" s="57">
        <f t="shared" si="39"/>
        <v>170.99618222202116</v>
      </c>
    </row>
    <row r="476" spans="1:6" x14ac:dyDescent="0.25">
      <c r="A476" s="1">
        <f t="shared" si="36"/>
        <v>49230</v>
      </c>
      <c r="B476" s="57">
        <v>60</v>
      </c>
      <c r="C476" s="57">
        <f t="shared" si="37"/>
        <v>28200</v>
      </c>
      <c r="D476" s="57">
        <f t="shared" si="38"/>
        <v>59741.335203218703</v>
      </c>
      <c r="E476" s="57">
        <f t="shared" si="35"/>
        <v>31541.335203218703</v>
      </c>
      <c r="F476" s="57">
        <f t="shared" si="39"/>
        <v>171.66251736304548</v>
      </c>
    </row>
    <row r="477" spans="1:6" x14ac:dyDescent="0.25">
      <c r="A477" s="1">
        <f t="shared" si="36"/>
        <v>49244</v>
      </c>
      <c r="B477" s="57">
        <v>60</v>
      </c>
      <c r="C477" s="57">
        <f t="shared" si="37"/>
        <v>28260</v>
      </c>
      <c r="D477" s="57">
        <f t="shared" si="38"/>
        <v>59973.665977843375</v>
      </c>
      <c r="E477" s="57">
        <f t="shared" si="35"/>
        <v>31713.665977843375</v>
      </c>
      <c r="F477" s="57">
        <f t="shared" si="39"/>
        <v>172.3307746246719</v>
      </c>
    </row>
    <row r="478" spans="1:6" x14ac:dyDescent="0.25">
      <c r="A478" s="1">
        <f t="shared" si="36"/>
        <v>49258</v>
      </c>
      <c r="B478" s="57">
        <v>60</v>
      </c>
      <c r="C478" s="57">
        <f t="shared" si="37"/>
        <v>28320</v>
      </c>
      <c r="D478" s="57">
        <f t="shared" si="38"/>
        <v>60206.666937394846</v>
      </c>
      <c r="E478" s="57">
        <f t="shared" si="35"/>
        <v>31886.666937394846</v>
      </c>
      <c r="F478" s="57">
        <f t="shared" si="39"/>
        <v>173.00095955147117</v>
      </c>
    </row>
    <row r="479" spans="1:6" x14ac:dyDescent="0.25">
      <c r="A479" s="1">
        <f t="shared" si="36"/>
        <v>49272</v>
      </c>
      <c r="B479" s="57">
        <v>60</v>
      </c>
      <c r="C479" s="57">
        <f t="shared" si="37"/>
        <v>28380</v>
      </c>
      <c r="D479" s="57">
        <f t="shared" si="38"/>
        <v>60440.340015098867</v>
      </c>
      <c r="E479" s="57">
        <f t="shared" si="35"/>
        <v>32060.340015098867</v>
      </c>
      <c r="F479" s="57">
        <f t="shared" si="39"/>
        <v>173.67307770402113</v>
      </c>
    </row>
    <row r="480" spans="1:6" x14ac:dyDescent="0.25">
      <c r="A480" s="1">
        <f t="shared" si="36"/>
        <v>49286</v>
      </c>
      <c r="B480" s="57">
        <v>60</v>
      </c>
      <c r="C480" s="57">
        <f t="shared" si="37"/>
        <v>28440</v>
      </c>
      <c r="D480" s="57">
        <f t="shared" si="38"/>
        <v>60674.687149757803</v>
      </c>
      <c r="E480" s="57">
        <f t="shared" si="35"/>
        <v>32234.687149757803</v>
      </c>
      <c r="F480" s="57">
        <f t="shared" si="39"/>
        <v>174.34713465893583</v>
      </c>
    </row>
    <row r="481" spans="1:6" x14ac:dyDescent="0.25">
      <c r="A481" s="1">
        <f t="shared" si="36"/>
        <v>49300</v>
      </c>
      <c r="B481" s="57">
        <v>60</v>
      </c>
      <c r="C481" s="57">
        <f t="shared" si="37"/>
        <v>28500</v>
      </c>
      <c r="D481" s="57">
        <f t="shared" si="38"/>
        <v>60909.71028576672</v>
      </c>
      <c r="E481" s="57">
        <f t="shared" si="35"/>
        <v>32409.71028576672</v>
      </c>
      <c r="F481" s="57">
        <f t="shared" si="39"/>
        <v>175.02313600891648</v>
      </c>
    </row>
    <row r="482" spans="1:6" x14ac:dyDescent="0.25">
      <c r="A482" s="1">
        <f t="shared" si="36"/>
        <v>49314</v>
      </c>
      <c r="B482" s="57">
        <v>60</v>
      </c>
      <c r="C482" s="57">
        <f t="shared" si="37"/>
        <v>28560</v>
      </c>
      <c r="D482" s="57">
        <f t="shared" si="38"/>
        <v>61145.411373129507</v>
      </c>
      <c r="E482" s="57">
        <f t="shared" si="35"/>
        <v>32585.411373129507</v>
      </c>
      <c r="F482" s="57">
        <f t="shared" si="39"/>
        <v>175.7010873627878</v>
      </c>
    </row>
    <row r="483" spans="1:6" x14ac:dyDescent="0.25">
      <c r="A483" s="1">
        <f t="shared" si="36"/>
        <v>49328</v>
      </c>
      <c r="B483" s="57">
        <v>60</v>
      </c>
      <c r="C483" s="57">
        <f t="shared" si="37"/>
        <v>28620</v>
      </c>
      <c r="D483" s="57">
        <f t="shared" si="38"/>
        <v>61381.792367475071</v>
      </c>
      <c r="E483" s="57">
        <f t="shared" si="35"/>
        <v>32761.792367475071</v>
      </c>
      <c r="F483" s="57">
        <f t="shared" si="39"/>
        <v>176.38099434556352</v>
      </c>
    </row>
    <row r="484" spans="1:6" x14ac:dyDescent="0.25">
      <c r="A484" s="1">
        <f t="shared" si="36"/>
        <v>49342</v>
      </c>
      <c r="B484" s="57">
        <v>60</v>
      </c>
      <c r="C484" s="57">
        <f t="shared" si="37"/>
        <v>28680</v>
      </c>
      <c r="D484" s="57">
        <f t="shared" si="38"/>
        <v>61618.855230073554</v>
      </c>
      <c r="E484" s="57">
        <f t="shared" si="35"/>
        <v>32938.855230073554</v>
      </c>
      <c r="F484" s="57">
        <f t="shared" si="39"/>
        <v>177.06286259848275</v>
      </c>
    </row>
    <row r="485" spans="1:6" x14ac:dyDescent="0.25">
      <c r="A485" s="1">
        <f t="shared" si="36"/>
        <v>49356</v>
      </c>
      <c r="B485" s="57">
        <v>60</v>
      </c>
      <c r="C485" s="57">
        <f t="shared" si="37"/>
        <v>28740</v>
      </c>
      <c r="D485" s="57">
        <f t="shared" si="38"/>
        <v>61856.601927852615</v>
      </c>
      <c r="E485" s="57">
        <f t="shared" si="35"/>
        <v>33116.601927852615</v>
      </c>
      <c r="F485" s="57">
        <f t="shared" si="39"/>
        <v>177.74669777906092</v>
      </c>
    </row>
    <row r="486" spans="1:6" x14ac:dyDescent="0.25">
      <c r="A486" s="1">
        <f t="shared" si="36"/>
        <v>49370</v>
      </c>
      <c r="B486" s="57">
        <v>60</v>
      </c>
      <c r="C486" s="57">
        <f t="shared" si="37"/>
        <v>28800</v>
      </c>
      <c r="D486" s="57">
        <f t="shared" si="38"/>
        <v>62095.034433413726</v>
      </c>
      <c r="E486" s="57">
        <f t="shared" si="35"/>
        <v>33295.034433413726</v>
      </c>
      <c r="F486" s="57">
        <f t="shared" si="39"/>
        <v>178.43250556111161</v>
      </c>
    </row>
    <row r="487" spans="1:6" x14ac:dyDescent="0.25">
      <c r="A487" s="1">
        <f t="shared" si="36"/>
        <v>49384</v>
      </c>
      <c r="B487" s="57">
        <v>60</v>
      </c>
      <c r="C487" s="57">
        <f t="shared" si="37"/>
        <v>28860</v>
      </c>
      <c r="D487" s="57">
        <f t="shared" si="38"/>
        <v>62334.154725048575</v>
      </c>
      <c r="E487" s="57">
        <f t="shared" si="35"/>
        <v>33474.154725048575</v>
      </c>
      <c r="F487" s="57">
        <f t="shared" si="39"/>
        <v>179.1202916348484</v>
      </c>
    </row>
    <row r="488" spans="1:6" x14ac:dyDescent="0.25">
      <c r="A488" s="1">
        <f t="shared" si="36"/>
        <v>49398</v>
      </c>
      <c r="B488" s="57">
        <v>60</v>
      </c>
      <c r="C488" s="57">
        <f t="shared" si="37"/>
        <v>28920</v>
      </c>
      <c r="D488" s="57">
        <f t="shared" si="38"/>
        <v>62573.964786755445</v>
      </c>
      <c r="E488" s="57">
        <f t="shared" si="35"/>
        <v>33653.964786755445</v>
      </c>
      <c r="F488" s="57">
        <f t="shared" si="39"/>
        <v>179.81006170687033</v>
      </c>
    </row>
    <row r="489" spans="1:6" x14ac:dyDescent="0.25">
      <c r="A489" s="1">
        <f t="shared" si="36"/>
        <v>49412</v>
      </c>
      <c r="B489" s="57">
        <v>60</v>
      </c>
      <c r="C489" s="57">
        <f t="shared" si="37"/>
        <v>28980</v>
      </c>
      <c r="D489" s="57">
        <f t="shared" si="38"/>
        <v>62814.466608255701</v>
      </c>
      <c r="E489" s="57">
        <f t="shared" si="35"/>
        <v>33834.466608255701</v>
      </c>
      <c r="F489" s="57">
        <f t="shared" si="39"/>
        <v>180.50182150025648</v>
      </c>
    </row>
    <row r="490" spans="1:6" x14ac:dyDescent="0.25">
      <c r="A490" s="1">
        <f t="shared" si="36"/>
        <v>49426</v>
      </c>
      <c r="B490" s="57">
        <v>60</v>
      </c>
      <c r="C490" s="57">
        <f t="shared" si="37"/>
        <v>29040</v>
      </c>
      <c r="D490" s="57">
        <f t="shared" si="38"/>
        <v>63055.662185010282</v>
      </c>
      <c r="E490" s="57">
        <f t="shared" si="35"/>
        <v>34015.662185010282</v>
      </c>
      <c r="F490" s="57">
        <f t="shared" si="39"/>
        <v>181.19557675458054</v>
      </c>
    </row>
    <row r="491" spans="1:6" x14ac:dyDescent="0.25">
      <c r="A491" s="1">
        <f t="shared" si="36"/>
        <v>49440</v>
      </c>
      <c r="B491" s="57">
        <v>60</v>
      </c>
      <c r="C491" s="57">
        <f t="shared" si="37"/>
        <v>29100</v>
      </c>
      <c r="D491" s="57">
        <f t="shared" si="38"/>
        <v>63297.553518236273</v>
      </c>
      <c r="E491" s="57">
        <f t="shared" si="35"/>
        <v>34197.553518236273</v>
      </c>
      <c r="F491" s="57">
        <f t="shared" si="39"/>
        <v>181.89133322599082</v>
      </c>
    </row>
    <row r="492" spans="1:6" x14ac:dyDescent="0.25">
      <c r="A492" s="1">
        <f t="shared" si="36"/>
        <v>49454</v>
      </c>
      <c r="B492" s="57">
        <v>60</v>
      </c>
      <c r="C492" s="57">
        <f t="shared" si="37"/>
        <v>29160</v>
      </c>
      <c r="D492" s="57">
        <f t="shared" si="38"/>
        <v>63540.14261492349</v>
      </c>
      <c r="E492" s="57">
        <f t="shared" si="35"/>
        <v>34380.14261492349</v>
      </c>
      <c r="F492" s="57">
        <f t="shared" si="39"/>
        <v>182.58909668721753</v>
      </c>
    </row>
    <row r="493" spans="1:6" x14ac:dyDescent="0.25">
      <c r="A493" s="1">
        <f t="shared" si="36"/>
        <v>49468</v>
      </c>
      <c r="B493" s="57">
        <v>60</v>
      </c>
      <c r="C493" s="57">
        <f t="shared" si="37"/>
        <v>29220</v>
      </c>
      <c r="D493" s="57">
        <f t="shared" si="38"/>
        <v>63783.43148785115</v>
      </c>
      <c r="E493" s="57">
        <f t="shared" si="35"/>
        <v>34563.43148785115</v>
      </c>
      <c r="F493" s="57">
        <f t="shared" si="39"/>
        <v>183.28887292766012</v>
      </c>
    </row>
    <row r="494" spans="1:6" x14ac:dyDescent="0.25">
      <c r="A494" s="1">
        <f t="shared" si="36"/>
        <v>49482</v>
      </c>
      <c r="B494" s="57">
        <v>60</v>
      </c>
      <c r="C494" s="57">
        <f t="shared" si="37"/>
        <v>29280</v>
      </c>
      <c r="D494" s="57">
        <f t="shared" si="38"/>
        <v>64027.422155604567</v>
      </c>
      <c r="E494" s="57">
        <f t="shared" si="35"/>
        <v>34747.422155604567</v>
      </c>
      <c r="F494" s="57">
        <f t="shared" si="39"/>
        <v>183.99066775341635</v>
      </c>
    </row>
    <row r="495" spans="1:6" x14ac:dyDescent="0.25">
      <c r="A495" s="1">
        <f t="shared" si="36"/>
        <v>49496</v>
      </c>
      <c r="B495" s="57">
        <v>60</v>
      </c>
      <c r="C495" s="57">
        <f t="shared" si="37"/>
        <v>29340</v>
      </c>
      <c r="D495" s="57">
        <f t="shared" si="38"/>
        <v>64272.116642591885</v>
      </c>
      <c r="E495" s="57">
        <f t="shared" si="35"/>
        <v>34932.116642591885</v>
      </c>
      <c r="F495" s="57">
        <f t="shared" si="39"/>
        <v>184.69448698731867</v>
      </c>
    </row>
    <row r="496" spans="1:6" x14ac:dyDescent="0.25">
      <c r="A496" s="1">
        <f t="shared" si="36"/>
        <v>49510</v>
      </c>
      <c r="B496" s="57">
        <v>60</v>
      </c>
      <c r="C496" s="57">
        <f t="shared" si="37"/>
        <v>29400</v>
      </c>
      <c r="D496" s="57">
        <f t="shared" si="38"/>
        <v>64517.5169790609</v>
      </c>
      <c r="E496" s="57">
        <f t="shared" si="35"/>
        <v>35117.5169790609</v>
      </c>
      <c r="F496" s="57">
        <f t="shared" si="39"/>
        <v>185.40033646901429</v>
      </c>
    </row>
    <row r="497" spans="1:6" x14ac:dyDescent="0.25">
      <c r="A497" s="1">
        <f t="shared" si="36"/>
        <v>49524</v>
      </c>
      <c r="B497" s="57">
        <v>60</v>
      </c>
      <c r="C497" s="57">
        <f t="shared" si="37"/>
        <v>29460</v>
      </c>
      <c r="D497" s="57">
        <f t="shared" si="38"/>
        <v>64763.625201115879</v>
      </c>
      <c r="E497" s="57">
        <f t="shared" si="35"/>
        <v>35303.625201115879</v>
      </c>
      <c r="F497" s="57">
        <f t="shared" si="39"/>
        <v>186.10822205497971</v>
      </c>
    </row>
    <row r="498" spans="1:6" x14ac:dyDescent="0.25">
      <c r="A498" s="1">
        <f t="shared" si="36"/>
        <v>49538</v>
      </c>
      <c r="B498" s="57">
        <v>60</v>
      </c>
      <c r="C498" s="57">
        <f t="shared" si="37"/>
        <v>29520</v>
      </c>
      <c r="D498" s="57">
        <f t="shared" si="38"/>
        <v>65010.44335073448</v>
      </c>
      <c r="E498" s="57">
        <f t="shared" si="35"/>
        <v>35490.44335073448</v>
      </c>
      <c r="F498" s="57">
        <f t="shared" si="39"/>
        <v>186.81814961860073</v>
      </c>
    </row>
    <row r="499" spans="1:6" x14ac:dyDescent="0.25">
      <c r="A499" s="1">
        <f t="shared" si="36"/>
        <v>49552</v>
      </c>
      <c r="B499" s="57">
        <v>60</v>
      </c>
      <c r="C499" s="57">
        <f t="shared" si="37"/>
        <v>29580</v>
      </c>
      <c r="D499" s="57">
        <f t="shared" si="38"/>
        <v>65257.973475784675</v>
      </c>
      <c r="E499" s="57">
        <f t="shared" si="35"/>
        <v>35677.973475784675</v>
      </c>
      <c r="F499" s="57">
        <f t="shared" si="39"/>
        <v>187.53012505019433</v>
      </c>
    </row>
    <row r="500" spans="1:6" x14ac:dyDescent="0.25">
      <c r="A500" s="1">
        <f t="shared" si="36"/>
        <v>49566</v>
      </c>
      <c r="B500" s="57">
        <v>60</v>
      </c>
      <c r="C500" s="57">
        <f t="shared" si="37"/>
        <v>29640</v>
      </c>
      <c r="D500" s="57">
        <f t="shared" si="38"/>
        <v>65506.217630041749</v>
      </c>
      <c r="E500" s="57">
        <f t="shared" si="35"/>
        <v>35866.217630041749</v>
      </c>
      <c r="F500" s="57">
        <f t="shared" si="39"/>
        <v>188.24415425707411</v>
      </c>
    </row>
    <row r="501" spans="1:6" x14ac:dyDescent="0.25">
      <c r="A501" s="1">
        <f t="shared" si="36"/>
        <v>49580</v>
      </c>
      <c r="B501" s="57">
        <v>60</v>
      </c>
      <c r="C501" s="57">
        <f t="shared" si="37"/>
        <v>29700</v>
      </c>
      <c r="D501" s="57">
        <f t="shared" si="38"/>
        <v>65755.177873205335</v>
      </c>
      <c r="E501" s="57">
        <f t="shared" si="35"/>
        <v>36055.177873205335</v>
      </c>
      <c r="F501" s="57">
        <f t="shared" si="39"/>
        <v>188.96024316358671</v>
      </c>
    </row>
    <row r="502" spans="1:6" x14ac:dyDescent="0.25">
      <c r="A502" s="1">
        <f t="shared" si="36"/>
        <v>49594</v>
      </c>
      <c r="B502" s="57">
        <v>60</v>
      </c>
      <c r="C502" s="57">
        <f t="shared" si="37"/>
        <v>29760</v>
      </c>
      <c r="D502" s="57">
        <f t="shared" si="38"/>
        <v>66004.856270916498</v>
      </c>
      <c r="E502" s="57">
        <f t="shared" si="35"/>
        <v>36244.856270916498</v>
      </c>
      <c r="F502" s="57">
        <f t="shared" si="39"/>
        <v>189.67839771116269</v>
      </c>
    </row>
    <row r="503" spans="1:6" x14ac:dyDescent="0.25">
      <c r="A503" s="1">
        <f t="shared" si="36"/>
        <v>49608</v>
      </c>
      <c r="B503" s="57">
        <v>60</v>
      </c>
      <c r="C503" s="57">
        <f t="shared" si="37"/>
        <v>29820</v>
      </c>
      <c r="D503" s="57">
        <f t="shared" si="38"/>
        <v>66255.254894774916</v>
      </c>
      <c r="E503" s="57">
        <f t="shared" si="35"/>
        <v>36435.254894774916</v>
      </c>
      <c r="F503" s="57">
        <f t="shared" si="39"/>
        <v>190.39862385841843</v>
      </c>
    </row>
    <row r="504" spans="1:6" x14ac:dyDescent="0.25">
      <c r="A504" s="1">
        <f t="shared" si="36"/>
        <v>49622</v>
      </c>
      <c r="B504" s="57">
        <v>60</v>
      </c>
      <c r="C504" s="57">
        <f t="shared" si="37"/>
        <v>29880</v>
      </c>
      <c r="D504" s="57">
        <f t="shared" si="38"/>
        <v>66506.375822356</v>
      </c>
      <c r="E504" s="57">
        <f t="shared" si="35"/>
        <v>36626.375822356</v>
      </c>
      <c r="F504" s="57">
        <f t="shared" si="39"/>
        <v>191.12092758108338</v>
      </c>
    </row>
    <row r="505" spans="1:6" x14ac:dyDescent="0.25">
      <c r="A505" s="1">
        <f t="shared" si="36"/>
        <v>49636</v>
      </c>
      <c r="B505" s="57">
        <v>60</v>
      </c>
      <c r="C505" s="57">
        <f t="shared" si="37"/>
        <v>29940</v>
      </c>
      <c r="D505" s="57">
        <f t="shared" si="38"/>
        <v>66758.221137228174</v>
      </c>
      <c r="E505" s="57">
        <f t="shared" si="35"/>
        <v>36818.221137228174</v>
      </c>
      <c r="F505" s="57">
        <f t="shared" si="39"/>
        <v>191.84531487217464</v>
      </c>
    </row>
    <row r="506" spans="1:6" x14ac:dyDescent="0.25">
      <c r="A506" s="1">
        <f t="shared" si="36"/>
        <v>49650</v>
      </c>
      <c r="B506" s="57">
        <v>60</v>
      </c>
      <c r="C506" s="57">
        <f t="shared" si="37"/>
        <v>30000</v>
      </c>
      <c r="D506" s="57">
        <f t="shared" si="38"/>
        <v>67010.792928970171</v>
      </c>
      <c r="E506" s="57">
        <f t="shared" si="35"/>
        <v>37010.792928970171</v>
      </c>
      <c r="F506" s="57">
        <f t="shared" si="39"/>
        <v>192.571791741997</v>
      </c>
    </row>
    <row r="507" spans="1:6" x14ac:dyDescent="0.25">
      <c r="A507" s="1">
        <f t="shared" si="36"/>
        <v>49664</v>
      </c>
      <c r="B507" s="57">
        <v>60</v>
      </c>
      <c r="C507" s="57">
        <f t="shared" si="37"/>
        <v>30060</v>
      </c>
      <c r="D507" s="57">
        <f t="shared" si="38"/>
        <v>67264.093293188358</v>
      </c>
      <c r="E507" s="57">
        <f t="shared" si="35"/>
        <v>37204.093293188358</v>
      </c>
      <c r="F507" s="57">
        <f t="shared" si="39"/>
        <v>193.30036421818659</v>
      </c>
    </row>
    <row r="508" spans="1:6" x14ac:dyDescent="0.25">
      <c r="A508" s="1">
        <f t="shared" si="36"/>
        <v>49678</v>
      </c>
      <c r="B508" s="57">
        <v>60</v>
      </c>
      <c r="C508" s="57">
        <f t="shared" si="37"/>
        <v>30120</v>
      </c>
      <c r="D508" s="57">
        <f t="shared" si="38"/>
        <v>67518.124331534098</v>
      </c>
      <c r="E508" s="57">
        <f t="shared" si="35"/>
        <v>37398.124331534098</v>
      </c>
      <c r="F508" s="57">
        <f t="shared" si="39"/>
        <v>194.03103834573994</v>
      </c>
    </row>
    <row r="509" spans="1:6" x14ac:dyDescent="0.25">
      <c r="A509" s="1">
        <f t="shared" si="36"/>
        <v>49692</v>
      </c>
      <c r="B509" s="57">
        <v>60</v>
      </c>
      <c r="C509" s="57">
        <f t="shared" si="37"/>
        <v>30180</v>
      </c>
      <c r="D509" s="57">
        <f t="shared" si="38"/>
        <v>67772.888151721214</v>
      </c>
      <c r="E509" s="57">
        <f t="shared" si="35"/>
        <v>37592.888151721214</v>
      </c>
      <c r="F509" s="57">
        <f t="shared" si="39"/>
        <v>194.76382018711593</v>
      </c>
    </row>
    <row r="510" spans="1:6" x14ac:dyDescent="0.25">
      <c r="A510" s="1">
        <f t="shared" si="36"/>
        <v>49706</v>
      </c>
      <c r="B510" s="57">
        <v>60</v>
      </c>
      <c r="C510" s="57">
        <f t="shared" si="37"/>
        <v>30240</v>
      </c>
      <c r="D510" s="57">
        <f t="shared" si="38"/>
        <v>68028.386867543479</v>
      </c>
      <c r="E510" s="57">
        <f t="shared" si="35"/>
        <v>37788.386867543479</v>
      </c>
      <c r="F510" s="57">
        <f t="shared" si="39"/>
        <v>195.49871582226478</v>
      </c>
    </row>
    <row r="511" spans="1:6" x14ac:dyDescent="0.25">
      <c r="A511" s="1">
        <f t="shared" si="36"/>
        <v>49720</v>
      </c>
      <c r="B511" s="57">
        <v>60</v>
      </c>
      <c r="C511" s="57">
        <f t="shared" si="37"/>
        <v>30300</v>
      </c>
      <c r="D511" s="57">
        <f t="shared" si="38"/>
        <v>68284.622598892165</v>
      </c>
      <c r="E511" s="57">
        <f t="shared" si="35"/>
        <v>37984.622598892165</v>
      </c>
      <c r="F511" s="57">
        <f t="shared" si="39"/>
        <v>196.23573134868639</v>
      </c>
    </row>
    <row r="512" spans="1:6" x14ac:dyDescent="0.25">
      <c r="A512" s="1">
        <f t="shared" si="36"/>
        <v>49734</v>
      </c>
      <c r="B512" s="57">
        <v>60</v>
      </c>
      <c r="C512" s="57">
        <f t="shared" si="37"/>
        <v>30360</v>
      </c>
      <c r="D512" s="57">
        <f t="shared" si="38"/>
        <v>68541.597471773581</v>
      </c>
      <c r="E512" s="57">
        <f t="shared" si="35"/>
        <v>38181.597471773581</v>
      </c>
      <c r="F512" s="57">
        <f t="shared" si="39"/>
        <v>196.97487288141565</v>
      </c>
    </row>
    <row r="513" spans="1:6" x14ac:dyDescent="0.25">
      <c r="A513" s="1">
        <f t="shared" si="36"/>
        <v>49748</v>
      </c>
      <c r="B513" s="57">
        <v>60</v>
      </c>
      <c r="C513" s="57">
        <f t="shared" si="37"/>
        <v>30420</v>
      </c>
      <c r="D513" s="57">
        <f t="shared" si="38"/>
        <v>68799.313618326778</v>
      </c>
      <c r="E513" s="57">
        <f t="shared" si="35"/>
        <v>38379.313618326778</v>
      </c>
      <c r="F513" s="57">
        <f t="shared" si="39"/>
        <v>197.71614655319718</v>
      </c>
    </row>
    <row r="514" spans="1:6" x14ac:dyDescent="0.25">
      <c r="A514" s="1">
        <f t="shared" si="36"/>
        <v>49762</v>
      </c>
      <c r="B514" s="57">
        <v>60</v>
      </c>
      <c r="C514" s="57">
        <f t="shared" si="37"/>
        <v>30480</v>
      </c>
      <c r="D514" s="57">
        <f t="shared" si="38"/>
        <v>69057.773176841176</v>
      </c>
      <c r="E514" s="57">
        <f t="shared" si="35"/>
        <v>38577.773176841176</v>
      </c>
      <c r="F514" s="57">
        <f t="shared" si="39"/>
        <v>198.45955851439794</v>
      </c>
    </row>
    <row r="515" spans="1:6" x14ac:dyDescent="0.25">
      <c r="A515" s="1">
        <f t="shared" si="36"/>
        <v>49776</v>
      </c>
      <c r="B515" s="57">
        <v>60</v>
      </c>
      <c r="C515" s="57">
        <f t="shared" si="37"/>
        <v>30540</v>
      </c>
      <c r="D515" s="57">
        <f t="shared" si="38"/>
        <v>69316.978291774372</v>
      </c>
      <c r="E515" s="57">
        <f t="shared" si="35"/>
        <v>38776.978291774372</v>
      </c>
      <c r="F515" s="57">
        <f t="shared" si="39"/>
        <v>199.20511493319646</v>
      </c>
    </row>
    <row r="516" spans="1:6" x14ac:dyDescent="0.25">
      <c r="A516" s="1">
        <f t="shared" si="36"/>
        <v>49790</v>
      </c>
      <c r="B516" s="57">
        <v>60</v>
      </c>
      <c r="C516" s="57">
        <f t="shared" si="37"/>
        <v>30600</v>
      </c>
      <c r="D516" s="57">
        <f t="shared" si="38"/>
        <v>69576.931113769868</v>
      </c>
      <c r="E516" s="57">
        <f t="shared" si="35"/>
        <v>38976.931113769868</v>
      </c>
      <c r="F516" s="57">
        <f t="shared" si="39"/>
        <v>199.95282199549547</v>
      </c>
    </row>
    <row r="517" spans="1:6" x14ac:dyDescent="0.25">
      <c r="A517" s="1">
        <f t="shared" si="36"/>
        <v>49804</v>
      </c>
      <c r="B517" s="57">
        <v>60</v>
      </c>
      <c r="C517" s="57">
        <f t="shared" si="37"/>
        <v>30660</v>
      </c>
      <c r="D517" s="57">
        <f t="shared" si="38"/>
        <v>69837.633799674979</v>
      </c>
      <c r="E517" s="57">
        <f t="shared" si="35"/>
        <v>39177.633799674979</v>
      </c>
      <c r="F517" s="57">
        <f t="shared" si="39"/>
        <v>200.70268590511114</v>
      </c>
    </row>
    <row r="518" spans="1:6" x14ac:dyDescent="0.25">
      <c r="A518" s="1">
        <f t="shared" si="36"/>
        <v>49818</v>
      </c>
      <c r="B518" s="57">
        <v>60</v>
      </c>
      <c r="C518" s="57">
        <f t="shared" si="37"/>
        <v>30720</v>
      </c>
      <c r="D518" s="57">
        <f t="shared" si="38"/>
        <v>70099.08851255865</v>
      </c>
      <c r="E518" s="57">
        <f t="shared" ref="E518:E581" si="40">D518-C518</f>
        <v>39379.08851255865</v>
      </c>
      <c r="F518" s="57">
        <f t="shared" si="39"/>
        <v>201.45471288367116</v>
      </c>
    </row>
    <row r="519" spans="1:6" x14ac:dyDescent="0.25">
      <c r="A519" s="1">
        <f t="shared" ref="A519:A582" si="41">A518+14</f>
        <v>49832</v>
      </c>
      <c r="B519" s="57">
        <v>60</v>
      </c>
      <c r="C519" s="57">
        <f t="shared" ref="C519:C582" si="42">C518+B519</f>
        <v>30780</v>
      </c>
      <c r="D519" s="57">
        <f t="shared" ref="D519:D582" si="43">D518*(1+$D$2) + B519</f>
        <v>70361.297421729498</v>
      </c>
      <c r="E519" s="57">
        <f t="shared" si="40"/>
        <v>39581.297421729498</v>
      </c>
      <c r="F519" s="57">
        <f t="shared" ref="F519:F582" si="44">E519-E518</f>
        <v>202.20890917084762</v>
      </c>
    </row>
    <row r="520" spans="1:6" x14ac:dyDescent="0.25">
      <c r="A520" s="1">
        <f t="shared" si="41"/>
        <v>49846</v>
      </c>
      <c r="B520" s="57">
        <v>60</v>
      </c>
      <c r="C520" s="57">
        <f t="shared" si="42"/>
        <v>30840</v>
      </c>
      <c r="D520" s="57">
        <f t="shared" si="43"/>
        <v>70624.262702753724</v>
      </c>
      <c r="E520" s="57">
        <f t="shared" si="40"/>
        <v>39784.262702753724</v>
      </c>
      <c r="F520" s="57">
        <f t="shared" si="44"/>
        <v>202.96528102422599</v>
      </c>
    </row>
    <row r="521" spans="1:6" x14ac:dyDescent="0.25">
      <c r="A521" s="1">
        <f t="shared" si="41"/>
        <v>49860</v>
      </c>
      <c r="B521" s="57">
        <v>60</v>
      </c>
      <c r="C521" s="57">
        <f t="shared" si="42"/>
        <v>30900</v>
      </c>
      <c r="D521" s="57">
        <f t="shared" si="43"/>
        <v>70887.986537473203</v>
      </c>
      <c r="E521" s="57">
        <f t="shared" si="40"/>
        <v>39987.986537473203</v>
      </c>
      <c r="F521" s="57">
        <f t="shared" si="44"/>
        <v>203.72383471947978</v>
      </c>
    </row>
    <row r="522" spans="1:6" x14ac:dyDescent="0.25">
      <c r="A522" s="1">
        <f t="shared" si="41"/>
        <v>49874</v>
      </c>
      <c r="B522" s="57">
        <v>60</v>
      </c>
      <c r="C522" s="57">
        <f t="shared" si="42"/>
        <v>30960</v>
      </c>
      <c r="D522" s="57">
        <f t="shared" si="43"/>
        <v>71152.471114023603</v>
      </c>
      <c r="E522" s="57">
        <f t="shared" si="40"/>
        <v>40192.471114023603</v>
      </c>
      <c r="F522" s="57">
        <f t="shared" si="44"/>
        <v>204.48457655039965</v>
      </c>
    </row>
    <row r="523" spans="1:6" x14ac:dyDescent="0.25">
      <c r="A523" s="1">
        <f t="shared" si="41"/>
        <v>49888</v>
      </c>
      <c r="B523" s="57">
        <v>60</v>
      </c>
      <c r="C523" s="57">
        <f t="shared" si="42"/>
        <v>31020</v>
      </c>
      <c r="D523" s="57">
        <f t="shared" si="43"/>
        <v>71417.718626852511</v>
      </c>
      <c r="E523" s="57">
        <f t="shared" si="40"/>
        <v>40397.718626852511</v>
      </c>
      <c r="F523" s="57">
        <f t="shared" si="44"/>
        <v>205.24751282890793</v>
      </c>
    </row>
    <row r="524" spans="1:6" x14ac:dyDescent="0.25">
      <c r="A524" s="1">
        <f t="shared" si="41"/>
        <v>49902</v>
      </c>
      <c r="B524" s="57">
        <v>60</v>
      </c>
      <c r="C524" s="57">
        <f t="shared" si="42"/>
        <v>31080</v>
      </c>
      <c r="D524" s="57">
        <f t="shared" si="43"/>
        <v>71683.731276737657</v>
      </c>
      <c r="E524" s="57">
        <f t="shared" si="40"/>
        <v>40603.731276737657</v>
      </c>
      <c r="F524" s="57">
        <f t="shared" si="44"/>
        <v>206.01264988514595</v>
      </c>
    </row>
    <row r="525" spans="1:6" x14ac:dyDescent="0.25">
      <c r="A525" s="1">
        <f t="shared" si="41"/>
        <v>49916</v>
      </c>
      <c r="B525" s="57">
        <v>60</v>
      </c>
      <c r="C525" s="57">
        <f t="shared" si="42"/>
        <v>31140</v>
      </c>
      <c r="D525" s="57">
        <f t="shared" si="43"/>
        <v>71950.511270805175</v>
      </c>
      <c r="E525" s="57">
        <f t="shared" si="40"/>
        <v>40810.511270805175</v>
      </c>
      <c r="F525" s="57">
        <f t="shared" si="44"/>
        <v>206.77999406751769</v>
      </c>
    </row>
    <row r="526" spans="1:6" x14ac:dyDescent="0.25">
      <c r="A526" s="1">
        <f t="shared" si="41"/>
        <v>49930</v>
      </c>
      <c r="B526" s="57">
        <v>60</v>
      </c>
      <c r="C526" s="57">
        <f t="shared" si="42"/>
        <v>31200</v>
      </c>
      <c r="D526" s="57">
        <f t="shared" si="43"/>
        <v>72218.060822547879</v>
      </c>
      <c r="E526" s="57">
        <f t="shared" si="40"/>
        <v>41018.060822547879</v>
      </c>
      <c r="F526" s="57">
        <f t="shared" si="44"/>
        <v>207.54955174270435</v>
      </c>
    </row>
    <row r="527" spans="1:6" x14ac:dyDescent="0.25">
      <c r="A527" s="1">
        <f t="shared" si="41"/>
        <v>49944</v>
      </c>
      <c r="B527" s="57">
        <v>60</v>
      </c>
      <c r="C527" s="57">
        <f t="shared" si="42"/>
        <v>31260</v>
      </c>
      <c r="D527" s="57">
        <f t="shared" si="43"/>
        <v>72486.382151843689</v>
      </c>
      <c r="E527" s="57">
        <f t="shared" si="40"/>
        <v>41226.382151843689</v>
      </c>
      <c r="F527" s="57">
        <f t="shared" si="44"/>
        <v>208.32132929580985</v>
      </c>
    </row>
    <row r="528" spans="1:6" x14ac:dyDescent="0.25">
      <c r="A528" s="1">
        <f t="shared" si="41"/>
        <v>49958</v>
      </c>
      <c r="B528" s="57">
        <v>60</v>
      </c>
      <c r="C528" s="57">
        <f t="shared" si="42"/>
        <v>31320</v>
      </c>
      <c r="D528" s="57">
        <f t="shared" si="43"/>
        <v>72755.477484974006</v>
      </c>
      <c r="E528" s="57">
        <f t="shared" si="40"/>
        <v>41435.477484974006</v>
      </c>
      <c r="F528" s="57">
        <f t="shared" si="44"/>
        <v>209.09533313031716</v>
      </c>
    </row>
    <row r="529" spans="1:6" x14ac:dyDescent="0.25">
      <c r="A529" s="1">
        <f t="shared" si="41"/>
        <v>49972</v>
      </c>
      <c r="B529" s="57">
        <v>60</v>
      </c>
      <c r="C529" s="57">
        <f t="shared" si="42"/>
        <v>31380</v>
      </c>
      <c r="D529" s="57">
        <f t="shared" si="43"/>
        <v>73025.349054642196</v>
      </c>
      <c r="E529" s="57">
        <f t="shared" si="40"/>
        <v>41645.349054642196</v>
      </c>
      <c r="F529" s="57">
        <f t="shared" si="44"/>
        <v>209.8715696681902</v>
      </c>
    </row>
    <row r="530" spans="1:6" x14ac:dyDescent="0.25">
      <c r="A530" s="1">
        <f t="shared" si="41"/>
        <v>49986</v>
      </c>
      <c r="B530" s="57">
        <v>60</v>
      </c>
      <c r="C530" s="57">
        <f t="shared" si="42"/>
        <v>31440</v>
      </c>
      <c r="D530" s="57">
        <f t="shared" si="43"/>
        <v>73295.999099992128</v>
      </c>
      <c r="E530" s="57">
        <f t="shared" si="40"/>
        <v>41855.999099992128</v>
      </c>
      <c r="F530" s="57">
        <f t="shared" si="44"/>
        <v>210.65004534993204</v>
      </c>
    </row>
    <row r="531" spans="1:6" x14ac:dyDescent="0.25">
      <c r="A531" s="1">
        <f t="shared" si="41"/>
        <v>50000</v>
      </c>
      <c r="B531" s="57">
        <v>60</v>
      </c>
      <c r="C531" s="57">
        <f t="shared" si="42"/>
        <v>31500</v>
      </c>
      <c r="D531" s="57">
        <f t="shared" si="43"/>
        <v>73567.429866626713</v>
      </c>
      <c r="E531" s="57">
        <f t="shared" si="40"/>
        <v>42067.429866626713</v>
      </c>
      <c r="F531" s="57">
        <f t="shared" si="44"/>
        <v>211.43076663458487</v>
      </c>
    </row>
    <row r="532" spans="1:6" x14ac:dyDescent="0.25">
      <c r="A532" s="1">
        <f t="shared" si="41"/>
        <v>50014</v>
      </c>
      <c r="B532" s="57">
        <v>60</v>
      </c>
      <c r="C532" s="57">
        <f t="shared" si="42"/>
        <v>31560</v>
      </c>
      <c r="D532" s="57">
        <f t="shared" si="43"/>
        <v>73839.643606626603</v>
      </c>
      <c r="E532" s="57">
        <f t="shared" si="40"/>
        <v>42279.643606626603</v>
      </c>
      <c r="F532" s="57">
        <f t="shared" si="44"/>
        <v>212.21373999989009</v>
      </c>
    </row>
    <row r="533" spans="1:6" x14ac:dyDescent="0.25">
      <c r="A533" s="1">
        <f t="shared" si="41"/>
        <v>50028</v>
      </c>
      <c r="B533" s="57">
        <v>60</v>
      </c>
      <c r="C533" s="57">
        <f t="shared" si="42"/>
        <v>31620</v>
      </c>
      <c r="D533" s="57">
        <f t="shared" si="43"/>
        <v>74112.64257856879</v>
      </c>
      <c r="E533" s="57">
        <f t="shared" si="40"/>
        <v>42492.64257856879</v>
      </c>
      <c r="F533" s="57">
        <f t="shared" si="44"/>
        <v>212.99897194218647</v>
      </c>
    </row>
    <row r="534" spans="1:6" x14ac:dyDescent="0.25">
      <c r="A534" s="1">
        <f t="shared" si="41"/>
        <v>50042</v>
      </c>
      <c r="B534" s="57">
        <v>60</v>
      </c>
      <c r="C534" s="57">
        <f t="shared" si="42"/>
        <v>31680</v>
      </c>
      <c r="D534" s="57">
        <f t="shared" si="43"/>
        <v>74386.429047545433</v>
      </c>
      <c r="E534" s="57">
        <f t="shared" si="40"/>
        <v>42706.429047545433</v>
      </c>
      <c r="F534" s="57">
        <f t="shared" si="44"/>
        <v>213.78646897664294</v>
      </c>
    </row>
    <row r="535" spans="1:6" x14ac:dyDescent="0.25">
      <c r="A535" s="1">
        <f t="shared" si="41"/>
        <v>50056</v>
      </c>
      <c r="B535" s="57">
        <v>60</v>
      </c>
      <c r="C535" s="57">
        <f t="shared" si="42"/>
        <v>31740</v>
      </c>
      <c r="D535" s="57">
        <f t="shared" si="43"/>
        <v>74661.005285182589</v>
      </c>
      <c r="E535" s="57">
        <f t="shared" si="40"/>
        <v>42921.005285182589</v>
      </c>
      <c r="F535" s="57">
        <f t="shared" si="44"/>
        <v>214.57623763715674</v>
      </c>
    </row>
    <row r="536" spans="1:6" x14ac:dyDescent="0.25">
      <c r="A536" s="1">
        <f t="shared" si="41"/>
        <v>50070</v>
      </c>
      <c r="B536" s="57">
        <v>60</v>
      </c>
      <c r="C536" s="57">
        <f t="shared" si="42"/>
        <v>31800</v>
      </c>
      <c r="D536" s="57">
        <f t="shared" si="43"/>
        <v>74936.373569659074</v>
      </c>
      <c r="E536" s="57">
        <f t="shared" si="40"/>
        <v>43136.373569659074</v>
      </c>
      <c r="F536" s="57">
        <f t="shared" si="44"/>
        <v>215.3682844764844</v>
      </c>
    </row>
    <row r="537" spans="1:6" x14ac:dyDescent="0.25">
      <c r="A537" s="1">
        <f t="shared" si="41"/>
        <v>50084</v>
      </c>
      <c r="B537" s="57">
        <v>60</v>
      </c>
      <c r="C537" s="57">
        <f t="shared" si="42"/>
        <v>31860</v>
      </c>
      <c r="D537" s="57">
        <f t="shared" si="43"/>
        <v>75212.536185725403</v>
      </c>
      <c r="E537" s="57">
        <f t="shared" si="40"/>
        <v>43352.536185725403</v>
      </c>
      <c r="F537" s="57">
        <f t="shared" si="44"/>
        <v>216.16261606632906</v>
      </c>
    </row>
    <row r="538" spans="1:6" x14ac:dyDescent="0.25">
      <c r="A538" s="1">
        <f t="shared" si="41"/>
        <v>50098</v>
      </c>
      <c r="B538" s="57">
        <v>60</v>
      </c>
      <c r="C538" s="57">
        <f t="shared" si="42"/>
        <v>31920</v>
      </c>
      <c r="D538" s="57">
        <f t="shared" si="43"/>
        <v>75489.495424722685</v>
      </c>
      <c r="E538" s="57">
        <f t="shared" si="40"/>
        <v>43569.495424722685</v>
      </c>
      <c r="F538" s="57">
        <f t="shared" si="44"/>
        <v>216.95923899728223</v>
      </c>
    </row>
    <row r="539" spans="1:6" x14ac:dyDescent="0.25">
      <c r="A539" s="1">
        <f t="shared" si="41"/>
        <v>50112</v>
      </c>
      <c r="B539" s="57">
        <v>60</v>
      </c>
      <c r="C539" s="57">
        <f t="shared" si="42"/>
        <v>31980</v>
      </c>
      <c r="D539" s="57">
        <f t="shared" si="43"/>
        <v>75767.253584601698</v>
      </c>
      <c r="E539" s="57">
        <f t="shared" si="40"/>
        <v>43787.253584601698</v>
      </c>
      <c r="F539" s="57">
        <f t="shared" si="44"/>
        <v>217.75815987901296</v>
      </c>
    </row>
    <row r="540" spans="1:6" x14ac:dyDescent="0.25">
      <c r="A540" s="1">
        <f t="shared" si="41"/>
        <v>50126</v>
      </c>
      <c r="B540" s="57">
        <v>60</v>
      </c>
      <c r="C540" s="57">
        <f t="shared" si="42"/>
        <v>32040</v>
      </c>
      <c r="D540" s="57">
        <f t="shared" si="43"/>
        <v>76045.812969941893</v>
      </c>
      <c r="E540" s="57">
        <f t="shared" si="40"/>
        <v>44005.812969941893</v>
      </c>
      <c r="F540" s="57">
        <f t="shared" si="44"/>
        <v>218.55938534019515</v>
      </c>
    </row>
    <row r="541" spans="1:6" x14ac:dyDescent="0.25">
      <c r="A541" s="1">
        <f t="shared" si="41"/>
        <v>50140</v>
      </c>
      <c r="B541" s="57">
        <v>60</v>
      </c>
      <c r="C541" s="57">
        <f t="shared" si="42"/>
        <v>32100</v>
      </c>
      <c r="D541" s="57">
        <f t="shared" si="43"/>
        <v>76325.175891970575</v>
      </c>
      <c r="E541" s="57">
        <f t="shared" si="40"/>
        <v>44225.175891970575</v>
      </c>
      <c r="F541" s="57">
        <f t="shared" si="44"/>
        <v>219.36292202868208</v>
      </c>
    </row>
    <row r="542" spans="1:6" x14ac:dyDescent="0.25">
      <c r="A542" s="1">
        <f t="shared" si="41"/>
        <v>50154</v>
      </c>
      <c r="B542" s="57">
        <v>60</v>
      </c>
      <c r="C542" s="57">
        <f t="shared" si="42"/>
        <v>32160</v>
      </c>
      <c r="D542" s="57">
        <f t="shared" si="43"/>
        <v>76605.344668582024</v>
      </c>
      <c r="E542" s="57">
        <f t="shared" si="40"/>
        <v>44445.344668582024</v>
      </c>
      <c r="F542" s="57">
        <f t="shared" si="44"/>
        <v>220.16877661144827</v>
      </c>
    </row>
    <row r="543" spans="1:6" x14ac:dyDescent="0.25">
      <c r="A543" s="1">
        <f t="shared" si="41"/>
        <v>50168</v>
      </c>
      <c r="B543" s="57">
        <v>60</v>
      </c>
      <c r="C543" s="57">
        <f t="shared" si="42"/>
        <v>32220</v>
      </c>
      <c r="D543" s="57">
        <f t="shared" si="43"/>
        <v>76886.321624356773</v>
      </c>
      <c r="E543" s="57">
        <f t="shared" si="40"/>
        <v>44666.321624356773</v>
      </c>
      <c r="F543" s="57">
        <f t="shared" si="44"/>
        <v>220.97695577474951</v>
      </c>
    </row>
    <row r="544" spans="1:6" x14ac:dyDescent="0.25">
      <c r="A544" s="1">
        <f t="shared" si="41"/>
        <v>50182</v>
      </c>
      <c r="B544" s="57">
        <v>60</v>
      </c>
      <c r="C544" s="57">
        <f t="shared" si="42"/>
        <v>32280</v>
      </c>
      <c r="D544" s="57">
        <f t="shared" si="43"/>
        <v>77168.109090580881</v>
      </c>
      <c r="E544" s="57">
        <f t="shared" si="40"/>
        <v>44888.109090580881</v>
      </c>
      <c r="F544" s="57">
        <f t="shared" si="44"/>
        <v>221.78746622410836</v>
      </c>
    </row>
    <row r="545" spans="1:6" x14ac:dyDescent="0.25">
      <c r="A545" s="1">
        <f t="shared" si="41"/>
        <v>50196</v>
      </c>
      <c r="B545" s="57">
        <v>60</v>
      </c>
      <c r="C545" s="57">
        <f t="shared" si="42"/>
        <v>32340</v>
      </c>
      <c r="D545" s="57">
        <f t="shared" si="43"/>
        <v>77450.709405265254</v>
      </c>
      <c r="E545" s="57">
        <f t="shared" si="40"/>
        <v>45110.709405265254</v>
      </c>
      <c r="F545" s="57">
        <f t="shared" si="44"/>
        <v>222.60031468437228</v>
      </c>
    </row>
    <row r="546" spans="1:6" x14ac:dyDescent="0.25">
      <c r="A546" s="1">
        <f t="shared" si="41"/>
        <v>50210</v>
      </c>
      <c r="B546" s="57">
        <v>60</v>
      </c>
      <c r="C546" s="57">
        <f t="shared" si="42"/>
        <v>32400</v>
      </c>
      <c r="D546" s="57">
        <f t="shared" si="43"/>
        <v>77734.124913165055</v>
      </c>
      <c r="E546" s="57">
        <f t="shared" si="40"/>
        <v>45334.124913165055</v>
      </c>
      <c r="F546" s="57">
        <f t="shared" si="44"/>
        <v>223.41550789980101</v>
      </c>
    </row>
    <row r="547" spans="1:6" x14ac:dyDescent="0.25">
      <c r="A547" s="1">
        <f t="shared" si="41"/>
        <v>50224</v>
      </c>
      <c r="B547" s="57">
        <v>60</v>
      </c>
      <c r="C547" s="57">
        <f t="shared" si="42"/>
        <v>32460</v>
      </c>
      <c r="D547" s="57">
        <f t="shared" si="43"/>
        <v>78018.35796579918</v>
      </c>
      <c r="E547" s="57">
        <f t="shared" si="40"/>
        <v>45558.35796579918</v>
      </c>
      <c r="F547" s="57">
        <f t="shared" si="44"/>
        <v>224.23305263412476</v>
      </c>
    </row>
    <row r="548" spans="1:6" x14ac:dyDescent="0.25">
      <c r="A548" s="1">
        <f t="shared" si="41"/>
        <v>50238</v>
      </c>
      <c r="B548" s="57">
        <v>60</v>
      </c>
      <c r="C548" s="57">
        <f t="shared" si="42"/>
        <v>32520</v>
      </c>
      <c r="D548" s="57">
        <f t="shared" si="43"/>
        <v>78303.410921469753</v>
      </c>
      <c r="E548" s="57">
        <f t="shared" si="40"/>
        <v>45783.410921469753</v>
      </c>
      <c r="F548" s="57">
        <f t="shared" si="44"/>
        <v>225.05295567057328</v>
      </c>
    </row>
    <row r="549" spans="1:6" x14ac:dyDescent="0.25">
      <c r="A549" s="1">
        <f t="shared" si="41"/>
        <v>50252</v>
      </c>
      <c r="B549" s="57">
        <v>60</v>
      </c>
      <c r="C549" s="57">
        <f t="shared" si="42"/>
        <v>32580</v>
      </c>
      <c r="D549" s="57">
        <f t="shared" si="43"/>
        <v>78589.286145281687</v>
      </c>
      <c r="E549" s="57">
        <f t="shared" si="40"/>
        <v>46009.286145281687</v>
      </c>
      <c r="F549" s="57">
        <f t="shared" si="44"/>
        <v>225.87522381193412</v>
      </c>
    </row>
    <row r="550" spans="1:6" x14ac:dyDescent="0.25">
      <c r="A550" s="1">
        <f t="shared" si="41"/>
        <v>50266</v>
      </c>
      <c r="B550" s="57">
        <v>60</v>
      </c>
      <c r="C550" s="57">
        <f t="shared" si="42"/>
        <v>32640</v>
      </c>
      <c r="D550" s="57">
        <f t="shared" si="43"/>
        <v>78875.986009162312</v>
      </c>
      <c r="E550" s="57">
        <f t="shared" si="40"/>
        <v>46235.986009162312</v>
      </c>
      <c r="F550" s="57">
        <f t="shared" si="44"/>
        <v>226.69986388062534</v>
      </c>
    </row>
    <row r="551" spans="1:6" x14ac:dyDescent="0.25">
      <c r="A551" s="1">
        <f t="shared" si="41"/>
        <v>50280</v>
      </c>
      <c r="B551" s="57">
        <v>60</v>
      </c>
      <c r="C551" s="57">
        <f t="shared" si="42"/>
        <v>32700</v>
      </c>
      <c r="D551" s="57">
        <f t="shared" si="43"/>
        <v>79163.512891881051</v>
      </c>
      <c r="E551" s="57">
        <f t="shared" si="40"/>
        <v>46463.512891881051</v>
      </c>
      <c r="F551" s="57">
        <f t="shared" si="44"/>
        <v>227.52688271873922</v>
      </c>
    </row>
    <row r="552" spans="1:6" x14ac:dyDescent="0.25">
      <c r="A552" s="1">
        <f t="shared" si="41"/>
        <v>50294</v>
      </c>
      <c r="B552" s="57">
        <v>60</v>
      </c>
      <c r="C552" s="57">
        <f t="shared" si="42"/>
        <v>32760</v>
      </c>
      <c r="D552" s="57">
        <f t="shared" si="43"/>
        <v>79451.869179069166</v>
      </c>
      <c r="E552" s="57">
        <f t="shared" si="40"/>
        <v>46691.869179069166</v>
      </c>
      <c r="F552" s="57">
        <f t="shared" si="44"/>
        <v>228.35628718811495</v>
      </c>
    </row>
    <row r="553" spans="1:6" x14ac:dyDescent="0.25">
      <c r="A553" s="1">
        <f t="shared" si="41"/>
        <v>50308</v>
      </c>
      <c r="B553" s="57">
        <v>60</v>
      </c>
      <c r="C553" s="57">
        <f t="shared" si="42"/>
        <v>32820</v>
      </c>
      <c r="D553" s="57">
        <f t="shared" si="43"/>
        <v>79741.057263239563</v>
      </c>
      <c r="E553" s="57">
        <f t="shared" si="40"/>
        <v>46921.057263239563</v>
      </c>
      <c r="F553" s="57">
        <f t="shared" si="44"/>
        <v>229.18808417039691</v>
      </c>
    </row>
    <row r="554" spans="1:6" x14ac:dyDescent="0.25">
      <c r="A554" s="1">
        <f t="shared" si="41"/>
        <v>50322</v>
      </c>
      <c r="B554" s="57">
        <v>60</v>
      </c>
      <c r="C554" s="57">
        <f t="shared" si="42"/>
        <v>32880</v>
      </c>
      <c r="D554" s="57">
        <f t="shared" si="43"/>
        <v>80031.079543806598</v>
      </c>
      <c r="E554" s="57">
        <f t="shared" si="40"/>
        <v>47151.079543806598</v>
      </c>
      <c r="F554" s="57">
        <f t="shared" si="44"/>
        <v>230.02228056703461</v>
      </c>
    </row>
    <row r="555" spans="1:6" x14ac:dyDescent="0.25">
      <c r="A555" s="1">
        <f t="shared" si="41"/>
        <v>50336</v>
      </c>
      <c r="B555" s="57">
        <v>60</v>
      </c>
      <c r="C555" s="57">
        <f t="shared" si="42"/>
        <v>32940</v>
      </c>
      <c r="D555" s="57">
        <f t="shared" si="43"/>
        <v>80321.938427106041</v>
      </c>
      <c r="E555" s="57">
        <f t="shared" si="40"/>
        <v>47381.938427106041</v>
      </c>
      <c r="F555" s="57">
        <f t="shared" si="44"/>
        <v>230.85888329944282</v>
      </c>
    </row>
    <row r="556" spans="1:6" x14ac:dyDescent="0.25">
      <c r="A556" s="1">
        <f t="shared" si="41"/>
        <v>50350</v>
      </c>
      <c r="B556" s="57">
        <v>60</v>
      </c>
      <c r="C556" s="57">
        <f t="shared" si="42"/>
        <v>33000</v>
      </c>
      <c r="D556" s="57">
        <f t="shared" si="43"/>
        <v>80613.636326414999</v>
      </c>
      <c r="E556" s="57">
        <f t="shared" si="40"/>
        <v>47613.636326414999</v>
      </c>
      <c r="F556" s="57">
        <f t="shared" si="44"/>
        <v>231.69789930895786</v>
      </c>
    </row>
    <row r="557" spans="1:6" x14ac:dyDescent="0.25">
      <c r="A557" s="1">
        <f t="shared" si="41"/>
        <v>50364</v>
      </c>
      <c r="B557" s="57">
        <v>60</v>
      </c>
      <c r="C557" s="57">
        <f t="shared" si="42"/>
        <v>33060</v>
      </c>
      <c r="D557" s="57">
        <f t="shared" si="43"/>
        <v>80906.175661971967</v>
      </c>
      <c r="E557" s="57">
        <f t="shared" si="40"/>
        <v>47846.175661971967</v>
      </c>
      <c r="F557" s="57">
        <f t="shared" si="44"/>
        <v>232.53933555696858</v>
      </c>
    </row>
    <row r="558" spans="1:6" x14ac:dyDescent="0.25">
      <c r="A558" s="1">
        <f t="shared" si="41"/>
        <v>50378</v>
      </c>
      <c r="B558" s="57">
        <v>60</v>
      </c>
      <c r="C558" s="57">
        <f t="shared" si="42"/>
        <v>33120</v>
      </c>
      <c r="D558" s="57">
        <f t="shared" si="43"/>
        <v>81199.558860996884</v>
      </c>
      <c r="E558" s="57">
        <f t="shared" si="40"/>
        <v>48079.558860996884</v>
      </c>
      <c r="F558" s="57">
        <f t="shared" si="44"/>
        <v>233.38319902491639</v>
      </c>
    </row>
    <row r="559" spans="1:6" x14ac:dyDescent="0.25">
      <c r="A559" s="1">
        <f t="shared" si="41"/>
        <v>50392</v>
      </c>
      <c r="B559" s="57">
        <v>60</v>
      </c>
      <c r="C559" s="57">
        <f t="shared" si="42"/>
        <v>33180</v>
      </c>
      <c r="D559" s="57">
        <f t="shared" si="43"/>
        <v>81493.788357711295</v>
      </c>
      <c r="E559" s="57">
        <f t="shared" si="40"/>
        <v>48313.788357711295</v>
      </c>
      <c r="F559" s="57">
        <f t="shared" si="44"/>
        <v>234.22949671441165</v>
      </c>
    </row>
    <row r="560" spans="1:6" x14ac:dyDescent="0.25">
      <c r="A560" s="1">
        <f t="shared" si="41"/>
        <v>50406</v>
      </c>
      <c r="B560" s="57">
        <v>60</v>
      </c>
      <c r="C560" s="57">
        <f t="shared" si="42"/>
        <v>33240</v>
      </c>
      <c r="D560" s="57">
        <f t="shared" si="43"/>
        <v>81788.866593358543</v>
      </c>
      <c r="E560" s="57">
        <f t="shared" si="40"/>
        <v>48548.866593358543</v>
      </c>
      <c r="F560" s="57">
        <f t="shared" si="44"/>
        <v>235.07823564724822</v>
      </c>
    </row>
    <row r="561" spans="1:6" x14ac:dyDescent="0.25">
      <c r="A561" s="1">
        <f t="shared" si="41"/>
        <v>50420</v>
      </c>
      <c r="B561" s="57">
        <v>60</v>
      </c>
      <c r="C561" s="57">
        <f t="shared" si="42"/>
        <v>33300</v>
      </c>
      <c r="D561" s="57">
        <f t="shared" si="43"/>
        <v>82084.796016224005</v>
      </c>
      <c r="E561" s="57">
        <f t="shared" si="40"/>
        <v>48784.796016224005</v>
      </c>
      <c r="F561" s="57">
        <f t="shared" si="44"/>
        <v>235.92942286546167</v>
      </c>
    </row>
    <row r="562" spans="1:6" x14ac:dyDescent="0.25">
      <c r="A562" s="1">
        <f t="shared" si="41"/>
        <v>50434</v>
      </c>
      <c r="B562" s="57">
        <v>60</v>
      </c>
      <c r="C562" s="57">
        <f t="shared" si="42"/>
        <v>33360</v>
      </c>
      <c r="D562" s="57">
        <f t="shared" si="43"/>
        <v>82381.579081655422</v>
      </c>
      <c r="E562" s="57">
        <f t="shared" si="40"/>
        <v>49021.579081655422</v>
      </c>
      <c r="F562" s="57">
        <f t="shared" si="44"/>
        <v>236.78306543141662</v>
      </c>
    </row>
    <row r="563" spans="1:6" x14ac:dyDescent="0.25">
      <c r="A563" s="1">
        <f t="shared" si="41"/>
        <v>50448</v>
      </c>
      <c r="B563" s="57">
        <v>60</v>
      </c>
      <c r="C563" s="57">
        <f t="shared" si="42"/>
        <v>33420</v>
      </c>
      <c r="D563" s="57">
        <f t="shared" si="43"/>
        <v>82679.218252083272</v>
      </c>
      <c r="E563" s="57">
        <f t="shared" si="40"/>
        <v>49259.218252083272</v>
      </c>
      <c r="F563" s="57">
        <f t="shared" si="44"/>
        <v>237.63917042785033</v>
      </c>
    </row>
    <row r="564" spans="1:6" x14ac:dyDescent="0.25">
      <c r="A564" s="1">
        <f t="shared" si="41"/>
        <v>50462</v>
      </c>
      <c r="B564" s="57">
        <v>60</v>
      </c>
      <c r="C564" s="57">
        <f t="shared" si="42"/>
        <v>33480</v>
      </c>
      <c r="D564" s="57">
        <f t="shared" si="43"/>
        <v>82977.715997041203</v>
      </c>
      <c r="E564" s="57">
        <f t="shared" si="40"/>
        <v>49497.715997041203</v>
      </c>
      <c r="F564" s="57">
        <f t="shared" si="44"/>
        <v>238.49774495793099</v>
      </c>
    </row>
    <row r="565" spans="1:6" x14ac:dyDescent="0.25">
      <c r="A565" s="1">
        <f t="shared" si="41"/>
        <v>50476</v>
      </c>
      <c r="B565" s="57">
        <v>60</v>
      </c>
      <c r="C565" s="57">
        <f t="shared" si="42"/>
        <v>33540</v>
      </c>
      <c r="D565" s="57">
        <f t="shared" si="43"/>
        <v>83277.074793186519</v>
      </c>
      <c r="E565" s="57">
        <f t="shared" si="40"/>
        <v>49737.074793186519</v>
      </c>
      <c r="F565" s="57">
        <f t="shared" si="44"/>
        <v>239.35879614531586</v>
      </c>
    </row>
    <row r="566" spans="1:6" x14ac:dyDescent="0.25">
      <c r="A566" s="1">
        <f t="shared" si="41"/>
        <v>50490</v>
      </c>
      <c r="B566" s="57">
        <v>60</v>
      </c>
      <c r="C566" s="57">
        <f t="shared" si="42"/>
        <v>33600</v>
      </c>
      <c r="D566" s="57">
        <f t="shared" si="43"/>
        <v>83577.297124320714</v>
      </c>
      <c r="E566" s="57">
        <f t="shared" si="40"/>
        <v>49977.297124320714</v>
      </c>
      <c r="F566" s="57">
        <f t="shared" si="44"/>
        <v>240.22233113419497</v>
      </c>
    </row>
    <row r="567" spans="1:6" x14ac:dyDescent="0.25">
      <c r="A567" s="1">
        <f t="shared" si="41"/>
        <v>50504</v>
      </c>
      <c r="B567" s="57">
        <v>60</v>
      </c>
      <c r="C567" s="57">
        <f t="shared" si="42"/>
        <v>33660</v>
      </c>
      <c r="D567" s="57">
        <f t="shared" si="43"/>
        <v>83878.385481410107</v>
      </c>
      <c r="E567" s="57">
        <f t="shared" si="40"/>
        <v>50218.385481410107</v>
      </c>
      <c r="F567" s="57">
        <f t="shared" si="44"/>
        <v>241.08835708939296</v>
      </c>
    </row>
    <row r="568" spans="1:6" x14ac:dyDescent="0.25">
      <c r="A568" s="1">
        <f t="shared" si="41"/>
        <v>50518</v>
      </c>
      <c r="B568" s="57">
        <v>60</v>
      </c>
      <c r="C568" s="57">
        <f t="shared" si="42"/>
        <v>33720</v>
      </c>
      <c r="D568" s="57">
        <f t="shared" si="43"/>
        <v>84180.342362606476</v>
      </c>
      <c r="E568" s="57">
        <f t="shared" si="40"/>
        <v>50460.342362606476</v>
      </c>
      <c r="F568" s="57">
        <f t="shared" si="44"/>
        <v>241.95688119636907</v>
      </c>
    </row>
    <row r="569" spans="1:6" x14ac:dyDescent="0.25">
      <c r="A569" s="1">
        <f t="shared" si="41"/>
        <v>50532</v>
      </c>
      <c r="B569" s="57">
        <v>60</v>
      </c>
      <c r="C569" s="57">
        <f t="shared" si="42"/>
        <v>33780</v>
      </c>
      <c r="D569" s="57">
        <f t="shared" si="43"/>
        <v>84483.170273267839</v>
      </c>
      <c r="E569" s="57">
        <f t="shared" si="40"/>
        <v>50703.170273267839</v>
      </c>
      <c r="F569" s="57">
        <f t="shared" si="44"/>
        <v>242.82791066136269</v>
      </c>
    </row>
    <row r="570" spans="1:6" x14ac:dyDescent="0.25">
      <c r="A570" s="1">
        <f t="shared" si="41"/>
        <v>50546</v>
      </c>
      <c r="B570" s="57">
        <v>60</v>
      </c>
      <c r="C570" s="57">
        <f t="shared" si="42"/>
        <v>33840</v>
      </c>
      <c r="D570" s="57">
        <f t="shared" si="43"/>
        <v>84786.871725979188</v>
      </c>
      <c r="E570" s="57">
        <f t="shared" si="40"/>
        <v>50946.871725979188</v>
      </c>
      <c r="F570" s="57">
        <f t="shared" si="44"/>
        <v>243.7014527113497</v>
      </c>
    </row>
    <row r="571" spans="1:6" x14ac:dyDescent="0.25">
      <c r="A571" s="1">
        <f t="shared" si="41"/>
        <v>50560</v>
      </c>
      <c r="B571" s="57">
        <v>60</v>
      </c>
      <c r="C571" s="57">
        <f t="shared" si="42"/>
        <v>33900</v>
      </c>
      <c r="D571" s="57">
        <f t="shared" si="43"/>
        <v>85091.449240573362</v>
      </c>
      <c r="E571" s="57">
        <f t="shared" si="40"/>
        <v>51191.449240573362</v>
      </c>
      <c r="F571" s="57">
        <f t="shared" si="44"/>
        <v>244.57751459417341</v>
      </c>
    </row>
    <row r="572" spans="1:6" x14ac:dyDescent="0.25">
      <c r="A572" s="1">
        <f t="shared" si="41"/>
        <v>50574</v>
      </c>
      <c r="B572" s="57">
        <v>60</v>
      </c>
      <c r="C572" s="57">
        <f t="shared" si="42"/>
        <v>33960</v>
      </c>
      <c r="D572" s="57">
        <f t="shared" si="43"/>
        <v>85396.905344151935</v>
      </c>
      <c r="E572" s="57">
        <f t="shared" si="40"/>
        <v>51436.905344151935</v>
      </c>
      <c r="F572" s="57">
        <f t="shared" si="44"/>
        <v>245.45610357857367</v>
      </c>
    </row>
    <row r="573" spans="1:6" x14ac:dyDescent="0.25">
      <c r="A573" s="1">
        <f t="shared" si="41"/>
        <v>50588</v>
      </c>
      <c r="B573" s="57">
        <v>60</v>
      </c>
      <c r="C573" s="57">
        <f t="shared" si="42"/>
        <v>34020</v>
      </c>
      <c r="D573" s="57">
        <f t="shared" si="43"/>
        <v>85703.242571106224</v>
      </c>
      <c r="E573" s="57">
        <f t="shared" si="40"/>
        <v>51683.242571106224</v>
      </c>
      <c r="F573" s="57">
        <f t="shared" si="44"/>
        <v>246.33722695428878</v>
      </c>
    </row>
    <row r="574" spans="1:6" x14ac:dyDescent="0.25">
      <c r="A574" s="1">
        <f t="shared" si="41"/>
        <v>50602</v>
      </c>
      <c r="B574" s="57">
        <v>60</v>
      </c>
      <c r="C574" s="57">
        <f t="shared" si="42"/>
        <v>34080</v>
      </c>
      <c r="D574" s="57">
        <f t="shared" si="43"/>
        <v>86010.463463138265</v>
      </c>
      <c r="E574" s="57">
        <f t="shared" si="40"/>
        <v>51930.463463138265</v>
      </c>
      <c r="F574" s="57">
        <f t="shared" si="44"/>
        <v>247.22089203204087</v>
      </c>
    </row>
    <row r="575" spans="1:6" x14ac:dyDescent="0.25">
      <c r="A575" s="1">
        <f t="shared" si="41"/>
        <v>50616</v>
      </c>
      <c r="B575" s="57">
        <v>60</v>
      </c>
      <c r="C575" s="57">
        <f t="shared" si="42"/>
        <v>34140</v>
      </c>
      <c r="D575" s="57">
        <f t="shared" si="43"/>
        <v>86318.570569281932</v>
      </c>
      <c r="E575" s="57">
        <f t="shared" si="40"/>
        <v>52178.570569281932</v>
      </c>
      <c r="F575" s="57">
        <f t="shared" si="44"/>
        <v>248.1071061436669</v>
      </c>
    </row>
    <row r="576" spans="1:6" x14ac:dyDescent="0.25">
      <c r="A576" s="1">
        <f t="shared" si="41"/>
        <v>50630</v>
      </c>
      <c r="B576" s="57">
        <v>60</v>
      </c>
      <c r="C576" s="57">
        <f t="shared" si="42"/>
        <v>34200</v>
      </c>
      <c r="D576" s="57">
        <f t="shared" si="43"/>
        <v>86627.566445924094</v>
      </c>
      <c r="E576" s="57">
        <f t="shared" si="40"/>
        <v>52427.566445924094</v>
      </c>
      <c r="F576" s="57">
        <f t="shared" si="44"/>
        <v>248.99587664216233</v>
      </c>
    </row>
    <row r="577" spans="1:6" x14ac:dyDescent="0.25">
      <c r="A577" s="1">
        <f t="shared" si="41"/>
        <v>50644</v>
      </c>
      <c r="B577" s="57">
        <v>60</v>
      </c>
      <c r="C577" s="57">
        <f t="shared" si="42"/>
        <v>34260</v>
      </c>
      <c r="D577" s="57">
        <f t="shared" si="43"/>
        <v>86937.453656825805</v>
      </c>
      <c r="E577" s="57">
        <f t="shared" si="40"/>
        <v>52677.453656825805</v>
      </c>
      <c r="F577" s="57">
        <f t="shared" si="44"/>
        <v>249.8872109017102</v>
      </c>
    </row>
    <row r="578" spans="1:6" x14ac:dyDescent="0.25">
      <c r="A578" s="1">
        <f t="shared" si="41"/>
        <v>50658</v>
      </c>
      <c r="B578" s="57">
        <v>60</v>
      </c>
      <c r="C578" s="57">
        <f t="shared" si="42"/>
        <v>34320</v>
      </c>
      <c r="D578" s="57">
        <f t="shared" si="43"/>
        <v>87248.234773143573</v>
      </c>
      <c r="E578" s="57">
        <f t="shared" si="40"/>
        <v>52928.234773143573</v>
      </c>
      <c r="F578" s="57">
        <f t="shared" si="44"/>
        <v>250.78111631776846</v>
      </c>
    </row>
    <row r="579" spans="1:6" x14ac:dyDescent="0.25">
      <c r="A579" s="1">
        <f t="shared" si="41"/>
        <v>50672</v>
      </c>
      <c r="B579" s="57">
        <v>60</v>
      </c>
      <c r="C579" s="57">
        <f t="shared" si="42"/>
        <v>34380</v>
      </c>
      <c r="D579" s="57">
        <f t="shared" si="43"/>
        <v>87559.912373450716</v>
      </c>
      <c r="E579" s="57">
        <f t="shared" si="40"/>
        <v>53179.912373450716</v>
      </c>
      <c r="F579" s="57">
        <f t="shared" si="44"/>
        <v>251.67760030714271</v>
      </c>
    </row>
    <row r="580" spans="1:6" x14ac:dyDescent="0.25">
      <c r="A580" s="1">
        <f t="shared" si="41"/>
        <v>50686</v>
      </c>
      <c r="B580" s="57">
        <v>60</v>
      </c>
      <c r="C580" s="57">
        <f t="shared" si="42"/>
        <v>34440</v>
      </c>
      <c r="D580" s="57">
        <f t="shared" si="43"/>
        <v>87872.489043758746</v>
      </c>
      <c r="E580" s="57">
        <f t="shared" si="40"/>
        <v>53432.489043758746</v>
      </c>
      <c r="F580" s="57">
        <f t="shared" si="44"/>
        <v>252.57667030802986</v>
      </c>
    </row>
    <row r="581" spans="1:6" x14ac:dyDescent="0.25">
      <c r="A581" s="1">
        <f t="shared" si="41"/>
        <v>50700</v>
      </c>
      <c r="B581" s="57">
        <v>60</v>
      </c>
      <c r="C581" s="57">
        <f t="shared" si="42"/>
        <v>34500</v>
      </c>
      <c r="D581" s="57">
        <f t="shared" si="43"/>
        <v>88185.967377538822</v>
      </c>
      <c r="E581" s="57">
        <f t="shared" si="40"/>
        <v>53685.967377538822</v>
      </c>
      <c r="F581" s="57">
        <f t="shared" si="44"/>
        <v>253.47833378007635</v>
      </c>
    </row>
    <row r="582" spans="1:6" x14ac:dyDescent="0.25">
      <c r="A582" s="1">
        <f t="shared" si="41"/>
        <v>50714</v>
      </c>
      <c r="B582" s="57">
        <v>60</v>
      </c>
      <c r="C582" s="57">
        <f t="shared" si="42"/>
        <v>34560</v>
      </c>
      <c r="D582" s="57">
        <f t="shared" si="43"/>
        <v>88500.349975743258</v>
      </c>
      <c r="E582" s="57">
        <f t="shared" ref="E582:E638" si="45">D582-C582</f>
        <v>53940.349975743258</v>
      </c>
      <c r="F582" s="57">
        <f t="shared" si="44"/>
        <v>254.38259820443636</v>
      </c>
    </row>
    <row r="583" spans="1:6" x14ac:dyDescent="0.25">
      <c r="A583" s="1">
        <f t="shared" ref="A583:A638" si="46">A582+14</f>
        <v>50728</v>
      </c>
      <c r="B583" s="57">
        <v>60</v>
      </c>
      <c r="C583" s="57">
        <f t="shared" ref="C583:C638" si="47">C582+B583</f>
        <v>34620</v>
      </c>
      <c r="D583" s="57">
        <f t="shared" ref="D583:D638" si="48">D582*(1+$D$2) + B583</f>
        <v>88815.639446827132</v>
      </c>
      <c r="E583" s="57">
        <f t="shared" si="45"/>
        <v>54195.639446827132</v>
      </c>
      <c r="F583" s="57">
        <f t="shared" ref="F583:F638" si="49">E583-E582</f>
        <v>255.28947108387365</v>
      </c>
    </row>
    <row r="584" spans="1:6" x14ac:dyDescent="0.25">
      <c r="A584" s="1">
        <f t="shared" si="46"/>
        <v>50742</v>
      </c>
      <c r="B584" s="57">
        <v>60</v>
      </c>
      <c r="C584" s="57">
        <f t="shared" si="47"/>
        <v>34680</v>
      </c>
      <c r="D584" s="57">
        <f t="shared" si="48"/>
        <v>89131.838406769908</v>
      </c>
      <c r="E584" s="57">
        <f t="shared" si="45"/>
        <v>54451.838406769908</v>
      </c>
      <c r="F584" s="57">
        <f t="shared" si="49"/>
        <v>256.19895994277613</v>
      </c>
    </row>
    <row r="585" spans="1:6" x14ac:dyDescent="0.25">
      <c r="A585" s="1">
        <f t="shared" si="46"/>
        <v>50756</v>
      </c>
      <c r="B585" s="57">
        <v>60</v>
      </c>
      <c r="C585" s="57">
        <f t="shared" si="47"/>
        <v>34740</v>
      </c>
      <c r="D585" s="57">
        <f t="shared" si="48"/>
        <v>89448.949479097122</v>
      </c>
      <c r="E585" s="57">
        <f t="shared" si="45"/>
        <v>54708.949479097122</v>
      </c>
      <c r="F585" s="57">
        <f t="shared" si="49"/>
        <v>257.11107232721406</v>
      </c>
    </row>
    <row r="586" spans="1:6" x14ac:dyDescent="0.25">
      <c r="A586" s="1">
        <f t="shared" si="46"/>
        <v>50770</v>
      </c>
      <c r="B586" s="57">
        <v>60</v>
      </c>
      <c r="C586" s="57">
        <f t="shared" si="47"/>
        <v>34800</v>
      </c>
      <c r="D586" s="57">
        <f t="shared" si="48"/>
        <v>89766.975294902208</v>
      </c>
      <c r="E586" s="57">
        <f t="shared" si="45"/>
        <v>54966.975294902208</v>
      </c>
      <c r="F586" s="57">
        <f t="shared" si="49"/>
        <v>258.02581580508559</v>
      </c>
    </row>
    <row r="587" spans="1:6" x14ac:dyDescent="0.25">
      <c r="A587" s="1">
        <f t="shared" si="46"/>
        <v>50784</v>
      </c>
      <c r="B587" s="57">
        <v>60</v>
      </c>
      <c r="C587" s="57">
        <f t="shared" si="47"/>
        <v>34860</v>
      </c>
      <c r="D587" s="57">
        <f t="shared" si="48"/>
        <v>90085.918492868266</v>
      </c>
      <c r="E587" s="57">
        <f t="shared" si="45"/>
        <v>55225.918492868266</v>
      </c>
      <c r="F587" s="57">
        <f t="shared" si="49"/>
        <v>258.94319796605851</v>
      </c>
    </row>
    <row r="588" spans="1:6" x14ac:dyDescent="0.25">
      <c r="A588" s="1">
        <f t="shared" si="46"/>
        <v>50798</v>
      </c>
      <c r="B588" s="57">
        <v>60</v>
      </c>
      <c r="C588" s="57">
        <f t="shared" si="47"/>
        <v>34920</v>
      </c>
      <c r="D588" s="57">
        <f t="shared" si="48"/>
        <v>90405.781719289997</v>
      </c>
      <c r="E588" s="57">
        <f t="shared" si="45"/>
        <v>55485.781719289997</v>
      </c>
      <c r="F588" s="57">
        <f t="shared" si="49"/>
        <v>259.86322642173036</v>
      </c>
    </row>
    <row r="589" spans="1:6" x14ac:dyDescent="0.25">
      <c r="A589" s="1">
        <f t="shared" si="46"/>
        <v>50812</v>
      </c>
      <c r="B589" s="57">
        <v>60</v>
      </c>
      <c r="C589" s="57">
        <f t="shared" si="47"/>
        <v>34980</v>
      </c>
      <c r="D589" s="57">
        <f t="shared" si="48"/>
        <v>90726.56762809564</v>
      </c>
      <c r="E589" s="57">
        <f t="shared" si="45"/>
        <v>55746.56762809564</v>
      </c>
      <c r="F589" s="57">
        <f t="shared" si="49"/>
        <v>260.78590880564298</v>
      </c>
    </row>
    <row r="590" spans="1:6" x14ac:dyDescent="0.25">
      <c r="A590" s="1">
        <f t="shared" si="46"/>
        <v>50826</v>
      </c>
      <c r="B590" s="57">
        <v>60</v>
      </c>
      <c r="C590" s="57">
        <f t="shared" si="47"/>
        <v>35040</v>
      </c>
      <c r="D590" s="57">
        <f t="shared" si="48"/>
        <v>91048.278880868995</v>
      </c>
      <c r="E590" s="57">
        <f t="shared" si="45"/>
        <v>56008.278880868995</v>
      </c>
      <c r="F590" s="57">
        <f t="shared" si="49"/>
        <v>261.71125277335523</v>
      </c>
    </row>
    <row r="591" spans="1:6" x14ac:dyDescent="0.25">
      <c r="A591" s="1">
        <f t="shared" si="46"/>
        <v>50840</v>
      </c>
      <c r="B591" s="57">
        <v>60</v>
      </c>
      <c r="C591" s="57">
        <f t="shared" si="47"/>
        <v>35100</v>
      </c>
      <c r="D591" s="57">
        <f t="shared" si="48"/>
        <v>91370.918146871496</v>
      </c>
      <c r="E591" s="57">
        <f t="shared" si="45"/>
        <v>56270.918146871496</v>
      </c>
      <c r="F591" s="57">
        <f t="shared" si="49"/>
        <v>262.63926600250124</v>
      </c>
    </row>
    <row r="592" spans="1:6" x14ac:dyDescent="0.25">
      <c r="A592" s="1">
        <f t="shared" si="46"/>
        <v>50854</v>
      </c>
      <c r="B592" s="57">
        <v>60</v>
      </c>
      <c r="C592" s="57">
        <f t="shared" si="47"/>
        <v>35160</v>
      </c>
      <c r="D592" s="57">
        <f t="shared" si="48"/>
        <v>91694.488103064388</v>
      </c>
      <c r="E592" s="57">
        <f t="shared" si="45"/>
        <v>56534.488103064388</v>
      </c>
      <c r="F592" s="57">
        <f t="shared" si="49"/>
        <v>263.56995619289228</v>
      </c>
    </row>
    <row r="593" spans="1:6" x14ac:dyDescent="0.25">
      <c r="A593" s="1">
        <f t="shared" si="46"/>
        <v>50868</v>
      </c>
      <c r="B593" s="57">
        <v>60</v>
      </c>
      <c r="C593" s="57">
        <f t="shared" si="47"/>
        <v>35220</v>
      </c>
      <c r="D593" s="57">
        <f t="shared" si="48"/>
        <v>92018.99143413092</v>
      </c>
      <c r="E593" s="57">
        <f t="shared" si="45"/>
        <v>56798.99143413092</v>
      </c>
      <c r="F593" s="57">
        <f t="shared" si="49"/>
        <v>264.50333106653125</v>
      </c>
    </row>
    <row r="594" spans="1:6" x14ac:dyDescent="0.25">
      <c r="A594" s="1">
        <f t="shared" si="46"/>
        <v>50882</v>
      </c>
      <c r="B594" s="57">
        <v>60</v>
      </c>
      <c r="C594" s="57">
        <f t="shared" si="47"/>
        <v>35280</v>
      </c>
      <c r="D594" s="57">
        <f t="shared" si="48"/>
        <v>92344.430832498605</v>
      </c>
      <c r="E594" s="57">
        <f t="shared" si="45"/>
        <v>57064.430832498605</v>
      </c>
      <c r="F594" s="57">
        <f t="shared" si="49"/>
        <v>265.4393983676855</v>
      </c>
    </row>
    <row r="595" spans="1:6" x14ac:dyDescent="0.25">
      <c r="A595" s="1">
        <f t="shared" si="46"/>
        <v>50896</v>
      </c>
      <c r="B595" s="57">
        <v>60</v>
      </c>
      <c r="C595" s="57">
        <f t="shared" si="47"/>
        <v>35340</v>
      </c>
      <c r="D595" s="57">
        <f t="shared" si="48"/>
        <v>92670.808998361579</v>
      </c>
      <c r="E595" s="57">
        <f t="shared" si="45"/>
        <v>57330.808998361579</v>
      </c>
      <c r="F595" s="57">
        <f t="shared" si="49"/>
        <v>266.37816586297413</v>
      </c>
    </row>
    <row r="596" spans="1:6" x14ac:dyDescent="0.25">
      <c r="A596" s="1">
        <f t="shared" si="46"/>
        <v>50910</v>
      </c>
      <c r="B596" s="57">
        <v>60</v>
      </c>
      <c r="C596" s="57">
        <f t="shared" si="47"/>
        <v>35400</v>
      </c>
      <c r="D596" s="57">
        <f t="shared" si="48"/>
        <v>92998.128639703005</v>
      </c>
      <c r="E596" s="57">
        <f t="shared" si="45"/>
        <v>57598.128639703005</v>
      </c>
      <c r="F596" s="57">
        <f t="shared" si="49"/>
        <v>267.31964134142618</v>
      </c>
    </row>
    <row r="597" spans="1:6" x14ac:dyDescent="0.25">
      <c r="A597" s="1">
        <f t="shared" si="46"/>
        <v>50924</v>
      </c>
      <c r="B597" s="57">
        <v>60</v>
      </c>
      <c r="C597" s="57">
        <f t="shared" si="47"/>
        <v>35460</v>
      </c>
      <c r="D597" s="57">
        <f t="shared" si="48"/>
        <v>93326.39247231753</v>
      </c>
      <c r="E597" s="57">
        <f t="shared" si="45"/>
        <v>57866.39247231753</v>
      </c>
      <c r="F597" s="57">
        <f t="shared" si="49"/>
        <v>268.26383261452429</v>
      </c>
    </row>
    <row r="598" spans="1:6" x14ac:dyDescent="0.25">
      <c r="A598" s="1">
        <f t="shared" si="46"/>
        <v>50938</v>
      </c>
      <c r="B598" s="57">
        <v>60</v>
      </c>
      <c r="C598" s="57">
        <f t="shared" si="47"/>
        <v>35520</v>
      </c>
      <c r="D598" s="57">
        <f t="shared" si="48"/>
        <v>93655.603219833836</v>
      </c>
      <c r="E598" s="57">
        <f t="shared" si="45"/>
        <v>58135.603219833836</v>
      </c>
      <c r="F598" s="57">
        <f t="shared" si="49"/>
        <v>269.21074751630658</v>
      </c>
    </row>
    <row r="599" spans="1:6" x14ac:dyDescent="0.25">
      <c r="A599" s="1">
        <f t="shared" si="46"/>
        <v>50952</v>
      </c>
      <c r="B599" s="57">
        <v>60</v>
      </c>
      <c r="C599" s="57">
        <f t="shared" si="47"/>
        <v>35580</v>
      </c>
      <c r="D599" s="57">
        <f t="shared" si="48"/>
        <v>93985.763613737203</v>
      </c>
      <c r="E599" s="57">
        <f t="shared" si="45"/>
        <v>58405.763613737203</v>
      </c>
      <c r="F599" s="57">
        <f t="shared" si="49"/>
        <v>270.16039390336664</v>
      </c>
    </row>
    <row r="600" spans="1:6" x14ac:dyDescent="0.25">
      <c r="A600" s="1">
        <f t="shared" si="46"/>
        <v>50966</v>
      </c>
      <c r="B600" s="57">
        <v>60</v>
      </c>
      <c r="C600" s="57">
        <f t="shared" si="47"/>
        <v>35640</v>
      </c>
      <c r="D600" s="57">
        <f t="shared" si="48"/>
        <v>94316.876393392216</v>
      </c>
      <c r="E600" s="57">
        <f t="shared" si="45"/>
        <v>58676.876393392216</v>
      </c>
      <c r="F600" s="57">
        <f t="shared" si="49"/>
        <v>271.11277965501358</v>
      </c>
    </row>
    <row r="601" spans="1:6" x14ac:dyDescent="0.25">
      <c r="A601" s="1">
        <f t="shared" si="46"/>
        <v>50980</v>
      </c>
      <c r="B601" s="57">
        <v>60</v>
      </c>
      <c r="C601" s="57">
        <f t="shared" si="47"/>
        <v>35700</v>
      </c>
      <c r="D601" s="57">
        <f t="shared" si="48"/>
        <v>94648.944306065459</v>
      </c>
      <c r="E601" s="57">
        <f t="shared" si="45"/>
        <v>58948.944306065459</v>
      </c>
      <c r="F601" s="57">
        <f t="shared" si="49"/>
        <v>272.06791267324297</v>
      </c>
    </row>
    <row r="602" spans="1:6" x14ac:dyDescent="0.25">
      <c r="A602" s="1">
        <f t="shared" si="46"/>
        <v>50994</v>
      </c>
      <c r="B602" s="57">
        <v>60</v>
      </c>
      <c r="C602" s="57">
        <f t="shared" si="47"/>
        <v>35760</v>
      </c>
      <c r="D602" s="57">
        <f t="shared" si="48"/>
        <v>94981.970106948342</v>
      </c>
      <c r="E602" s="57">
        <f t="shared" si="45"/>
        <v>59221.970106948342</v>
      </c>
      <c r="F602" s="57">
        <f t="shared" si="49"/>
        <v>273.02580088288232</v>
      </c>
    </row>
    <row r="603" spans="1:6" x14ac:dyDescent="0.25">
      <c r="A603" s="1">
        <f t="shared" si="46"/>
        <v>51008</v>
      </c>
      <c r="B603" s="57">
        <v>60</v>
      </c>
      <c r="C603" s="57">
        <f t="shared" si="47"/>
        <v>35820</v>
      </c>
      <c r="D603" s="57">
        <f t="shared" si="48"/>
        <v>95315.956559179918</v>
      </c>
      <c r="E603" s="57">
        <f t="shared" si="45"/>
        <v>59495.956559179918</v>
      </c>
      <c r="F603" s="57">
        <f t="shared" si="49"/>
        <v>273.98645223157655</v>
      </c>
    </row>
    <row r="604" spans="1:6" x14ac:dyDescent="0.25">
      <c r="A604" s="1">
        <f t="shared" si="46"/>
        <v>51022</v>
      </c>
      <c r="B604" s="57">
        <v>60</v>
      </c>
      <c r="C604" s="57">
        <f t="shared" si="47"/>
        <v>35880</v>
      </c>
      <c r="D604" s="57">
        <f t="shared" si="48"/>
        <v>95650.906433869866</v>
      </c>
      <c r="E604" s="57">
        <f t="shared" si="45"/>
        <v>59770.906433869866</v>
      </c>
      <c r="F604" s="57">
        <f t="shared" si="49"/>
        <v>274.94987468994805</v>
      </c>
    </row>
    <row r="605" spans="1:6" x14ac:dyDescent="0.25">
      <c r="A605" s="1">
        <f t="shared" si="46"/>
        <v>51036</v>
      </c>
      <c r="B605" s="57">
        <v>60</v>
      </c>
      <c r="C605" s="57">
        <f t="shared" si="47"/>
        <v>35940</v>
      </c>
      <c r="D605" s="57">
        <f t="shared" si="48"/>
        <v>95986.822510121419</v>
      </c>
      <c r="E605" s="57">
        <f t="shared" si="45"/>
        <v>60046.822510121419</v>
      </c>
      <c r="F605" s="57">
        <f t="shared" si="49"/>
        <v>275.91607625155302</v>
      </c>
    </row>
    <row r="606" spans="1:6" x14ac:dyDescent="0.25">
      <c r="A606" s="1">
        <f t="shared" si="46"/>
        <v>51050</v>
      </c>
      <c r="B606" s="57">
        <v>60</v>
      </c>
      <c r="C606" s="57">
        <f t="shared" si="47"/>
        <v>36000</v>
      </c>
      <c r="D606" s="57">
        <f t="shared" si="48"/>
        <v>96323.707575054461</v>
      </c>
      <c r="E606" s="57">
        <f t="shared" si="45"/>
        <v>60323.707575054461</v>
      </c>
      <c r="F606" s="57">
        <f t="shared" si="49"/>
        <v>276.88506493304158</v>
      </c>
    </row>
    <row r="607" spans="1:6" x14ac:dyDescent="0.25">
      <c r="A607" s="1">
        <f t="shared" si="46"/>
        <v>51064</v>
      </c>
      <c r="B607" s="57">
        <v>60</v>
      </c>
      <c r="C607" s="57">
        <f t="shared" si="47"/>
        <v>36060</v>
      </c>
      <c r="D607" s="57">
        <f t="shared" si="48"/>
        <v>96661.564423828662</v>
      </c>
      <c r="E607" s="57">
        <f t="shared" si="45"/>
        <v>60601.564423828662</v>
      </c>
      <c r="F607" s="57">
        <f t="shared" si="49"/>
        <v>277.85684877420135</v>
      </c>
    </row>
    <row r="608" spans="1:6" x14ac:dyDescent="0.25">
      <c r="A608" s="1">
        <f t="shared" si="46"/>
        <v>51078</v>
      </c>
      <c r="B608" s="57">
        <v>60</v>
      </c>
      <c r="C608" s="57">
        <f t="shared" si="47"/>
        <v>36120</v>
      </c>
      <c r="D608" s="57">
        <f t="shared" si="48"/>
        <v>97000.395859666634</v>
      </c>
      <c r="E608" s="57">
        <f t="shared" si="45"/>
        <v>60880.395859666634</v>
      </c>
      <c r="F608" s="57">
        <f t="shared" si="49"/>
        <v>278.83143583797209</v>
      </c>
    </row>
    <row r="609" spans="1:6" x14ac:dyDescent="0.25">
      <c r="A609" s="1">
        <f t="shared" si="46"/>
        <v>51092</v>
      </c>
      <c r="B609" s="57">
        <v>60</v>
      </c>
      <c r="C609" s="57">
        <f t="shared" si="47"/>
        <v>36180</v>
      </c>
      <c r="D609" s="57">
        <f t="shared" si="48"/>
        <v>97340.204693877211</v>
      </c>
      <c r="E609" s="57">
        <f t="shared" si="45"/>
        <v>61160.204693877211</v>
      </c>
      <c r="F609" s="57">
        <f t="shared" si="49"/>
        <v>279.80883421057661</v>
      </c>
    </row>
    <row r="610" spans="1:6" x14ac:dyDescent="0.25">
      <c r="A610" s="1">
        <f t="shared" si="46"/>
        <v>51106</v>
      </c>
      <c r="B610" s="57">
        <v>60</v>
      </c>
      <c r="C610" s="57">
        <f t="shared" si="47"/>
        <v>36240</v>
      </c>
      <c r="D610" s="57">
        <f t="shared" si="48"/>
        <v>97680.993745878775</v>
      </c>
      <c r="E610" s="57">
        <f t="shared" si="45"/>
        <v>61440.993745878775</v>
      </c>
      <c r="F610" s="57">
        <f t="shared" si="49"/>
        <v>280.78905200156441</v>
      </c>
    </row>
    <row r="611" spans="1:6" x14ac:dyDescent="0.25">
      <c r="A611" s="1">
        <f t="shared" si="46"/>
        <v>51120</v>
      </c>
      <c r="B611" s="57">
        <v>60</v>
      </c>
      <c r="C611" s="57">
        <f t="shared" si="47"/>
        <v>36300</v>
      </c>
      <c r="D611" s="57">
        <f t="shared" si="48"/>
        <v>98022.76584322266</v>
      </c>
      <c r="E611" s="57">
        <f t="shared" si="45"/>
        <v>61722.76584322266</v>
      </c>
      <c r="F611" s="57">
        <f t="shared" si="49"/>
        <v>281.77209734388452</v>
      </c>
    </row>
    <row r="612" spans="1:6" x14ac:dyDescent="0.25">
      <c r="A612" s="1">
        <f t="shared" si="46"/>
        <v>51134</v>
      </c>
      <c r="B612" s="57">
        <v>60</v>
      </c>
      <c r="C612" s="57">
        <f t="shared" si="47"/>
        <v>36360</v>
      </c>
      <c r="D612" s="57">
        <f t="shared" si="48"/>
        <v>98365.523821616574</v>
      </c>
      <c r="E612" s="57">
        <f t="shared" si="45"/>
        <v>62005.523821616574</v>
      </c>
      <c r="F612" s="57">
        <f t="shared" si="49"/>
        <v>282.75797839391453</v>
      </c>
    </row>
    <row r="613" spans="1:6" x14ac:dyDescent="0.25">
      <c r="A613" s="1">
        <f t="shared" si="46"/>
        <v>51148</v>
      </c>
      <c r="B613" s="57">
        <v>60</v>
      </c>
      <c r="C613" s="57">
        <f t="shared" si="47"/>
        <v>36420</v>
      </c>
      <c r="D613" s="57">
        <f t="shared" si="48"/>
        <v>98709.270524948166</v>
      </c>
      <c r="E613" s="57">
        <f t="shared" si="45"/>
        <v>62289.270524948166</v>
      </c>
      <c r="F613" s="57">
        <f t="shared" si="49"/>
        <v>283.74670333159156</v>
      </c>
    </row>
    <row r="614" spans="1:6" x14ac:dyDescent="0.25">
      <c r="A614" s="1">
        <f t="shared" si="46"/>
        <v>51162</v>
      </c>
      <c r="B614" s="57">
        <v>60</v>
      </c>
      <c r="C614" s="57">
        <f t="shared" si="47"/>
        <v>36480</v>
      </c>
      <c r="D614" s="57">
        <f t="shared" si="48"/>
        <v>99054.008805308593</v>
      </c>
      <c r="E614" s="57">
        <f t="shared" si="45"/>
        <v>62574.008805308593</v>
      </c>
      <c r="F614" s="57">
        <f t="shared" si="49"/>
        <v>284.73828036042687</v>
      </c>
    </row>
    <row r="615" spans="1:6" x14ac:dyDescent="0.25">
      <c r="A615" s="1">
        <f t="shared" si="46"/>
        <v>51176</v>
      </c>
      <c r="B615" s="57">
        <v>60</v>
      </c>
      <c r="C615" s="57">
        <f t="shared" si="47"/>
        <v>36540</v>
      </c>
      <c r="D615" s="57">
        <f t="shared" si="48"/>
        <v>99399.741523016215</v>
      </c>
      <c r="E615" s="57">
        <f t="shared" si="45"/>
        <v>62859.741523016215</v>
      </c>
      <c r="F615" s="57">
        <f t="shared" si="49"/>
        <v>285.73271770762221</v>
      </c>
    </row>
    <row r="616" spans="1:6" x14ac:dyDescent="0.25">
      <c r="A616" s="1">
        <f t="shared" si="46"/>
        <v>51190</v>
      </c>
      <c r="B616" s="57">
        <v>60</v>
      </c>
      <c r="C616" s="57">
        <f t="shared" si="47"/>
        <v>36600</v>
      </c>
      <c r="D616" s="57">
        <f t="shared" si="48"/>
        <v>99746.471546640299</v>
      </c>
      <c r="E616" s="57">
        <f t="shared" si="45"/>
        <v>63146.471546640299</v>
      </c>
      <c r="F616" s="57">
        <f t="shared" si="49"/>
        <v>286.73002362408442</v>
      </c>
    </row>
    <row r="617" spans="1:6" x14ac:dyDescent="0.25">
      <c r="A617" s="1">
        <f t="shared" si="46"/>
        <v>51204</v>
      </c>
      <c r="B617" s="57">
        <v>60</v>
      </c>
      <c r="C617" s="57">
        <f t="shared" si="47"/>
        <v>36660</v>
      </c>
      <c r="D617" s="57">
        <f t="shared" si="48"/>
        <v>100094.20175302484</v>
      </c>
      <c r="E617" s="57">
        <f t="shared" si="45"/>
        <v>63434.201753024841</v>
      </c>
      <c r="F617" s="57">
        <f t="shared" si="49"/>
        <v>287.73020638454182</v>
      </c>
    </row>
    <row r="618" spans="1:6" x14ac:dyDescent="0.25">
      <c r="A618" s="1">
        <f t="shared" si="46"/>
        <v>51218</v>
      </c>
      <c r="B618" s="57">
        <v>60</v>
      </c>
      <c r="C618" s="57">
        <f t="shared" si="47"/>
        <v>36720</v>
      </c>
      <c r="D618" s="57">
        <f t="shared" si="48"/>
        <v>100442.93502731241</v>
      </c>
      <c r="E618" s="57">
        <f t="shared" si="45"/>
        <v>63722.935027312415</v>
      </c>
      <c r="F618" s="57">
        <f t="shared" si="49"/>
        <v>288.73327428757329</v>
      </c>
    </row>
    <row r="619" spans="1:6" x14ac:dyDescent="0.25">
      <c r="A619" s="1">
        <f t="shared" si="46"/>
        <v>51232</v>
      </c>
      <c r="B619" s="57">
        <v>60</v>
      </c>
      <c r="C619" s="57">
        <f t="shared" si="47"/>
        <v>36780</v>
      </c>
      <c r="D619" s="57">
        <f t="shared" si="48"/>
        <v>100792.67426296812</v>
      </c>
      <c r="E619" s="57">
        <f t="shared" si="45"/>
        <v>64012.674262968125</v>
      </c>
      <c r="F619" s="57">
        <f t="shared" si="49"/>
        <v>289.73923565571022</v>
      </c>
    </row>
    <row r="620" spans="1:6" x14ac:dyDescent="0.25">
      <c r="A620" s="1">
        <f t="shared" si="46"/>
        <v>51246</v>
      </c>
      <c r="B620" s="57">
        <v>60</v>
      </c>
      <c r="C620" s="57">
        <f t="shared" si="47"/>
        <v>36840</v>
      </c>
      <c r="D620" s="57">
        <f t="shared" si="48"/>
        <v>101143.4223618036</v>
      </c>
      <c r="E620" s="57">
        <f t="shared" si="45"/>
        <v>64303.422361803605</v>
      </c>
      <c r="F620" s="57">
        <f t="shared" si="49"/>
        <v>290.74809883548005</v>
      </c>
    </row>
    <row r="621" spans="1:6" x14ac:dyDescent="0.25">
      <c r="A621" s="1">
        <f t="shared" si="46"/>
        <v>51260</v>
      </c>
      <c r="B621" s="57">
        <v>60</v>
      </c>
      <c r="C621" s="57">
        <f t="shared" si="47"/>
        <v>36900</v>
      </c>
      <c r="D621" s="57">
        <f t="shared" si="48"/>
        <v>101495.18223400111</v>
      </c>
      <c r="E621" s="57">
        <f t="shared" si="45"/>
        <v>64595.182234001113</v>
      </c>
      <c r="F621" s="57">
        <f t="shared" si="49"/>
        <v>291.75987219750823</v>
      </c>
    </row>
    <row r="622" spans="1:6" x14ac:dyDescent="0.25">
      <c r="A622" s="1">
        <f t="shared" si="46"/>
        <v>51274</v>
      </c>
      <c r="B622" s="57">
        <v>60</v>
      </c>
      <c r="C622" s="57">
        <f t="shared" si="47"/>
        <v>36960</v>
      </c>
      <c r="D622" s="57">
        <f t="shared" si="48"/>
        <v>101847.95679813766</v>
      </c>
      <c r="E622" s="57">
        <f t="shared" si="45"/>
        <v>64887.95679813766</v>
      </c>
      <c r="F622" s="57">
        <f t="shared" si="49"/>
        <v>292.77456413654727</v>
      </c>
    </row>
    <row r="623" spans="1:6" x14ac:dyDescent="0.25">
      <c r="A623" s="1">
        <f t="shared" si="46"/>
        <v>51288</v>
      </c>
      <c r="B623" s="57">
        <v>60</v>
      </c>
      <c r="C623" s="57">
        <f t="shared" si="47"/>
        <v>37020</v>
      </c>
      <c r="D623" s="57">
        <f t="shared" si="48"/>
        <v>102201.74898120921</v>
      </c>
      <c r="E623" s="57">
        <f t="shared" si="45"/>
        <v>65181.74898120921</v>
      </c>
      <c r="F623" s="57">
        <f t="shared" si="49"/>
        <v>293.79218307154952</v>
      </c>
    </row>
    <row r="624" spans="1:6" x14ac:dyDescent="0.25">
      <c r="A624" s="1">
        <f t="shared" si="46"/>
        <v>51302</v>
      </c>
      <c r="B624" s="57">
        <v>60</v>
      </c>
      <c r="C624" s="57">
        <f t="shared" si="47"/>
        <v>37080</v>
      </c>
      <c r="D624" s="57">
        <f t="shared" si="48"/>
        <v>102556.56171865501</v>
      </c>
      <c r="E624" s="57">
        <f t="shared" si="45"/>
        <v>65476.561718655008</v>
      </c>
      <c r="F624" s="57">
        <f t="shared" si="49"/>
        <v>294.81273744579812</v>
      </c>
    </row>
    <row r="625" spans="1:6" x14ac:dyDescent="0.25">
      <c r="A625" s="1">
        <f t="shared" si="46"/>
        <v>51316</v>
      </c>
      <c r="B625" s="57">
        <v>60</v>
      </c>
      <c r="C625" s="57">
        <f t="shared" si="47"/>
        <v>37140</v>
      </c>
      <c r="D625" s="57">
        <f t="shared" si="48"/>
        <v>102912.3979543819</v>
      </c>
      <c r="E625" s="57">
        <f t="shared" si="45"/>
        <v>65772.3979543819</v>
      </c>
      <c r="F625" s="57">
        <f t="shared" si="49"/>
        <v>295.83623572689248</v>
      </c>
    </row>
    <row r="626" spans="1:6" x14ac:dyDescent="0.25">
      <c r="A626" s="1">
        <f t="shared" si="46"/>
        <v>51330</v>
      </c>
      <c r="B626" s="57">
        <v>60</v>
      </c>
      <c r="C626" s="57">
        <f t="shared" si="47"/>
        <v>37200</v>
      </c>
      <c r="D626" s="57">
        <f t="shared" si="48"/>
        <v>103269.26064078877</v>
      </c>
      <c r="E626" s="57">
        <f t="shared" si="45"/>
        <v>66069.260640788765</v>
      </c>
      <c r="F626" s="57">
        <f t="shared" si="49"/>
        <v>296.86268640686467</v>
      </c>
    </row>
    <row r="627" spans="1:6" x14ac:dyDescent="0.25">
      <c r="A627" s="1">
        <f t="shared" si="46"/>
        <v>51344</v>
      </c>
      <c r="B627" s="57">
        <v>60</v>
      </c>
      <c r="C627" s="57">
        <f t="shared" si="47"/>
        <v>37260</v>
      </c>
      <c r="D627" s="57">
        <f t="shared" si="48"/>
        <v>103627.15273879105</v>
      </c>
      <c r="E627" s="57">
        <f t="shared" si="45"/>
        <v>66367.152738791046</v>
      </c>
      <c r="F627" s="57">
        <f t="shared" si="49"/>
        <v>297.89209800228127</v>
      </c>
    </row>
    <row r="628" spans="1:6" x14ac:dyDescent="0.25">
      <c r="A628" s="1">
        <f t="shared" si="46"/>
        <v>51358</v>
      </c>
      <c r="B628" s="57">
        <v>60</v>
      </c>
      <c r="C628" s="57">
        <f t="shared" si="47"/>
        <v>37320</v>
      </c>
      <c r="D628" s="57">
        <f t="shared" si="48"/>
        <v>103986.07721784525</v>
      </c>
      <c r="E628" s="57">
        <f t="shared" si="45"/>
        <v>66666.077217845246</v>
      </c>
      <c r="F628" s="57">
        <f t="shared" si="49"/>
        <v>298.92447905419976</v>
      </c>
    </row>
    <row r="629" spans="1:6" x14ac:dyDescent="0.25">
      <c r="A629" s="1">
        <f t="shared" si="46"/>
        <v>51372</v>
      </c>
      <c r="B629" s="57">
        <v>60</v>
      </c>
      <c r="C629" s="57">
        <f t="shared" si="47"/>
        <v>37380</v>
      </c>
      <c r="D629" s="57">
        <f t="shared" si="48"/>
        <v>104346.03705597365</v>
      </c>
      <c r="E629" s="57">
        <f t="shared" si="45"/>
        <v>66966.037055973648</v>
      </c>
      <c r="F629" s="57">
        <f t="shared" si="49"/>
        <v>299.95983812840132</v>
      </c>
    </row>
    <row r="630" spans="1:6" x14ac:dyDescent="0.25">
      <c r="A630" s="1">
        <f t="shared" si="46"/>
        <v>51386</v>
      </c>
      <c r="B630" s="57">
        <v>60</v>
      </c>
      <c r="C630" s="57">
        <f t="shared" si="47"/>
        <v>37440</v>
      </c>
      <c r="D630" s="57">
        <f t="shared" si="48"/>
        <v>104707.03523978895</v>
      </c>
      <c r="E630" s="57">
        <f t="shared" si="45"/>
        <v>67267.035239788951</v>
      </c>
      <c r="F630" s="57">
        <f t="shared" si="49"/>
        <v>300.99818381530349</v>
      </c>
    </row>
    <row r="631" spans="1:6" x14ac:dyDescent="0.25">
      <c r="A631" s="1">
        <f t="shared" si="46"/>
        <v>51400</v>
      </c>
      <c r="B631" s="57">
        <v>60</v>
      </c>
      <c r="C631" s="57">
        <f t="shared" si="47"/>
        <v>37500</v>
      </c>
      <c r="D631" s="57">
        <f t="shared" si="48"/>
        <v>105069.07476451911</v>
      </c>
      <c r="E631" s="57">
        <f t="shared" si="45"/>
        <v>67569.074764519115</v>
      </c>
      <c r="F631" s="57">
        <f t="shared" si="49"/>
        <v>302.03952473016398</v>
      </c>
    </row>
    <row r="632" spans="1:6" x14ac:dyDescent="0.25">
      <c r="A632" s="1">
        <f t="shared" si="46"/>
        <v>51414</v>
      </c>
      <c r="B632" s="57">
        <v>60</v>
      </c>
      <c r="C632" s="57">
        <f t="shared" si="47"/>
        <v>37560</v>
      </c>
      <c r="D632" s="57">
        <f t="shared" si="48"/>
        <v>105432.15863403215</v>
      </c>
      <c r="E632" s="57">
        <f t="shared" si="45"/>
        <v>67872.158634032152</v>
      </c>
      <c r="F632" s="57">
        <f t="shared" si="49"/>
        <v>303.08386951303692</v>
      </c>
    </row>
    <row r="633" spans="1:6" x14ac:dyDescent="0.25">
      <c r="A633" s="1">
        <f t="shared" si="46"/>
        <v>51428</v>
      </c>
      <c r="B633" s="57">
        <v>60</v>
      </c>
      <c r="C633" s="57">
        <f t="shared" si="47"/>
        <v>37620</v>
      </c>
      <c r="D633" s="57">
        <f t="shared" si="48"/>
        <v>105796.28986086108</v>
      </c>
      <c r="E633" s="57">
        <f t="shared" si="45"/>
        <v>68176.289860861085</v>
      </c>
      <c r="F633" s="57">
        <f t="shared" si="49"/>
        <v>304.13122682893299</v>
      </c>
    </row>
    <row r="634" spans="1:6" x14ac:dyDescent="0.25">
      <c r="A634" s="1">
        <f t="shared" si="46"/>
        <v>51442</v>
      </c>
      <c r="B634" s="57">
        <v>60</v>
      </c>
      <c r="C634" s="57">
        <f t="shared" si="47"/>
        <v>37680</v>
      </c>
      <c r="D634" s="57">
        <f t="shared" si="48"/>
        <v>106161.47146622895</v>
      </c>
      <c r="E634" s="57">
        <f t="shared" si="45"/>
        <v>68481.471466228948</v>
      </c>
      <c r="F634" s="57">
        <f t="shared" si="49"/>
        <v>305.18160536786309</v>
      </c>
    </row>
    <row r="635" spans="1:6" x14ac:dyDescent="0.25">
      <c r="A635" s="1">
        <f t="shared" si="46"/>
        <v>51456</v>
      </c>
      <c r="B635" s="57">
        <v>60</v>
      </c>
      <c r="C635" s="57">
        <f t="shared" si="47"/>
        <v>37740</v>
      </c>
      <c r="D635" s="57">
        <f t="shared" si="48"/>
        <v>106527.70648007384</v>
      </c>
      <c r="E635" s="57">
        <f t="shared" si="45"/>
        <v>68787.706480073844</v>
      </c>
      <c r="F635" s="57">
        <f t="shared" si="49"/>
        <v>306.23501384489646</v>
      </c>
    </row>
    <row r="636" spans="1:6" x14ac:dyDescent="0.25">
      <c r="A636" s="1">
        <f t="shared" si="46"/>
        <v>51470</v>
      </c>
      <c r="B636" s="57">
        <v>60</v>
      </c>
      <c r="C636" s="57">
        <f t="shared" si="47"/>
        <v>37800</v>
      </c>
      <c r="D636" s="57">
        <f t="shared" si="48"/>
        <v>106894.99794107406</v>
      </c>
      <c r="E636" s="57">
        <f t="shared" si="45"/>
        <v>69094.997941074063</v>
      </c>
      <c r="F636" s="57">
        <f t="shared" si="49"/>
        <v>307.29146100021899</v>
      </c>
    </row>
    <row r="637" spans="1:6" x14ac:dyDescent="0.25">
      <c r="A637" s="1">
        <f t="shared" si="46"/>
        <v>51484</v>
      </c>
      <c r="B637" s="57">
        <v>60</v>
      </c>
      <c r="C637" s="57">
        <f t="shared" si="47"/>
        <v>37860</v>
      </c>
      <c r="D637" s="57">
        <f t="shared" si="48"/>
        <v>107263.34889667331</v>
      </c>
      <c r="E637" s="57">
        <f t="shared" si="45"/>
        <v>69403.348896673313</v>
      </c>
      <c r="F637" s="57">
        <f t="shared" si="49"/>
        <v>308.35095559924957</v>
      </c>
    </row>
    <row r="638" spans="1:6" x14ac:dyDescent="0.25">
      <c r="A638" s="1">
        <f t="shared" si="46"/>
        <v>51498</v>
      </c>
      <c r="B638" s="57">
        <v>60</v>
      </c>
      <c r="C638" s="57">
        <f t="shared" si="47"/>
        <v>37920</v>
      </c>
      <c r="D638" s="57">
        <f t="shared" si="48"/>
        <v>107632.76240310603</v>
      </c>
      <c r="E638" s="57">
        <f t="shared" si="45"/>
        <v>69712.762403106026</v>
      </c>
      <c r="F638" s="57">
        <f t="shared" si="49"/>
        <v>309.41350643271289</v>
      </c>
    </row>
    <row r="639" spans="1:6" x14ac:dyDescent="0.25">
      <c r="A639" s="1"/>
      <c r="B639" s="57"/>
      <c r="C639" s="57"/>
      <c r="D639" s="57"/>
      <c r="E639" s="57"/>
      <c r="F639" s="57"/>
    </row>
    <row r="640" spans="1:6" x14ac:dyDescent="0.25">
      <c r="A640" s="1"/>
      <c r="B640" s="57"/>
      <c r="C640" s="57"/>
      <c r="D640" s="57"/>
      <c r="E640" s="57"/>
      <c r="F640" s="57"/>
    </row>
    <row r="641" spans="1:6" x14ac:dyDescent="0.25">
      <c r="A641" s="1"/>
      <c r="B641" s="57"/>
      <c r="C641" s="57"/>
      <c r="D641" s="57"/>
      <c r="E641" s="57"/>
      <c r="F641" s="57"/>
    </row>
    <row r="642" spans="1:6" x14ac:dyDescent="0.25">
      <c r="A642" s="1"/>
      <c r="B642" s="57"/>
      <c r="C642" s="57"/>
      <c r="D642" s="57"/>
      <c r="E642" s="57"/>
      <c r="F642" s="57"/>
    </row>
    <row r="643" spans="1:6" x14ac:dyDescent="0.25">
      <c r="A643" s="1"/>
      <c r="B643" s="57"/>
      <c r="C643" s="57"/>
      <c r="D643" s="57"/>
      <c r="E643" s="57"/>
      <c r="F643" s="57"/>
    </row>
    <row r="644" spans="1:6" x14ac:dyDescent="0.25">
      <c r="A644" s="1"/>
      <c r="B644" s="57"/>
      <c r="C644" s="57"/>
      <c r="D644" s="57"/>
      <c r="E644" s="57"/>
      <c r="F644" s="57"/>
    </row>
    <row r="645" spans="1:6" x14ac:dyDescent="0.25">
      <c r="A645" s="1"/>
      <c r="B645" s="57"/>
      <c r="C645" s="57"/>
      <c r="D645" s="57"/>
      <c r="E645" s="57"/>
      <c r="F645" s="57"/>
    </row>
    <row r="646" spans="1:6" x14ac:dyDescent="0.25">
      <c r="A646" s="1"/>
      <c r="B646" s="57"/>
      <c r="C646" s="57"/>
      <c r="D646" s="57"/>
      <c r="E646" s="57"/>
      <c r="F646" s="57"/>
    </row>
    <row r="647" spans="1:6" x14ac:dyDescent="0.25">
      <c r="A647" s="1"/>
      <c r="B647" s="57"/>
      <c r="C647" s="57"/>
      <c r="D647" s="57"/>
      <c r="E647" s="57"/>
      <c r="F647" s="57"/>
    </row>
    <row r="648" spans="1:6" x14ac:dyDescent="0.25">
      <c r="A648" s="1"/>
      <c r="B648" s="57"/>
      <c r="C648" s="57"/>
      <c r="D648" s="57"/>
      <c r="E648" s="57"/>
      <c r="F648" s="57"/>
    </row>
    <row r="649" spans="1:6" x14ac:dyDescent="0.25">
      <c r="A649" s="1"/>
      <c r="B649" s="57"/>
      <c r="C649" s="57"/>
      <c r="D649" s="57"/>
      <c r="E649" s="57"/>
      <c r="F649" s="57"/>
    </row>
    <row r="650" spans="1:6" x14ac:dyDescent="0.25">
      <c r="A650" s="1"/>
      <c r="B650" s="57"/>
      <c r="C650" s="57"/>
      <c r="D650" s="57"/>
      <c r="E650" s="57"/>
      <c r="F650" s="57"/>
    </row>
    <row r="651" spans="1:6" x14ac:dyDescent="0.25">
      <c r="A651" s="1"/>
      <c r="B651" s="57"/>
      <c r="C651" s="57"/>
      <c r="D651" s="57"/>
      <c r="E651" s="57"/>
      <c r="F651" s="57"/>
    </row>
    <row r="652" spans="1:6" x14ac:dyDescent="0.25">
      <c r="A652" s="1"/>
      <c r="B652" s="57"/>
      <c r="C652" s="57"/>
      <c r="D652" s="57"/>
      <c r="E652" s="57"/>
      <c r="F652" s="57"/>
    </row>
    <row r="653" spans="1:6" x14ac:dyDescent="0.25">
      <c r="A653" s="1"/>
      <c r="B653" s="57"/>
      <c r="C653" s="57"/>
      <c r="D653" s="57"/>
      <c r="E653" s="57"/>
      <c r="F653" s="57"/>
    </row>
    <row r="654" spans="1:6" x14ac:dyDescent="0.25">
      <c r="A654" s="1"/>
      <c r="B654" s="57"/>
      <c r="C654" s="57"/>
      <c r="D654" s="57"/>
      <c r="E654" s="57"/>
      <c r="F654" s="57"/>
    </row>
    <row r="655" spans="1:6" x14ac:dyDescent="0.25">
      <c r="A655" s="1"/>
      <c r="B655" s="57"/>
      <c r="C655" s="57"/>
      <c r="D655" s="57"/>
      <c r="E655" s="57"/>
      <c r="F655" s="57"/>
    </row>
    <row r="656" spans="1:6" x14ac:dyDescent="0.25">
      <c r="A656" s="1"/>
      <c r="B656" s="57"/>
      <c r="C656" s="57"/>
      <c r="D656" s="57"/>
      <c r="E656" s="57"/>
      <c r="F656" s="57"/>
    </row>
    <row r="657" spans="1:6" x14ac:dyDescent="0.25">
      <c r="A657" s="1"/>
      <c r="B657" s="57"/>
      <c r="C657" s="57"/>
      <c r="D657" s="57"/>
      <c r="E657" s="57"/>
      <c r="F657" s="57"/>
    </row>
    <row r="658" spans="1:6" x14ac:dyDescent="0.25">
      <c r="A658" s="1"/>
      <c r="B658" s="57"/>
      <c r="C658" s="57"/>
      <c r="D658" s="57"/>
      <c r="E658" s="57"/>
      <c r="F658" s="57"/>
    </row>
    <row r="659" spans="1:6" x14ac:dyDescent="0.25">
      <c r="A659" s="1"/>
      <c r="B659" s="57"/>
      <c r="C659" s="57"/>
      <c r="D659" s="57"/>
      <c r="E659" s="57"/>
      <c r="F659" s="57"/>
    </row>
    <row r="660" spans="1:6" x14ac:dyDescent="0.25">
      <c r="A660" s="1"/>
      <c r="B660" s="57"/>
      <c r="C660" s="57"/>
      <c r="D660" s="57"/>
      <c r="E660" s="57"/>
      <c r="F660" s="57"/>
    </row>
    <row r="661" spans="1:6" x14ac:dyDescent="0.25">
      <c r="A661" s="1"/>
      <c r="B661" s="57"/>
      <c r="C661" s="57"/>
      <c r="D661" s="57"/>
      <c r="E661" s="57"/>
      <c r="F661" s="57"/>
    </row>
    <row r="662" spans="1:6" x14ac:dyDescent="0.25">
      <c r="A662" s="1"/>
      <c r="B662" s="57"/>
      <c r="C662" s="57"/>
      <c r="D662" s="57"/>
      <c r="E662" s="57"/>
      <c r="F662" s="57"/>
    </row>
    <row r="663" spans="1:6" x14ac:dyDescent="0.25">
      <c r="A663" s="1"/>
      <c r="B663" s="57"/>
      <c r="C663" s="57"/>
      <c r="D663" s="57"/>
      <c r="E663" s="57"/>
      <c r="F663" s="57"/>
    </row>
    <row r="664" spans="1:6" x14ac:dyDescent="0.25">
      <c r="A664" s="1"/>
      <c r="B664" s="57"/>
      <c r="C664" s="57"/>
      <c r="D664" s="57"/>
      <c r="E664" s="57"/>
      <c r="F664" s="57"/>
    </row>
    <row r="665" spans="1:6" x14ac:dyDescent="0.25">
      <c r="A665" s="1"/>
      <c r="B665" s="57"/>
      <c r="C665" s="57"/>
      <c r="D665" s="57"/>
      <c r="E665" s="57"/>
      <c r="F665" s="57"/>
    </row>
    <row r="666" spans="1:6" x14ac:dyDescent="0.25">
      <c r="A666" s="1"/>
      <c r="B666" s="57"/>
      <c r="C666" s="57"/>
      <c r="D666" s="57"/>
      <c r="E666" s="57"/>
      <c r="F666" s="57"/>
    </row>
    <row r="667" spans="1:6" x14ac:dyDescent="0.25">
      <c r="A667" s="1"/>
      <c r="B667" s="57"/>
      <c r="C667" s="57"/>
      <c r="D667" s="57"/>
      <c r="E667" s="57"/>
      <c r="F667" s="57"/>
    </row>
    <row r="668" spans="1:6" x14ac:dyDescent="0.25">
      <c r="A668" s="1"/>
      <c r="B668" s="57"/>
      <c r="C668" s="57"/>
      <c r="D668" s="57"/>
      <c r="E668" s="57"/>
      <c r="F668" s="57"/>
    </row>
    <row r="669" spans="1:6" x14ac:dyDescent="0.25">
      <c r="A669" s="1"/>
      <c r="B669" s="57"/>
      <c r="C669" s="57"/>
      <c r="D669" s="57"/>
      <c r="E669" s="57"/>
      <c r="F669" s="57"/>
    </row>
    <row r="670" spans="1:6" x14ac:dyDescent="0.25">
      <c r="A670" s="1"/>
      <c r="B670" s="57"/>
      <c r="C670" s="57"/>
      <c r="D670" s="57"/>
      <c r="E670" s="57"/>
      <c r="F670" s="57"/>
    </row>
    <row r="671" spans="1:6" x14ac:dyDescent="0.25">
      <c r="A671" s="1"/>
      <c r="B671" s="57"/>
      <c r="C671" s="57"/>
      <c r="D671" s="57"/>
      <c r="E671" s="57"/>
      <c r="F671" s="57"/>
    </row>
    <row r="672" spans="1:6" x14ac:dyDescent="0.25">
      <c r="A672" s="1"/>
      <c r="B672" s="57"/>
      <c r="C672" s="57"/>
      <c r="D672" s="57"/>
      <c r="E672" s="57"/>
      <c r="F672" s="57"/>
    </row>
    <row r="673" spans="1:6" x14ac:dyDescent="0.25">
      <c r="A673" s="1"/>
      <c r="B673" s="57"/>
      <c r="C673" s="57"/>
      <c r="D673" s="57"/>
      <c r="E673" s="57"/>
      <c r="F673" s="57"/>
    </row>
    <row r="674" spans="1:6" x14ac:dyDescent="0.25">
      <c r="A674" s="1"/>
      <c r="B674" s="57"/>
      <c r="C674" s="57"/>
      <c r="D674" s="57"/>
      <c r="E674" s="57"/>
      <c r="F674" s="57"/>
    </row>
    <row r="675" spans="1:6" x14ac:dyDescent="0.25">
      <c r="A675" s="1"/>
      <c r="B675" s="57"/>
      <c r="C675" s="57"/>
      <c r="D675" s="57"/>
      <c r="E675" s="57"/>
      <c r="F675" s="57"/>
    </row>
    <row r="676" spans="1:6" x14ac:dyDescent="0.25">
      <c r="A676" s="1"/>
      <c r="B676" s="57"/>
      <c r="C676" s="57"/>
      <c r="D676" s="57"/>
      <c r="E676" s="57"/>
      <c r="F676" s="57"/>
    </row>
    <row r="677" spans="1:6" x14ac:dyDescent="0.25">
      <c r="A677" s="1"/>
      <c r="B677" s="57"/>
      <c r="C677" s="57"/>
      <c r="D677" s="57"/>
      <c r="E677" s="57"/>
      <c r="F677" s="57"/>
    </row>
    <row r="678" spans="1:6" x14ac:dyDescent="0.25">
      <c r="A678" s="1"/>
      <c r="B678" s="57"/>
      <c r="C678" s="57"/>
      <c r="D678" s="57"/>
      <c r="E678" s="57"/>
      <c r="F678" s="57"/>
    </row>
    <row r="679" spans="1:6" x14ac:dyDescent="0.25">
      <c r="A679" s="1"/>
      <c r="B679" s="57"/>
      <c r="C679" s="57"/>
      <c r="D679" s="57"/>
      <c r="E679" s="57"/>
      <c r="F679" s="57"/>
    </row>
    <row r="680" spans="1:6" x14ac:dyDescent="0.25">
      <c r="A680" s="1"/>
      <c r="B680" s="57"/>
      <c r="C680" s="57"/>
      <c r="D680" s="57"/>
      <c r="E680" s="57"/>
      <c r="F680" s="57"/>
    </row>
    <row r="681" spans="1:6" x14ac:dyDescent="0.25">
      <c r="A681" s="1"/>
      <c r="B681" s="57"/>
      <c r="C681" s="57"/>
      <c r="D681" s="57"/>
      <c r="E681" s="57"/>
      <c r="F681" s="57"/>
    </row>
    <row r="682" spans="1:6" x14ac:dyDescent="0.25">
      <c r="A682" s="1"/>
      <c r="B682" s="57"/>
      <c r="C682" s="57"/>
      <c r="D682" s="57"/>
      <c r="E682" s="57"/>
      <c r="F682" s="57"/>
    </row>
    <row r="683" spans="1:6" x14ac:dyDescent="0.25">
      <c r="A683" s="1"/>
      <c r="B683" s="57"/>
      <c r="C683" s="57"/>
      <c r="D683" s="57"/>
      <c r="E683" s="57"/>
      <c r="F683" s="57"/>
    </row>
    <row r="684" spans="1:6" x14ac:dyDescent="0.25">
      <c r="A684" s="1"/>
      <c r="B684" s="57"/>
      <c r="C684" s="57"/>
      <c r="D684" s="57"/>
      <c r="E684" s="57"/>
      <c r="F684" s="57"/>
    </row>
    <row r="685" spans="1:6" x14ac:dyDescent="0.25">
      <c r="A685" s="1"/>
      <c r="B685" s="57"/>
      <c r="C685" s="57"/>
      <c r="D685" s="57"/>
      <c r="E685" s="57"/>
      <c r="F685" s="57"/>
    </row>
    <row r="686" spans="1:6" x14ac:dyDescent="0.25">
      <c r="A686" s="1"/>
      <c r="B686" s="57"/>
      <c r="C686" s="57"/>
      <c r="D686" s="57"/>
      <c r="E686" s="57"/>
      <c r="F686" s="57"/>
    </row>
    <row r="687" spans="1:6" x14ac:dyDescent="0.25">
      <c r="A687" s="1"/>
      <c r="B687" s="57"/>
      <c r="C687" s="57"/>
      <c r="D687" s="57"/>
      <c r="E687" s="57"/>
      <c r="F687" s="57"/>
    </row>
    <row r="688" spans="1:6" x14ac:dyDescent="0.25">
      <c r="A688" s="1"/>
      <c r="B688" s="57"/>
      <c r="C688" s="57"/>
      <c r="D688" s="57"/>
      <c r="E688" s="57"/>
      <c r="F688" s="57"/>
    </row>
    <row r="689" spans="1:6" x14ac:dyDescent="0.25">
      <c r="A689" s="1"/>
      <c r="B689" s="57"/>
      <c r="C689" s="57"/>
      <c r="D689" s="57"/>
      <c r="E689" s="57"/>
      <c r="F689" s="57"/>
    </row>
    <row r="690" spans="1:6" x14ac:dyDescent="0.25">
      <c r="A690" s="1"/>
      <c r="B690" s="57"/>
      <c r="C690" s="57"/>
      <c r="D690" s="57"/>
      <c r="E690" s="57"/>
      <c r="F690" s="57"/>
    </row>
    <row r="691" spans="1:6" x14ac:dyDescent="0.25">
      <c r="A691" s="1"/>
      <c r="B691" s="57"/>
      <c r="C691" s="57"/>
      <c r="D691" s="57"/>
      <c r="E691" s="57"/>
      <c r="F691" s="57"/>
    </row>
    <row r="692" spans="1:6" x14ac:dyDescent="0.25">
      <c r="A692" s="1"/>
      <c r="B692" s="57"/>
      <c r="C692" s="57"/>
      <c r="D692" s="57"/>
      <c r="E692" s="57"/>
      <c r="F692" s="57"/>
    </row>
    <row r="693" spans="1:6" x14ac:dyDescent="0.25">
      <c r="A693" s="1"/>
      <c r="B693" s="57"/>
      <c r="C693" s="57"/>
      <c r="D693" s="57"/>
      <c r="E693" s="57"/>
      <c r="F693" s="57"/>
    </row>
    <row r="694" spans="1:6" x14ac:dyDescent="0.25">
      <c r="A694" s="1"/>
      <c r="B694" s="57"/>
      <c r="C694" s="57"/>
      <c r="D694" s="57"/>
      <c r="E694" s="57"/>
      <c r="F694" s="57"/>
    </row>
    <row r="695" spans="1:6" x14ac:dyDescent="0.25">
      <c r="A695" s="1"/>
      <c r="B695" s="57"/>
      <c r="C695" s="57"/>
      <c r="D695" s="57"/>
      <c r="E695" s="57"/>
      <c r="F695" s="57"/>
    </row>
    <row r="696" spans="1:6" x14ac:dyDescent="0.25">
      <c r="A696" s="1"/>
      <c r="B696" s="57"/>
      <c r="C696" s="57"/>
      <c r="D696" s="57"/>
      <c r="E696" s="57"/>
      <c r="F696" s="57"/>
    </row>
    <row r="697" spans="1:6" x14ac:dyDescent="0.25">
      <c r="A697" s="1"/>
      <c r="B697" s="57"/>
      <c r="C697" s="57"/>
      <c r="D697" s="57"/>
      <c r="E697" s="57"/>
      <c r="F697" s="57"/>
    </row>
    <row r="698" spans="1:6" x14ac:dyDescent="0.25">
      <c r="A698" s="1"/>
      <c r="B698" s="57"/>
      <c r="C698" s="57"/>
      <c r="D698" s="57"/>
      <c r="E698" s="57"/>
      <c r="F698" s="57"/>
    </row>
    <row r="699" spans="1:6" x14ac:dyDescent="0.25">
      <c r="A699" s="1"/>
      <c r="B699" s="57"/>
      <c r="C699" s="57"/>
      <c r="D699" s="57"/>
      <c r="E699" s="57"/>
      <c r="F699" s="57"/>
    </row>
    <row r="700" spans="1:6" x14ac:dyDescent="0.25">
      <c r="A700" s="1"/>
      <c r="B700" s="57"/>
      <c r="C700" s="57"/>
      <c r="D700" s="57"/>
      <c r="E700" s="57"/>
      <c r="F700" s="57"/>
    </row>
    <row r="701" spans="1:6" x14ac:dyDescent="0.25">
      <c r="A701" s="1"/>
      <c r="B701" s="57"/>
      <c r="C701" s="57"/>
      <c r="D701" s="57"/>
      <c r="E701" s="57"/>
      <c r="F701" s="57"/>
    </row>
    <row r="702" spans="1:6" x14ac:dyDescent="0.25">
      <c r="A702" s="1"/>
      <c r="B702" s="57"/>
      <c r="C702" s="57"/>
      <c r="D702" s="57"/>
      <c r="E702" s="57"/>
      <c r="F702" s="57"/>
    </row>
    <row r="703" spans="1:6" x14ac:dyDescent="0.25">
      <c r="A703" s="1"/>
      <c r="B703" s="57"/>
      <c r="C703" s="57"/>
      <c r="D703" s="57"/>
      <c r="E703" s="57"/>
      <c r="F703" s="57"/>
    </row>
    <row r="704" spans="1:6" x14ac:dyDescent="0.25">
      <c r="A704" s="1"/>
      <c r="B704" s="57"/>
      <c r="C704" s="57"/>
      <c r="D704" s="57"/>
      <c r="E704" s="57"/>
      <c r="F704" s="57"/>
    </row>
    <row r="705" spans="1:6" x14ac:dyDescent="0.25">
      <c r="A705" s="1"/>
      <c r="B705" s="57"/>
      <c r="C705" s="57"/>
      <c r="D705" s="57"/>
      <c r="E705" s="57"/>
      <c r="F705" s="57"/>
    </row>
    <row r="706" spans="1:6" x14ac:dyDescent="0.25">
      <c r="A706" s="1"/>
      <c r="B706" s="57"/>
      <c r="C706" s="57"/>
      <c r="D706" s="57"/>
      <c r="E706" s="57"/>
      <c r="F706" s="57"/>
    </row>
    <row r="707" spans="1:6" x14ac:dyDescent="0.25">
      <c r="A707" s="1"/>
      <c r="B707" s="57"/>
      <c r="C707" s="57"/>
      <c r="D707" s="57"/>
      <c r="E707" s="57"/>
      <c r="F707" s="57"/>
    </row>
    <row r="708" spans="1:6" x14ac:dyDescent="0.25">
      <c r="A708" s="1"/>
      <c r="B708" s="57"/>
      <c r="C708" s="57"/>
      <c r="D708" s="57"/>
      <c r="E708" s="57"/>
      <c r="F708" s="57"/>
    </row>
    <row r="709" spans="1:6" x14ac:dyDescent="0.25">
      <c r="A709" s="1"/>
      <c r="B709" s="57"/>
      <c r="C709" s="57"/>
      <c r="D709" s="57"/>
      <c r="E709" s="57"/>
      <c r="F709" s="57"/>
    </row>
    <row r="710" spans="1:6" x14ac:dyDescent="0.25">
      <c r="A710" s="1"/>
      <c r="B710" s="57"/>
      <c r="C710" s="57"/>
      <c r="D710" s="57"/>
      <c r="E710" s="57"/>
      <c r="F710" s="57"/>
    </row>
    <row r="711" spans="1:6" x14ac:dyDescent="0.25">
      <c r="A711" s="1"/>
      <c r="B711" s="57"/>
      <c r="C711" s="57"/>
      <c r="D711" s="57"/>
      <c r="E711" s="57"/>
      <c r="F711" s="57"/>
    </row>
    <row r="712" spans="1:6" x14ac:dyDescent="0.25">
      <c r="A712" s="1"/>
      <c r="B712" s="57"/>
      <c r="C712" s="57"/>
      <c r="D712" s="57"/>
      <c r="E712" s="57"/>
      <c r="F712" s="57"/>
    </row>
    <row r="713" spans="1:6" x14ac:dyDescent="0.25">
      <c r="A713" s="1"/>
      <c r="B713" s="57"/>
      <c r="C713" s="57"/>
      <c r="D713" s="57"/>
      <c r="E713" s="57"/>
      <c r="F713" s="57"/>
    </row>
    <row r="714" spans="1:6" x14ac:dyDescent="0.25">
      <c r="A714" s="1"/>
      <c r="B714" s="57"/>
      <c r="C714" s="57"/>
      <c r="D714" s="57"/>
      <c r="E714" s="57"/>
      <c r="F714" s="57"/>
    </row>
    <row r="715" spans="1:6" x14ac:dyDescent="0.25">
      <c r="A715" s="1"/>
      <c r="B715" s="57"/>
      <c r="C715" s="57"/>
      <c r="D715" s="57"/>
      <c r="E715" s="57"/>
      <c r="F715" s="57"/>
    </row>
    <row r="716" spans="1:6" x14ac:dyDescent="0.25">
      <c r="A716" s="1"/>
      <c r="B716" s="57"/>
      <c r="C716" s="57"/>
      <c r="D716" s="57"/>
      <c r="E716" s="57"/>
      <c r="F716" s="57"/>
    </row>
    <row r="717" spans="1:6" x14ac:dyDescent="0.25">
      <c r="A717" s="1"/>
      <c r="B717" s="57"/>
      <c r="C717" s="57"/>
      <c r="D717" s="57"/>
      <c r="E717" s="57"/>
      <c r="F717" s="57"/>
    </row>
    <row r="718" spans="1:6" x14ac:dyDescent="0.25">
      <c r="A718" s="1"/>
      <c r="B718" s="57"/>
      <c r="C718" s="57"/>
      <c r="D718" s="57"/>
      <c r="E718" s="57"/>
      <c r="F718" s="57"/>
    </row>
    <row r="719" spans="1:6" x14ac:dyDescent="0.25">
      <c r="A719" s="1"/>
      <c r="B719" s="57"/>
      <c r="C719" s="57"/>
      <c r="D719" s="57"/>
      <c r="E719" s="57"/>
      <c r="F719" s="57"/>
    </row>
    <row r="720" spans="1:6" x14ac:dyDescent="0.25">
      <c r="A720" s="1"/>
      <c r="B720" s="57"/>
      <c r="C720" s="57"/>
      <c r="D720" s="57"/>
      <c r="E720" s="57"/>
      <c r="F720" s="57"/>
    </row>
    <row r="721" spans="1:6" x14ac:dyDescent="0.25">
      <c r="A721" s="1"/>
      <c r="B721" s="57"/>
      <c r="C721" s="57"/>
      <c r="D721" s="57"/>
      <c r="E721" s="57"/>
      <c r="F721" s="57"/>
    </row>
    <row r="722" spans="1:6" x14ac:dyDescent="0.25">
      <c r="A722" s="1"/>
      <c r="B722" s="57"/>
      <c r="C722" s="57"/>
      <c r="D722" s="57"/>
      <c r="E722" s="57"/>
      <c r="F722" s="57"/>
    </row>
    <row r="723" spans="1:6" x14ac:dyDescent="0.25">
      <c r="A723" s="1"/>
      <c r="B723" s="57"/>
      <c r="C723" s="57"/>
      <c r="D723" s="57"/>
      <c r="E723" s="57"/>
      <c r="F723" s="57"/>
    </row>
    <row r="724" spans="1:6" x14ac:dyDescent="0.25">
      <c r="A724" s="1"/>
      <c r="B724" s="57"/>
      <c r="C724" s="57"/>
      <c r="D724" s="57"/>
      <c r="E724" s="57"/>
      <c r="F724" s="57"/>
    </row>
    <row r="725" spans="1:6" x14ac:dyDescent="0.25">
      <c r="A725" s="1"/>
      <c r="B725" s="57"/>
      <c r="C725" s="57"/>
      <c r="D725" s="57"/>
      <c r="E725" s="57"/>
      <c r="F725" s="57"/>
    </row>
    <row r="726" spans="1:6" x14ac:dyDescent="0.25">
      <c r="A726" s="1"/>
      <c r="B726" s="57"/>
      <c r="C726" s="57"/>
      <c r="D726" s="57"/>
      <c r="E726" s="57"/>
      <c r="F726" s="57"/>
    </row>
    <row r="727" spans="1:6" x14ac:dyDescent="0.25">
      <c r="A727" s="1"/>
      <c r="B727" s="57"/>
      <c r="C727" s="57"/>
      <c r="D727" s="57"/>
      <c r="E727" s="57"/>
      <c r="F727" s="57"/>
    </row>
    <row r="728" spans="1:6" x14ac:dyDescent="0.25">
      <c r="A728" s="1"/>
      <c r="B728" s="57"/>
      <c r="C728" s="57"/>
      <c r="D728" s="57"/>
      <c r="E728" s="57"/>
      <c r="F728" s="57"/>
    </row>
    <row r="729" spans="1:6" x14ac:dyDescent="0.25">
      <c r="A729" s="1"/>
      <c r="B729" s="57"/>
      <c r="C729" s="57"/>
      <c r="D729" s="57"/>
      <c r="E729" s="57"/>
      <c r="F729" s="57"/>
    </row>
    <row r="730" spans="1:6" x14ac:dyDescent="0.25">
      <c r="A730" s="1"/>
      <c r="B730" s="57"/>
      <c r="C730" s="57"/>
      <c r="D730" s="57"/>
      <c r="E730" s="57"/>
      <c r="F730" s="57"/>
    </row>
    <row r="731" spans="1:6" x14ac:dyDescent="0.25">
      <c r="A731" s="1"/>
      <c r="B731" s="57"/>
      <c r="C731" s="57"/>
      <c r="D731" s="57"/>
      <c r="E731" s="57"/>
      <c r="F731" s="57"/>
    </row>
    <row r="732" spans="1:6" x14ac:dyDescent="0.25">
      <c r="A732" s="1"/>
      <c r="B732" s="57"/>
      <c r="C732" s="57"/>
      <c r="D732" s="57"/>
      <c r="E732" s="57"/>
      <c r="F732" s="57"/>
    </row>
    <row r="733" spans="1:6" x14ac:dyDescent="0.25">
      <c r="A733" s="1"/>
      <c r="B733" s="57"/>
      <c r="C733" s="57"/>
      <c r="D733" s="57"/>
      <c r="E733" s="57"/>
      <c r="F733" s="57"/>
    </row>
    <row r="734" spans="1:6" x14ac:dyDescent="0.25">
      <c r="A734" s="1"/>
      <c r="B734" s="57"/>
      <c r="C734" s="57"/>
      <c r="D734" s="57"/>
      <c r="E734" s="57"/>
      <c r="F734" s="57"/>
    </row>
    <row r="735" spans="1:6" x14ac:dyDescent="0.25">
      <c r="A735" s="1"/>
      <c r="B735" s="57"/>
      <c r="C735" s="57"/>
      <c r="D735" s="57"/>
      <c r="E735" s="57"/>
      <c r="F735" s="57"/>
    </row>
    <row r="736" spans="1:6" x14ac:dyDescent="0.25">
      <c r="A736" s="1"/>
      <c r="B736" s="57"/>
      <c r="C736" s="57"/>
      <c r="D736" s="57"/>
      <c r="E736" s="57"/>
      <c r="F736" s="57"/>
    </row>
    <row r="737" spans="1:6" x14ac:dyDescent="0.25">
      <c r="A737" s="1"/>
      <c r="B737" s="57"/>
      <c r="C737" s="57"/>
      <c r="D737" s="57"/>
      <c r="E737" s="57"/>
      <c r="F737" s="57"/>
    </row>
    <row r="738" spans="1:6" x14ac:dyDescent="0.25">
      <c r="A738" s="1"/>
      <c r="B738" s="57"/>
      <c r="C738" s="57"/>
      <c r="D738" s="57"/>
      <c r="E738" s="57"/>
      <c r="F738" s="57"/>
    </row>
    <row r="739" spans="1:6" x14ac:dyDescent="0.25">
      <c r="A739" s="1"/>
      <c r="B739" s="57"/>
      <c r="C739" s="57"/>
      <c r="D739" s="57"/>
      <c r="E739" s="57"/>
      <c r="F739" s="57"/>
    </row>
    <row r="740" spans="1:6" x14ac:dyDescent="0.25">
      <c r="A740" s="1"/>
      <c r="B740" s="57"/>
      <c r="C740" s="57"/>
      <c r="D740" s="57"/>
      <c r="E740" s="57"/>
      <c r="F740" s="57"/>
    </row>
    <row r="741" spans="1:6" x14ac:dyDescent="0.25">
      <c r="A741" s="1"/>
      <c r="B741" s="57"/>
      <c r="C741" s="57"/>
      <c r="D741" s="57"/>
      <c r="E741" s="57"/>
      <c r="F741" s="57"/>
    </row>
    <row r="742" spans="1:6" x14ac:dyDescent="0.25">
      <c r="A742" s="1"/>
      <c r="B742" s="57"/>
      <c r="C742" s="57"/>
      <c r="D742" s="57"/>
      <c r="E742" s="57"/>
      <c r="F742" s="57"/>
    </row>
    <row r="743" spans="1:6" x14ac:dyDescent="0.25">
      <c r="A743" s="1"/>
      <c r="B743" s="57"/>
      <c r="C743" s="57"/>
      <c r="D743" s="57"/>
      <c r="E743" s="57"/>
      <c r="F743" s="57"/>
    </row>
    <row r="744" spans="1:6" x14ac:dyDescent="0.25">
      <c r="A744" s="1"/>
      <c r="B744" s="57"/>
      <c r="C744" s="57"/>
      <c r="D744" s="57"/>
      <c r="E744" s="57"/>
      <c r="F744" s="57"/>
    </row>
    <row r="745" spans="1:6" x14ac:dyDescent="0.25">
      <c r="A745" s="1"/>
      <c r="B745" s="57"/>
      <c r="C745" s="57"/>
      <c r="D745" s="57"/>
      <c r="E745" s="57"/>
      <c r="F745" s="57"/>
    </row>
    <row r="746" spans="1:6" x14ac:dyDescent="0.25">
      <c r="A746" s="1"/>
      <c r="B746" s="57"/>
      <c r="C746" s="57"/>
      <c r="D746" s="57"/>
      <c r="E746" s="57"/>
      <c r="F746" s="57"/>
    </row>
    <row r="747" spans="1:6" x14ac:dyDescent="0.25">
      <c r="A747" s="1"/>
      <c r="B747" s="57"/>
      <c r="C747" s="57"/>
      <c r="D747" s="57"/>
      <c r="E747" s="57"/>
      <c r="F747" s="57"/>
    </row>
    <row r="748" spans="1:6" x14ac:dyDescent="0.25">
      <c r="A748" s="1"/>
      <c r="B748" s="57"/>
      <c r="C748" s="57"/>
      <c r="D748" s="57"/>
      <c r="E748" s="57"/>
      <c r="F748" s="57"/>
    </row>
    <row r="749" spans="1:6" x14ac:dyDescent="0.25">
      <c r="A749" s="1"/>
      <c r="B749" s="57"/>
      <c r="C749" s="57"/>
      <c r="D749" s="57"/>
      <c r="E749" s="57"/>
      <c r="F749" s="57"/>
    </row>
    <row r="750" spans="1:6" x14ac:dyDescent="0.25">
      <c r="A750" s="1"/>
      <c r="B750" s="57"/>
      <c r="C750" s="57"/>
      <c r="D750" s="57"/>
      <c r="E750" s="57"/>
      <c r="F750" s="57"/>
    </row>
    <row r="751" spans="1:6" x14ac:dyDescent="0.25">
      <c r="A751" s="1"/>
      <c r="B751" s="57"/>
      <c r="C751" s="57"/>
      <c r="D751" s="57"/>
      <c r="E751" s="57"/>
      <c r="F751" s="57"/>
    </row>
    <row r="752" spans="1:6" x14ac:dyDescent="0.25">
      <c r="A752" s="1"/>
      <c r="B752" s="57"/>
      <c r="C752" s="57"/>
      <c r="D752" s="57"/>
      <c r="E752" s="57"/>
      <c r="F752" s="57"/>
    </row>
    <row r="753" spans="1:6" x14ac:dyDescent="0.25">
      <c r="A753" s="1"/>
      <c r="B753" s="57"/>
      <c r="C753" s="57"/>
      <c r="D753" s="57"/>
      <c r="E753" s="57"/>
      <c r="F753" s="57"/>
    </row>
    <row r="754" spans="1:6" x14ac:dyDescent="0.25">
      <c r="A754" s="1"/>
      <c r="B754" s="57"/>
      <c r="C754" s="57"/>
      <c r="D754" s="57"/>
      <c r="E754" s="57"/>
      <c r="F754" s="57"/>
    </row>
    <row r="755" spans="1:6" x14ac:dyDescent="0.25">
      <c r="A755" s="1"/>
      <c r="B755" s="57"/>
      <c r="C755" s="57"/>
      <c r="D755" s="57"/>
      <c r="E755" s="57"/>
      <c r="F755" s="57"/>
    </row>
    <row r="756" spans="1:6" x14ac:dyDescent="0.25">
      <c r="A756" s="1"/>
      <c r="B756" s="57"/>
      <c r="C756" s="57"/>
      <c r="D756" s="57"/>
      <c r="E756" s="57"/>
      <c r="F756" s="57"/>
    </row>
    <row r="757" spans="1:6" x14ac:dyDescent="0.25">
      <c r="A757" s="1"/>
      <c r="B757" s="57"/>
      <c r="C757" s="57"/>
      <c r="D757" s="57"/>
      <c r="E757" s="57"/>
      <c r="F757" s="57"/>
    </row>
    <row r="758" spans="1:6" x14ac:dyDescent="0.25">
      <c r="A758" s="1"/>
      <c r="B758" s="57"/>
      <c r="C758" s="57"/>
      <c r="D758" s="57"/>
      <c r="E758" s="57"/>
      <c r="F758" s="57"/>
    </row>
    <row r="759" spans="1:6" x14ac:dyDescent="0.25">
      <c r="A759" s="1"/>
      <c r="B759" s="57"/>
      <c r="C759" s="57"/>
      <c r="D759" s="57"/>
      <c r="E759" s="57"/>
      <c r="F759" s="57"/>
    </row>
    <row r="760" spans="1:6" x14ac:dyDescent="0.25">
      <c r="A760" s="1"/>
      <c r="B760" s="57"/>
      <c r="C760" s="57"/>
      <c r="D760" s="57"/>
      <c r="E760" s="57"/>
      <c r="F760" s="57"/>
    </row>
    <row r="761" spans="1:6" x14ac:dyDescent="0.25">
      <c r="A761" s="1"/>
      <c r="B761" s="57"/>
      <c r="C761" s="57"/>
      <c r="D761" s="57"/>
      <c r="E761" s="57"/>
      <c r="F761" s="57"/>
    </row>
    <row r="762" spans="1:6" x14ac:dyDescent="0.25">
      <c r="A762" s="1"/>
      <c r="B762" s="57"/>
      <c r="C762" s="57"/>
      <c r="D762" s="57"/>
      <c r="E762" s="57"/>
      <c r="F762" s="57"/>
    </row>
    <row r="763" spans="1:6" x14ac:dyDescent="0.25">
      <c r="A763" s="1"/>
      <c r="B763" s="57"/>
      <c r="C763" s="57"/>
      <c r="D763" s="57"/>
      <c r="E763" s="57"/>
      <c r="F763" s="57"/>
    </row>
    <row r="764" spans="1:6" x14ac:dyDescent="0.25">
      <c r="A764" s="1"/>
      <c r="B764" s="57"/>
      <c r="C764" s="57"/>
      <c r="D764" s="57"/>
      <c r="E764" s="57"/>
      <c r="F764" s="57"/>
    </row>
    <row r="765" spans="1:6" x14ac:dyDescent="0.25">
      <c r="A765" s="1"/>
      <c r="B765" s="57"/>
      <c r="C765" s="57"/>
      <c r="D765" s="57"/>
      <c r="E765" s="57"/>
      <c r="F765" s="57"/>
    </row>
    <row r="766" spans="1:6" x14ac:dyDescent="0.25">
      <c r="A766" s="1"/>
      <c r="B766" s="57"/>
      <c r="C766" s="57"/>
      <c r="D766" s="57"/>
      <c r="E766" s="57"/>
      <c r="F766" s="57"/>
    </row>
    <row r="767" spans="1:6" x14ac:dyDescent="0.25">
      <c r="A767" s="1"/>
      <c r="B767" s="57"/>
      <c r="C767" s="57"/>
      <c r="D767" s="57"/>
      <c r="E767" s="57"/>
      <c r="F767" s="57"/>
    </row>
    <row r="768" spans="1:6" x14ac:dyDescent="0.25">
      <c r="A768" s="1"/>
      <c r="B768" s="57"/>
      <c r="C768" s="57"/>
      <c r="D768" s="57"/>
      <c r="E768" s="57"/>
      <c r="F768" s="57"/>
    </row>
    <row r="769" spans="1:6" x14ac:dyDescent="0.25">
      <c r="A769" s="1"/>
      <c r="B769" s="57"/>
      <c r="C769" s="57"/>
      <c r="D769" s="57"/>
      <c r="E769" s="57"/>
      <c r="F769" s="57"/>
    </row>
    <row r="770" spans="1:6" x14ac:dyDescent="0.25">
      <c r="A770" s="1"/>
      <c r="B770" s="57"/>
      <c r="C770" s="57"/>
      <c r="D770" s="57"/>
      <c r="E770" s="57"/>
      <c r="F770" s="57"/>
    </row>
    <row r="771" spans="1:6" x14ac:dyDescent="0.25">
      <c r="A771" s="1"/>
      <c r="B771" s="57"/>
      <c r="C771" s="57"/>
      <c r="D771" s="57"/>
      <c r="E771" s="57"/>
      <c r="F771" s="57"/>
    </row>
    <row r="772" spans="1:6" x14ac:dyDescent="0.25">
      <c r="A772" s="1"/>
      <c r="B772" s="57"/>
      <c r="C772" s="57"/>
      <c r="D772" s="57"/>
      <c r="E772" s="57"/>
      <c r="F772" s="57"/>
    </row>
    <row r="773" spans="1:6" x14ac:dyDescent="0.25">
      <c r="A773" s="1"/>
      <c r="B773" s="57"/>
      <c r="C773" s="57"/>
      <c r="D773" s="57"/>
      <c r="E773" s="57"/>
      <c r="F773" s="57"/>
    </row>
    <row r="774" spans="1:6" x14ac:dyDescent="0.25">
      <c r="A774" s="1"/>
      <c r="B774" s="57"/>
      <c r="C774" s="57"/>
      <c r="D774" s="57"/>
      <c r="E774" s="57"/>
      <c r="F774" s="57"/>
    </row>
    <row r="775" spans="1:6" x14ac:dyDescent="0.25">
      <c r="A775" s="1"/>
      <c r="B775" s="57"/>
      <c r="C775" s="57"/>
      <c r="D775" s="57"/>
      <c r="E775" s="57"/>
      <c r="F775" s="57"/>
    </row>
    <row r="776" spans="1:6" x14ac:dyDescent="0.25">
      <c r="A776" s="1"/>
      <c r="B776" s="57"/>
      <c r="C776" s="57"/>
      <c r="D776" s="57"/>
      <c r="E776" s="57"/>
      <c r="F776" s="57"/>
    </row>
    <row r="777" spans="1:6" x14ac:dyDescent="0.25">
      <c r="A777" s="1"/>
      <c r="B777" s="57"/>
      <c r="C777" s="57"/>
      <c r="D777" s="57"/>
      <c r="E777" s="57"/>
      <c r="F777" s="57"/>
    </row>
    <row r="778" spans="1:6" x14ac:dyDescent="0.25">
      <c r="A778" s="1"/>
      <c r="B778" s="57"/>
      <c r="C778" s="57"/>
      <c r="D778" s="57"/>
      <c r="E778" s="57"/>
      <c r="F778" s="57"/>
    </row>
    <row r="779" spans="1:6" x14ac:dyDescent="0.25">
      <c r="A779" s="1"/>
      <c r="B779" s="57"/>
      <c r="C779" s="57"/>
      <c r="D779" s="57"/>
      <c r="E779" s="57"/>
      <c r="F779" s="57"/>
    </row>
    <row r="780" spans="1:6" x14ac:dyDescent="0.25">
      <c r="A780" s="1"/>
      <c r="B780" s="57"/>
      <c r="C780" s="57"/>
      <c r="D780" s="57"/>
      <c r="E780" s="57"/>
      <c r="F780" s="57"/>
    </row>
    <row r="781" spans="1:6" x14ac:dyDescent="0.25">
      <c r="A781" s="1"/>
      <c r="B781" s="57"/>
      <c r="C781" s="57"/>
      <c r="D781" s="57"/>
      <c r="E781" s="57"/>
      <c r="F781" s="57"/>
    </row>
    <row r="782" spans="1:6" x14ac:dyDescent="0.25">
      <c r="A782" s="1"/>
      <c r="B782" s="57"/>
      <c r="C782" s="57"/>
      <c r="D782" s="57"/>
      <c r="E782" s="57"/>
      <c r="F782" s="57"/>
    </row>
    <row r="783" spans="1:6" x14ac:dyDescent="0.25">
      <c r="A783" s="1"/>
      <c r="B783" s="57"/>
      <c r="C783" s="57"/>
      <c r="D783" s="57"/>
      <c r="E783" s="57"/>
      <c r="F783" s="57"/>
    </row>
    <row r="784" spans="1:6" x14ac:dyDescent="0.25">
      <c r="A784" s="1"/>
      <c r="B784" s="57"/>
      <c r="C784" s="57"/>
      <c r="D784" s="57"/>
      <c r="E784" s="57"/>
      <c r="F784" s="57"/>
    </row>
    <row r="785" spans="1:6" x14ac:dyDescent="0.25">
      <c r="A785" s="1"/>
      <c r="B785" s="57"/>
      <c r="C785" s="57"/>
      <c r="D785" s="57"/>
      <c r="E785" s="57"/>
      <c r="F785" s="57"/>
    </row>
    <row r="786" spans="1:6" x14ac:dyDescent="0.25">
      <c r="A786" s="1"/>
      <c r="B786" s="57"/>
      <c r="C786" s="57"/>
      <c r="D786" s="57"/>
      <c r="E786" s="57"/>
      <c r="F786" s="57"/>
    </row>
    <row r="787" spans="1:6" x14ac:dyDescent="0.25">
      <c r="A787" s="1"/>
      <c r="B787" s="57"/>
      <c r="C787" s="57"/>
      <c r="D787" s="57"/>
      <c r="E787" s="57"/>
      <c r="F787" s="57"/>
    </row>
    <row r="788" spans="1:6" x14ac:dyDescent="0.25">
      <c r="A788" s="1"/>
      <c r="B788" s="57"/>
      <c r="C788" s="57"/>
      <c r="D788" s="57"/>
      <c r="E788" s="57"/>
      <c r="F788" s="57"/>
    </row>
    <row r="789" spans="1:6" x14ac:dyDescent="0.25">
      <c r="A789" s="1"/>
      <c r="B789" s="57"/>
      <c r="C789" s="57"/>
      <c r="D789" s="57"/>
      <c r="E789" s="57"/>
      <c r="F789" s="57"/>
    </row>
    <row r="790" spans="1:6" x14ac:dyDescent="0.25">
      <c r="A790" s="1"/>
      <c r="B790" s="57"/>
      <c r="C790" s="57"/>
      <c r="D790" s="57"/>
      <c r="E790" s="57"/>
      <c r="F790" s="57"/>
    </row>
    <row r="791" spans="1:6" x14ac:dyDescent="0.25">
      <c r="A791" s="1"/>
      <c r="B791" s="57"/>
      <c r="C791" s="57"/>
      <c r="D791" s="57"/>
      <c r="E791" s="57"/>
      <c r="F791" s="57"/>
    </row>
    <row r="792" spans="1:6" x14ac:dyDescent="0.25">
      <c r="A792" s="1"/>
      <c r="B792" s="57"/>
      <c r="C792" s="57"/>
      <c r="D792" s="57"/>
      <c r="E792" s="57"/>
      <c r="F792" s="57"/>
    </row>
    <row r="793" spans="1:6" x14ac:dyDescent="0.25">
      <c r="A793" s="1"/>
      <c r="B793" s="57"/>
      <c r="C793" s="57"/>
      <c r="D793" s="57"/>
      <c r="E793" s="57"/>
      <c r="F793" s="57"/>
    </row>
    <row r="794" spans="1:6" x14ac:dyDescent="0.25">
      <c r="A794" s="1"/>
      <c r="B794" s="57"/>
      <c r="C794" s="57"/>
      <c r="D794" s="57"/>
      <c r="E794" s="57"/>
      <c r="F794" s="57"/>
    </row>
    <row r="795" spans="1:6" x14ac:dyDescent="0.25">
      <c r="A795" s="1"/>
      <c r="B795" s="57"/>
      <c r="C795" s="57"/>
      <c r="D795" s="57"/>
      <c r="E795" s="57"/>
      <c r="F795" s="57"/>
    </row>
    <row r="796" spans="1:6" x14ac:dyDescent="0.25">
      <c r="A796" s="1"/>
      <c r="B796" s="57"/>
      <c r="C796" s="57"/>
      <c r="D796" s="57"/>
      <c r="E796" s="57"/>
      <c r="F796" s="57"/>
    </row>
    <row r="797" spans="1:6" x14ac:dyDescent="0.25">
      <c r="A797" s="1"/>
      <c r="B797" s="57"/>
      <c r="C797" s="57"/>
      <c r="D797" s="57"/>
      <c r="E797" s="57"/>
      <c r="F797" s="57"/>
    </row>
    <row r="798" spans="1:6" x14ac:dyDescent="0.25">
      <c r="A798" s="1"/>
      <c r="B798" s="57"/>
      <c r="C798" s="57"/>
      <c r="D798" s="57"/>
      <c r="E798" s="57"/>
      <c r="F798" s="57"/>
    </row>
    <row r="799" spans="1:6" x14ac:dyDescent="0.25">
      <c r="A799" s="1"/>
      <c r="B799" s="57"/>
      <c r="C799" s="57"/>
      <c r="D799" s="57"/>
      <c r="E799" s="57"/>
      <c r="F799" s="57"/>
    </row>
    <row r="800" spans="1:6" x14ac:dyDescent="0.25">
      <c r="A800" s="1"/>
      <c r="B800" s="57"/>
      <c r="C800" s="57"/>
      <c r="D800" s="57"/>
      <c r="E800" s="57"/>
      <c r="F800" s="57"/>
    </row>
    <row r="801" spans="1:6" x14ac:dyDescent="0.25">
      <c r="A801" s="1"/>
      <c r="B801" s="57"/>
      <c r="C801" s="57"/>
      <c r="D801" s="57"/>
      <c r="E801" s="57"/>
      <c r="F801" s="57"/>
    </row>
    <row r="802" spans="1:6" x14ac:dyDescent="0.25">
      <c r="A802" s="1"/>
      <c r="B802" s="57"/>
      <c r="C802" s="57"/>
      <c r="D802" s="57"/>
      <c r="E802" s="57"/>
      <c r="F802" s="57"/>
    </row>
    <row r="803" spans="1:6" x14ac:dyDescent="0.25">
      <c r="A803" s="1"/>
      <c r="B803" s="57"/>
      <c r="C803" s="57"/>
      <c r="D803" s="57"/>
      <c r="E803" s="57"/>
      <c r="F803" s="57"/>
    </row>
    <row r="804" spans="1:6" x14ac:dyDescent="0.25">
      <c r="A804" s="1"/>
      <c r="B804" s="57"/>
      <c r="C804" s="57"/>
      <c r="D804" s="57"/>
      <c r="E804" s="57"/>
      <c r="F804" s="57"/>
    </row>
    <row r="805" spans="1:6" x14ac:dyDescent="0.25">
      <c r="A805" s="1"/>
      <c r="B805" s="57"/>
      <c r="C805" s="57"/>
      <c r="D805" s="57"/>
      <c r="E805" s="57"/>
      <c r="F805" s="57"/>
    </row>
    <row r="806" spans="1:6" x14ac:dyDescent="0.25">
      <c r="A806" s="1"/>
      <c r="B806" s="57"/>
      <c r="C806" s="57"/>
      <c r="D806" s="57"/>
      <c r="E806" s="57"/>
      <c r="F806" s="57"/>
    </row>
    <row r="807" spans="1:6" x14ac:dyDescent="0.25">
      <c r="A807" s="1"/>
      <c r="B807" s="57"/>
      <c r="C807" s="57"/>
      <c r="D807" s="57"/>
      <c r="E807" s="57"/>
      <c r="F807" s="57"/>
    </row>
    <row r="808" spans="1:6" x14ac:dyDescent="0.25">
      <c r="A808" s="1"/>
      <c r="B808" s="57"/>
      <c r="C808" s="57"/>
      <c r="D808" s="57"/>
      <c r="E808" s="57"/>
      <c r="F808" s="57"/>
    </row>
    <row r="809" spans="1:6" x14ac:dyDescent="0.25">
      <c r="A809" s="1"/>
      <c r="B809" s="57"/>
      <c r="C809" s="57"/>
      <c r="D809" s="57"/>
      <c r="E809" s="57"/>
      <c r="F809" s="57"/>
    </row>
    <row r="810" spans="1:6" x14ac:dyDescent="0.25">
      <c r="A810" s="1"/>
      <c r="B810" s="57"/>
      <c r="C810" s="57"/>
      <c r="D810" s="57"/>
      <c r="E810" s="57"/>
      <c r="F810" s="57"/>
    </row>
    <row r="811" spans="1:6" x14ac:dyDescent="0.25">
      <c r="A811" s="1"/>
      <c r="B811" s="57"/>
      <c r="C811" s="57"/>
      <c r="D811" s="57"/>
      <c r="E811" s="57"/>
      <c r="F811" s="57"/>
    </row>
    <row r="812" spans="1:6" x14ac:dyDescent="0.25">
      <c r="A812" s="1"/>
      <c r="B812" s="57"/>
      <c r="C812" s="57"/>
      <c r="D812" s="57"/>
      <c r="E812" s="57"/>
      <c r="F812" s="57"/>
    </row>
    <row r="813" spans="1:6" x14ac:dyDescent="0.25">
      <c r="A813" s="1"/>
      <c r="B813" s="57"/>
      <c r="C813" s="57"/>
      <c r="D813" s="57"/>
      <c r="E813" s="57"/>
      <c r="F813" s="57"/>
    </row>
    <row r="814" spans="1:6" x14ac:dyDescent="0.25">
      <c r="A814" s="1"/>
      <c r="B814" s="57"/>
      <c r="C814" s="57"/>
      <c r="D814" s="57"/>
      <c r="E814" s="57"/>
      <c r="F814" s="57"/>
    </row>
    <row r="815" spans="1:6" x14ac:dyDescent="0.25">
      <c r="A815" s="1"/>
      <c r="B815" s="57"/>
      <c r="C815" s="57"/>
      <c r="D815" s="57"/>
      <c r="E815" s="57"/>
      <c r="F815" s="57"/>
    </row>
    <row r="816" spans="1:6" x14ac:dyDescent="0.25">
      <c r="A816" s="1"/>
      <c r="B816" s="57"/>
      <c r="C816" s="57"/>
      <c r="D816" s="57"/>
      <c r="E816" s="57"/>
      <c r="F816" s="57"/>
    </row>
    <row r="817" spans="1:6" x14ac:dyDescent="0.25">
      <c r="A817" s="1"/>
      <c r="B817" s="57"/>
      <c r="C817" s="57"/>
      <c r="D817" s="57"/>
      <c r="E817" s="57"/>
      <c r="F817" s="57"/>
    </row>
    <row r="818" spans="1:6" x14ac:dyDescent="0.25">
      <c r="A818" s="1"/>
      <c r="B818" s="57"/>
      <c r="C818" s="57"/>
      <c r="D818" s="57"/>
      <c r="E818" s="57"/>
      <c r="F818" s="57"/>
    </row>
    <row r="819" spans="1:6" x14ac:dyDescent="0.25">
      <c r="A819" s="1"/>
      <c r="B819" s="57"/>
      <c r="C819" s="57"/>
      <c r="D819" s="57"/>
      <c r="E819" s="57"/>
      <c r="F819" s="57"/>
    </row>
    <row r="820" spans="1:6" x14ac:dyDescent="0.25">
      <c r="A820" s="1"/>
      <c r="B820" s="57"/>
      <c r="C820" s="57"/>
      <c r="D820" s="57"/>
      <c r="E820" s="57"/>
      <c r="F820" s="57"/>
    </row>
    <row r="821" spans="1:6" x14ac:dyDescent="0.25">
      <c r="A821" s="1"/>
      <c r="B821" s="57"/>
      <c r="C821" s="57"/>
      <c r="D821" s="57"/>
      <c r="E821" s="57"/>
      <c r="F821" s="57"/>
    </row>
    <row r="822" spans="1:6" x14ac:dyDescent="0.25">
      <c r="A822" s="1"/>
      <c r="B822" s="57"/>
      <c r="C822" s="57"/>
      <c r="D822" s="57"/>
      <c r="E822" s="57"/>
      <c r="F822" s="57"/>
    </row>
    <row r="823" spans="1:6" x14ac:dyDescent="0.25">
      <c r="A823" s="1"/>
      <c r="B823" s="57"/>
      <c r="C823" s="57"/>
      <c r="D823" s="57"/>
      <c r="E823" s="57"/>
      <c r="F823" s="57"/>
    </row>
    <row r="824" spans="1:6" x14ac:dyDescent="0.25">
      <c r="A824" s="1"/>
      <c r="B824" s="57"/>
      <c r="C824" s="57"/>
      <c r="D824" s="57"/>
      <c r="E824" s="57"/>
      <c r="F824" s="57"/>
    </row>
    <row r="825" spans="1:6" x14ac:dyDescent="0.25">
      <c r="A825" s="1"/>
      <c r="B825" s="57"/>
      <c r="C825" s="57"/>
      <c r="D825" s="57"/>
      <c r="E825" s="57"/>
      <c r="F825" s="57"/>
    </row>
    <row r="826" spans="1:6" x14ac:dyDescent="0.25">
      <c r="A826" s="1"/>
      <c r="B826" s="57"/>
      <c r="C826" s="57"/>
      <c r="D826" s="57"/>
      <c r="E826" s="57"/>
      <c r="F826" s="57"/>
    </row>
    <row r="827" spans="1:6" x14ac:dyDescent="0.25">
      <c r="A827" s="1"/>
      <c r="B827" s="57"/>
      <c r="C827" s="57"/>
      <c r="D827" s="57"/>
      <c r="E827" s="57"/>
      <c r="F827" s="57"/>
    </row>
    <row r="828" spans="1:6" x14ac:dyDescent="0.25">
      <c r="A828" s="1"/>
      <c r="B828" s="57"/>
      <c r="C828" s="57"/>
      <c r="D828" s="57"/>
      <c r="E828" s="57"/>
      <c r="F828" s="57"/>
    </row>
    <row r="829" spans="1:6" x14ac:dyDescent="0.25">
      <c r="A829" s="1"/>
      <c r="B829" s="57"/>
      <c r="C829" s="57"/>
      <c r="D829" s="57"/>
      <c r="E829" s="57"/>
      <c r="F829" s="57"/>
    </row>
    <row r="830" spans="1:6" x14ac:dyDescent="0.25">
      <c r="A830" s="1"/>
      <c r="B830" s="57"/>
      <c r="C830" s="57"/>
      <c r="D830" s="57"/>
      <c r="E830" s="57"/>
      <c r="F830" s="57"/>
    </row>
    <row r="831" spans="1:6" x14ac:dyDescent="0.25">
      <c r="A831" s="1"/>
      <c r="B831" s="57"/>
      <c r="C831" s="57"/>
      <c r="D831" s="57"/>
      <c r="E831" s="57"/>
      <c r="F831" s="57"/>
    </row>
    <row r="832" spans="1:6" x14ac:dyDescent="0.25">
      <c r="A832" s="1"/>
      <c r="B832" s="57"/>
      <c r="C832" s="57"/>
      <c r="D832" s="57"/>
      <c r="E832" s="57"/>
      <c r="F832" s="57"/>
    </row>
    <row r="833" spans="1:6" x14ac:dyDescent="0.25">
      <c r="A833" s="1"/>
      <c r="B833" s="57"/>
      <c r="C833" s="57"/>
      <c r="D833" s="57"/>
      <c r="E833" s="57"/>
      <c r="F833" s="57"/>
    </row>
    <row r="834" spans="1:6" x14ac:dyDescent="0.25">
      <c r="A834" s="1"/>
      <c r="B834" s="57"/>
      <c r="C834" s="57"/>
      <c r="D834" s="57"/>
      <c r="E834" s="57"/>
      <c r="F834" s="57"/>
    </row>
    <row r="835" spans="1:6" x14ac:dyDescent="0.25">
      <c r="A835" s="1"/>
      <c r="B835" s="57"/>
      <c r="C835" s="57"/>
      <c r="D835" s="57"/>
      <c r="E835" s="57"/>
      <c r="F835" s="57"/>
    </row>
    <row r="836" spans="1:6" x14ac:dyDescent="0.25">
      <c r="A836" s="1"/>
      <c r="B836" s="57"/>
      <c r="C836" s="57"/>
      <c r="D836" s="57"/>
      <c r="E836" s="57"/>
      <c r="F836" s="57"/>
    </row>
    <row r="837" spans="1:6" x14ac:dyDescent="0.25">
      <c r="A837" s="1"/>
      <c r="B837" s="57"/>
      <c r="C837" s="57"/>
      <c r="D837" s="57"/>
      <c r="E837" s="57"/>
      <c r="F837" s="57"/>
    </row>
    <row r="838" spans="1:6" x14ac:dyDescent="0.25">
      <c r="A838" s="1"/>
      <c r="B838" s="57"/>
      <c r="C838" s="57"/>
      <c r="D838" s="57"/>
      <c r="E838" s="57"/>
      <c r="F838" s="57"/>
    </row>
    <row r="839" spans="1:6" x14ac:dyDescent="0.25">
      <c r="A839" s="1"/>
      <c r="B839" s="57"/>
      <c r="C839" s="57"/>
      <c r="D839" s="57"/>
      <c r="E839" s="57"/>
      <c r="F839" s="57"/>
    </row>
    <row r="840" spans="1:6" x14ac:dyDescent="0.25">
      <c r="A840" s="1"/>
      <c r="B840" s="57"/>
      <c r="C840" s="57"/>
      <c r="D840" s="57"/>
      <c r="E840" s="57"/>
      <c r="F840" s="57"/>
    </row>
    <row r="841" spans="1:6" x14ac:dyDescent="0.25">
      <c r="A841" s="1"/>
      <c r="B841" s="57"/>
      <c r="C841" s="57"/>
      <c r="D841" s="57"/>
      <c r="E841" s="57"/>
      <c r="F841" s="57"/>
    </row>
    <row r="842" spans="1:6" x14ac:dyDescent="0.25">
      <c r="A842" s="1"/>
      <c r="B842" s="57"/>
      <c r="C842" s="57"/>
      <c r="D842" s="57"/>
      <c r="E842" s="57"/>
      <c r="F842" s="57"/>
    </row>
    <row r="843" spans="1:6" x14ac:dyDescent="0.25">
      <c r="A843" s="1"/>
      <c r="B843" s="57"/>
      <c r="C843" s="57"/>
      <c r="D843" s="57"/>
      <c r="E843" s="57"/>
      <c r="F843" s="57"/>
    </row>
    <row r="844" spans="1:6" x14ac:dyDescent="0.25">
      <c r="A844" s="1"/>
      <c r="B844" s="57"/>
      <c r="C844" s="57"/>
      <c r="D844" s="57"/>
      <c r="E844" s="57"/>
      <c r="F844" s="57"/>
    </row>
    <row r="845" spans="1:6" x14ac:dyDescent="0.25">
      <c r="A845" s="1"/>
      <c r="B845" s="57"/>
      <c r="C845" s="57"/>
      <c r="D845" s="57"/>
      <c r="E845" s="57"/>
      <c r="F845" s="57"/>
    </row>
    <row r="846" spans="1:6" x14ac:dyDescent="0.25">
      <c r="A846" s="1"/>
      <c r="B846" s="57"/>
      <c r="C846" s="57"/>
      <c r="D846" s="57"/>
      <c r="E846" s="57"/>
      <c r="F846" s="57"/>
    </row>
    <row r="847" spans="1:6" x14ac:dyDescent="0.25">
      <c r="A847" s="1"/>
      <c r="B847" s="57"/>
      <c r="C847" s="57"/>
      <c r="D847" s="57"/>
      <c r="E847" s="57"/>
      <c r="F847" s="57"/>
    </row>
    <row r="848" spans="1:6" x14ac:dyDescent="0.25">
      <c r="A848" s="1"/>
      <c r="B848" s="57"/>
      <c r="C848" s="57"/>
      <c r="D848" s="57"/>
      <c r="E848" s="57"/>
      <c r="F848" s="57"/>
    </row>
    <row r="849" spans="1:6" x14ac:dyDescent="0.25">
      <c r="A849" s="1"/>
      <c r="B849" s="57"/>
      <c r="C849" s="57"/>
      <c r="D849" s="57"/>
      <c r="E849" s="57"/>
      <c r="F849" s="57"/>
    </row>
    <row r="850" spans="1:6" x14ac:dyDescent="0.25">
      <c r="A850" s="1"/>
      <c r="B850" s="57"/>
      <c r="C850" s="57"/>
      <c r="D850" s="57"/>
      <c r="E850" s="57"/>
      <c r="F850" s="57"/>
    </row>
    <row r="851" spans="1:6" x14ac:dyDescent="0.25">
      <c r="A851" s="1"/>
      <c r="B851" s="57"/>
      <c r="C851" s="57"/>
      <c r="D851" s="57"/>
      <c r="E851" s="57"/>
      <c r="F851" s="57"/>
    </row>
    <row r="852" spans="1:6" x14ac:dyDescent="0.25">
      <c r="A852" s="1"/>
      <c r="B852" s="57"/>
      <c r="C852" s="57"/>
      <c r="D852" s="57"/>
      <c r="E852" s="57"/>
      <c r="F852" s="57"/>
    </row>
    <row r="853" spans="1:6" x14ac:dyDescent="0.25">
      <c r="A853" s="1"/>
      <c r="B853" s="57"/>
      <c r="C853" s="57"/>
      <c r="D853" s="57"/>
      <c r="E853" s="57"/>
      <c r="F853" s="57"/>
    </row>
    <row r="854" spans="1:6" x14ac:dyDescent="0.25">
      <c r="A854" s="1"/>
      <c r="B854" s="57"/>
      <c r="C854" s="57"/>
      <c r="D854" s="57"/>
      <c r="E854" s="57"/>
      <c r="F854" s="57"/>
    </row>
    <row r="855" spans="1:6" x14ac:dyDescent="0.25">
      <c r="A855" s="1"/>
      <c r="B855" s="57"/>
      <c r="C855" s="57"/>
      <c r="D855" s="57"/>
      <c r="E855" s="57"/>
      <c r="F855" s="57"/>
    </row>
    <row r="856" spans="1:6" x14ac:dyDescent="0.25">
      <c r="A856" s="1"/>
      <c r="B856" s="57"/>
      <c r="C856" s="57"/>
      <c r="D856" s="57"/>
      <c r="E856" s="57"/>
      <c r="F856" s="57"/>
    </row>
    <row r="857" spans="1:6" x14ac:dyDescent="0.25">
      <c r="A857" s="1"/>
      <c r="B857" s="57"/>
      <c r="C857" s="57"/>
      <c r="D857" s="57"/>
      <c r="E857" s="57"/>
      <c r="F857" s="57"/>
    </row>
    <row r="858" spans="1:6" x14ac:dyDescent="0.25">
      <c r="A858" s="1"/>
      <c r="B858" s="57"/>
      <c r="C858" s="57"/>
      <c r="D858" s="57"/>
      <c r="E858" s="57"/>
      <c r="F858" s="57"/>
    </row>
    <row r="859" spans="1:6" x14ac:dyDescent="0.25">
      <c r="A859" s="1"/>
      <c r="B859" s="57"/>
      <c r="C859" s="57"/>
      <c r="D859" s="57"/>
      <c r="E859" s="57"/>
      <c r="F859" s="57"/>
    </row>
    <row r="860" spans="1:6" x14ac:dyDescent="0.25">
      <c r="A860" s="1"/>
      <c r="B860" s="57"/>
      <c r="C860" s="57"/>
      <c r="D860" s="57"/>
      <c r="E860" s="57"/>
      <c r="F860" s="57"/>
    </row>
    <row r="861" spans="1:6" x14ac:dyDescent="0.25">
      <c r="A861" s="1"/>
      <c r="B861" s="57"/>
      <c r="C861" s="57"/>
      <c r="D861" s="57"/>
      <c r="E861" s="57"/>
      <c r="F861" s="57"/>
    </row>
    <row r="862" spans="1:6" x14ac:dyDescent="0.25">
      <c r="A862" s="1"/>
      <c r="B862" s="57"/>
      <c r="C862" s="57"/>
      <c r="D862" s="57"/>
      <c r="E862" s="57"/>
      <c r="F862" s="57"/>
    </row>
    <row r="863" spans="1:6" x14ac:dyDescent="0.25">
      <c r="A863" s="1"/>
      <c r="B863" s="57"/>
      <c r="C863" s="57"/>
      <c r="D863" s="57"/>
      <c r="E863" s="57"/>
      <c r="F863" s="57"/>
    </row>
    <row r="864" spans="1:6" x14ac:dyDescent="0.25">
      <c r="A864" s="1"/>
      <c r="B864" s="57"/>
      <c r="C864" s="57"/>
      <c r="D864" s="57"/>
      <c r="E864" s="57"/>
      <c r="F864" s="57"/>
    </row>
    <row r="865" spans="1:6" x14ac:dyDescent="0.25">
      <c r="A865" s="1"/>
      <c r="B865" s="57"/>
      <c r="C865" s="57"/>
      <c r="D865" s="57"/>
      <c r="E865" s="57"/>
      <c r="F865" s="57"/>
    </row>
    <row r="866" spans="1:6" x14ac:dyDescent="0.25">
      <c r="A866" s="1"/>
      <c r="B866" s="57"/>
      <c r="C866" s="57"/>
      <c r="D866" s="57"/>
      <c r="E866" s="57"/>
      <c r="F866" s="57"/>
    </row>
    <row r="867" spans="1:6" x14ac:dyDescent="0.25">
      <c r="A867" s="1"/>
      <c r="B867" s="57"/>
      <c r="C867" s="57"/>
      <c r="D867" s="57"/>
      <c r="E867" s="57"/>
      <c r="F867" s="57"/>
    </row>
    <row r="868" spans="1:6" x14ac:dyDescent="0.25">
      <c r="A868" s="1"/>
      <c r="B868" s="57"/>
      <c r="C868" s="57"/>
      <c r="D868" s="57"/>
      <c r="E868" s="57"/>
      <c r="F868" s="57"/>
    </row>
    <row r="869" spans="1:6" x14ac:dyDescent="0.25">
      <c r="A869" s="1"/>
      <c r="B869" s="57"/>
      <c r="C869" s="57"/>
      <c r="D869" s="57"/>
      <c r="E869" s="57"/>
      <c r="F869" s="57"/>
    </row>
    <row r="870" spans="1:6" x14ac:dyDescent="0.25">
      <c r="A870" s="1"/>
      <c r="B870" s="57"/>
      <c r="C870" s="57"/>
      <c r="D870" s="57"/>
      <c r="E870" s="57"/>
      <c r="F870" s="57"/>
    </row>
    <row r="871" spans="1:6" x14ac:dyDescent="0.25">
      <c r="A871" s="1"/>
      <c r="B871" s="57"/>
      <c r="C871" s="57"/>
      <c r="D871" s="57"/>
      <c r="E871" s="57"/>
      <c r="F871" s="57"/>
    </row>
    <row r="872" spans="1:6" x14ac:dyDescent="0.25">
      <c r="A872" s="1"/>
      <c r="B872" s="57"/>
      <c r="C872" s="57"/>
      <c r="D872" s="57"/>
      <c r="E872" s="57"/>
      <c r="F872" s="57"/>
    </row>
    <row r="873" spans="1:6" x14ac:dyDescent="0.25">
      <c r="A873" s="1"/>
      <c r="B873" s="57"/>
      <c r="C873" s="57"/>
      <c r="D873" s="57"/>
      <c r="E873" s="57"/>
      <c r="F873" s="57"/>
    </row>
    <row r="874" spans="1:6" x14ac:dyDescent="0.25">
      <c r="A874" s="1"/>
      <c r="B874" s="57"/>
      <c r="C874" s="57"/>
      <c r="D874" s="57"/>
      <c r="E874" s="57"/>
      <c r="F874" s="57"/>
    </row>
    <row r="875" spans="1:6" x14ac:dyDescent="0.25">
      <c r="A875" s="1"/>
      <c r="B875" s="57"/>
      <c r="C875" s="57"/>
      <c r="D875" s="57"/>
      <c r="E875" s="57"/>
      <c r="F875" s="57"/>
    </row>
    <row r="876" spans="1:6" x14ac:dyDescent="0.25">
      <c r="A876" s="1"/>
      <c r="B876" s="57"/>
      <c r="C876" s="57"/>
      <c r="D876" s="57"/>
      <c r="E876" s="57"/>
      <c r="F876" s="57"/>
    </row>
    <row r="877" spans="1:6" x14ac:dyDescent="0.25">
      <c r="A877" s="1"/>
      <c r="B877" s="57"/>
      <c r="C877" s="57"/>
      <c r="D877" s="57"/>
      <c r="E877" s="57"/>
      <c r="F877" s="57"/>
    </row>
    <row r="878" spans="1:6" x14ac:dyDescent="0.25">
      <c r="A878" s="1"/>
      <c r="B878" s="57"/>
      <c r="C878" s="57"/>
      <c r="D878" s="57"/>
      <c r="E878" s="57"/>
      <c r="F878" s="57"/>
    </row>
    <row r="879" spans="1:6" x14ac:dyDescent="0.25">
      <c r="A879" s="1"/>
      <c r="B879" s="57"/>
      <c r="C879" s="57"/>
      <c r="D879" s="57"/>
      <c r="E879" s="57"/>
      <c r="F879" s="57"/>
    </row>
    <row r="880" spans="1:6" x14ac:dyDescent="0.25">
      <c r="A880" s="1"/>
      <c r="B880" s="57"/>
      <c r="C880" s="57"/>
      <c r="D880" s="57"/>
      <c r="E880" s="57"/>
      <c r="F880" s="57"/>
    </row>
    <row r="881" spans="1:6" x14ac:dyDescent="0.25">
      <c r="A881" s="1"/>
      <c r="B881" s="57"/>
      <c r="C881" s="57"/>
      <c r="D881" s="57"/>
      <c r="E881" s="57"/>
      <c r="F881" s="57"/>
    </row>
    <row r="882" spans="1:6" x14ac:dyDescent="0.25">
      <c r="A882" s="1"/>
      <c r="B882" s="57"/>
      <c r="C882" s="57"/>
      <c r="D882" s="57"/>
      <c r="E882" s="57"/>
      <c r="F882" s="57"/>
    </row>
    <row r="883" spans="1:6" x14ac:dyDescent="0.25">
      <c r="A883" s="1"/>
      <c r="B883" s="57"/>
      <c r="C883" s="57"/>
      <c r="D883" s="57"/>
      <c r="E883" s="57"/>
      <c r="F883" s="57"/>
    </row>
    <row r="884" spans="1:6" x14ac:dyDescent="0.25">
      <c r="A884" s="1"/>
      <c r="B884" s="57"/>
      <c r="C884" s="57"/>
      <c r="D884" s="57"/>
      <c r="E884" s="57"/>
      <c r="F884" s="57"/>
    </row>
    <row r="885" spans="1:6" x14ac:dyDescent="0.25">
      <c r="A885" s="1"/>
      <c r="B885" s="57"/>
      <c r="C885" s="57"/>
      <c r="D885" s="57"/>
      <c r="E885" s="57"/>
      <c r="F885" s="57"/>
    </row>
    <row r="886" spans="1:6" x14ac:dyDescent="0.25">
      <c r="A886" s="1"/>
      <c r="B886" s="57"/>
      <c r="C886" s="57"/>
      <c r="D886" s="57"/>
      <c r="E886" s="57"/>
      <c r="F886" s="57"/>
    </row>
    <row r="887" spans="1:6" x14ac:dyDescent="0.25">
      <c r="A887" s="1"/>
      <c r="B887" s="57"/>
      <c r="C887" s="57"/>
      <c r="D887" s="57"/>
      <c r="E887" s="57"/>
      <c r="F887" s="57"/>
    </row>
    <row r="888" spans="1:6" x14ac:dyDescent="0.25">
      <c r="A888" s="1"/>
      <c r="B888" s="57"/>
      <c r="C888" s="57"/>
      <c r="D888" s="57"/>
      <c r="E888" s="57"/>
      <c r="F888" s="57"/>
    </row>
    <row r="889" spans="1:6" x14ac:dyDescent="0.25">
      <c r="A889" s="1"/>
      <c r="B889" s="57"/>
      <c r="C889" s="57"/>
      <c r="D889" s="57"/>
      <c r="E889" s="57"/>
      <c r="F889" s="57"/>
    </row>
    <row r="890" spans="1:6" x14ac:dyDescent="0.25">
      <c r="A890" s="1"/>
      <c r="B890" s="57"/>
      <c r="C890" s="57"/>
      <c r="D890" s="57"/>
      <c r="E890" s="57"/>
      <c r="F890" s="57"/>
    </row>
    <row r="891" spans="1:6" x14ac:dyDescent="0.25">
      <c r="A891" s="1"/>
      <c r="B891" s="57"/>
      <c r="C891" s="57"/>
      <c r="D891" s="57"/>
      <c r="E891" s="57"/>
      <c r="F891" s="57"/>
    </row>
    <row r="892" spans="1:6" x14ac:dyDescent="0.25">
      <c r="A892" s="1"/>
      <c r="B892" s="57"/>
      <c r="C892" s="57"/>
      <c r="D892" s="57"/>
      <c r="E892" s="57"/>
      <c r="F892" s="57"/>
    </row>
    <row r="893" spans="1:6" x14ac:dyDescent="0.25">
      <c r="A893" s="1"/>
      <c r="B893" s="57"/>
      <c r="C893" s="57"/>
      <c r="D893" s="57"/>
      <c r="E893" s="57"/>
      <c r="F893" s="57"/>
    </row>
    <row r="894" spans="1:6" x14ac:dyDescent="0.25">
      <c r="A894" s="1"/>
      <c r="B894" s="57"/>
      <c r="C894" s="57"/>
      <c r="D894" s="57"/>
      <c r="E894" s="57"/>
      <c r="F894" s="57"/>
    </row>
    <row r="895" spans="1:6" x14ac:dyDescent="0.25">
      <c r="A895" s="1"/>
      <c r="B895" s="57"/>
      <c r="C895" s="57"/>
      <c r="D895" s="57"/>
      <c r="E895" s="57"/>
      <c r="F895" s="57"/>
    </row>
    <row r="896" spans="1:6" x14ac:dyDescent="0.25">
      <c r="A896" s="1"/>
      <c r="B896" s="57"/>
      <c r="C896" s="57"/>
      <c r="D896" s="57"/>
      <c r="E896" s="57"/>
      <c r="F896" s="57"/>
    </row>
    <row r="897" spans="1:6" x14ac:dyDescent="0.25">
      <c r="A897" s="1"/>
      <c r="B897" s="57"/>
      <c r="C897" s="57"/>
      <c r="D897" s="57"/>
      <c r="E897" s="57"/>
      <c r="F897" s="57"/>
    </row>
    <row r="898" spans="1:6" x14ac:dyDescent="0.25">
      <c r="A898" s="1"/>
      <c r="B898" s="57"/>
      <c r="C898" s="57"/>
      <c r="D898" s="57"/>
      <c r="E898" s="57"/>
      <c r="F898" s="57"/>
    </row>
    <row r="899" spans="1:6" x14ac:dyDescent="0.25">
      <c r="A899" s="1"/>
      <c r="B899" s="57"/>
      <c r="C899" s="57"/>
      <c r="D899" s="57"/>
      <c r="E899" s="57"/>
      <c r="F899" s="57"/>
    </row>
    <row r="900" spans="1:6" x14ac:dyDescent="0.25">
      <c r="A900" s="1"/>
      <c r="B900" s="57"/>
      <c r="C900" s="57"/>
      <c r="D900" s="57"/>
      <c r="E900" s="57"/>
      <c r="F900" s="57"/>
    </row>
    <row r="901" spans="1:6" x14ac:dyDescent="0.25">
      <c r="A901" s="1"/>
      <c r="B901" s="57"/>
      <c r="C901" s="57"/>
      <c r="D901" s="57"/>
      <c r="E901" s="57"/>
      <c r="F901" s="57"/>
    </row>
    <row r="902" spans="1:6" x14ac:dyDescent="0.25">
      <c r="A902" s="1"/>
      <c r="B902" s="57"/>
      <c r="C902" s="57"/>
      <c r="D902" s="57"/>
      <c r="E902" s="57"/>
      <c r="F902" s="57"/>
    </row>
    <row r="903" spans="1:6" x14ac:dyDescent="0.25">
      <c r="A903" s="1"/>
      <c r="B903" s="57"/>
      <c r="C903" s="57"/>
      <c r="D903" s="57"/>
      <c r="E903" s="57"/>
      <c r="F903" s="57"/>
    </row>
    <row r="904" spans="1:6" x14ac:dyDescent="0.25">
      <c r="A904" s="1"/>
      <c r="B904" s="57"/>
      <c r="C904" s="57"/>
      <c r="D904" s="57"/>
      <c r="E904" s="57"/>
      <c r="F904" s="57"/>
    </row>
    <row r="905" spans="1:6" x14ac:dyDescent="0.25">
      <c r="A905" s="1"/>
      <c r="B905" s="57"/>
      <c r="C905" s="57"/>
      <c r="D905" s="57"/>
      <c r="E905" s="57"/>
      <c r="F905" s="57"/>
    </row>
    <row r="906" spans="1:6" x14ac:dyDescent="0.25">
      <c r="A906" s="1"/>
      <c r="B906" s="57"/>
      <c r="C906" s="57"/>
      <c r="D906" s="57"/>
      <c r="E906" s="57"/>
      <c r="F906" s="57"/>
    </row>
    <row r="907" spans="1:6" x14ac:dyDescent="0.25">
      <c r="A907" s="1"/>
      <c r="B907" s="57"/>
      <c r="C907" s="57"/>
      <c r="D907" s="57"/>
      <c r="E907" s="57"/>
      <c r="F907" s="57"/>
    </row>
    <row r="908" spans="1:6" x14ac:dyDescent="0.25">
      <c r="A908" s="1"/>
      <c r="B908" s="57"/>
      <c r="C908" s="57"/>
      <c r="D908" s="57"/>
      <c r="E908" s="57"/>
      <c r="F908" s="57"/>
    </row>
    <row r="909" spans="1:6" x14ac:dyDescent="0.25">
      <c r="A909" s="1"/>
      <c r="B909" s="57"/>
      <c r="C909" s="57"/>
      <c r="D909" s="57"/>
      <c r="E909" s="57"/>
      <c r="F909" s="57"/>
    </row>
    <row r="910" spans="1:6" x14ac:dyDescent="0.25">
      <c r="A910" s="1"/>
      <c r="B910" s="57"/>
      <c r="C910" s="57"/>
      <c r="D910" s="57"/>
      <c r="E910" s="57"/>
      <c r="F910" s="57"/>
    </row>
    <row r="911" spans="1:6" x14ac:dyDescent="0.25">
      <c r="A911" s="1"/>
      <c r="B911" s="57"/>
      <c r="C911" s="57"/>
      <c r="D911" s="57"/>
      <c r="E911" s="57"/>
      <c r="F911" s="57"/>
    </row>
    <row r="912" spans="1:6" x14ac:dyDescent="0.25">
      <c r="A912" s="1"/>
      <c r="B912" s="57"/>
      <c r="C912" s="57"/>
      <c r="D912" s="57"/>
      <c r="E912" s="57"/>
      <c r="F912" s="57"/>
    </row>
    <row r="913" spans="1:6" x14ac:dyDescent="0.25">
      <c r="A913" s="1"/>
      <c r="B913" s="57"/>
      <c r="C913" s="57"/>
      <c r="D913" s="57"/>
      <c r="E913" s="57"/>
      <c r="F913" s="57"/>
    </row>
    <row r="914" spans="1:6" x14ac:dyDescent="0.25">
      <c r="A914" s="1"/>
      <c r="B914" s="57"/>
      <c r="C914" s="57"/>
      <c r="D914" s="57"/>
      <c r="E914" s="57"/>
      <c r="F914" s="57"/>
    </row>
    <row r="915" spans="1:6" x14ac:dyDescent="0.25">
      <c r="A915" s="1"/>
      <c r="B915" s="57"/>
      <c r="C915" s="57"/>
      <c r="D915" s="57"/>
      <c r="E915" s="57"/>
      <c r="F915" s="57"/>
    </row>
    <row r="916" spans="1:6" x14ac:dyDescent="0.25">
      <c r="A916" s="1"/>
      <c r="B916" s="57"/>
      <c r="C916" s="57"/>
      <c r="D916" s="57"/>
      <c r="E916" s="57"/>
      <c r="F916" s="57"/>
    </row>
    <row r="917" spans="1:6" x14ac:dyDescent="0.25">
      <c r="A917" s="1"/>
      <c r="B917" s="57"/>
      <c r="C917" s="57"/>
      <c r="D917" s="57"/>
      <c r="E917" s="57"/>
      <c r="F917" s="57"/>
    </row>
    <row r="918" spans="1:6" x14ac:dyDescent="0.25">
      <c r="A918" s="1"/>
      <c r="B918" s="57"/>
      <c r="C918" s="57"/>
      <c r="D918" s="57"/>
      <c r="E918" s="57"/>
      <c r="F918" s="57"/>
    </row>
    <row r="919" spans="1:6" x14ac:dyDescent="0.25">
      <c r="A919" s="1"/>
      <c r="B919" s="57"/>
      <c r="C919" s="57"/>
      <c r="D919" s="57"/>
      <c r="E919" s="57"/>
      <c r="F919" s="57"/>
    </row>
    <row r="920" spans="1:6" x14ac:dyDescent="0.25">
      <c r="A920" s="1"/>
      <c r="B920" s="57"/>
      <c r="C920" s="57"/>
      <c r="D920" s="57"/>
      <c r="E920" s="57"/>
      <c r="F920" s="57"/>
    </row>
    <row r="921" spans="1:6" x14ac:dyDescent="0.25">
      <c r="A921" s="1"/>
      <c r="B921" s="57"/>
      <c r="C921" s="57"/>
      <c r="D921" s="57"/>
      <c r="E921" s="57"/>
      <c r="F921" s="57"/>
    </row>
    <row r="922" spans="1:6" x14ac:dyDescent="0.25">
      <c r="A922" s="1"/>
      <c r="B922" s="57"/>
      <c r="C922" s="57"/>
      <c r="D922" s="57"/>
      <c r="E922" s="57"/>
      <c r="F922" s="57"/>
    </row>
    <row r="923" spans="1:6" x14ac:dyDescent="0.25">
      <c r="A923" s="1"/>
      <c r="B923" s="57"/>
      <c r="C923" s="57"/>
      <c r="D923" s="57"/>
      <c r="E923" s="57"/>
      <c r="F923" s="57"/>
    </row>
    <row r="924" spans="1:6" x14ac:dyDescent="0.25">
      <c r="A924" s="1"/>
      <c r="B924" s="57"/>
      <c r="C924" s="57"/>
      <c r="D924" s="57"/>
      <c r="E924" s="57"/>
      <c r="F924" s="57"/>
    </row>
    <row r="925" spans="1:6" x14ac:dyDescent="0.25">
      <c r="A925" s="1"/>
      <c r="B925" s="57"/>
      <c r="C925" s="57"/>
      <c r="D925" s="57"/>
      <c r="E925" s="57"/>
      <c r="F925" s="57"/>
    </row>
    <row r="926" spans="1:6" x14ac:dyDescent="0.25">
      <c r="A926" s="1"/>
      <c r="B926" s="57"/>
      <c r="C926" s="57"/>
      <c r="D926" s="57"/>
      <c r="E926" s="57"/>
      <c r="F926" s="57"/>
    </row>
    <row r="927" spans="1:6" x14ac:dyDescent="0.25">
      <c r="A927" s="1"/>
      <c r="B927" s="57"/>
      <c r="C927" s="57"/>
      <c r="D927" s="57"/>
      <c r="E927" s="57"/>
      <c r="F927" s="57"/>
    </row>
    <row r="928" spans="1:6" x14ac:dyDescent="0.25">
      <c r="A928" s="1"/>
      <c r="B928" s="57"/>
      <c r="C928" s="57"/>
      <c r="D928" s="57"/>
      <c r="E928" s="57"/>
      <c r="F928" s="57"/>
    </row>
    <row r="929" spans="1:6" x14ac:dyDescent="0.25">
      <c r="A929" s="1"/>
      <c r="B929" s="57"/>
      <c r="C929" s="57"/>
      <c r="D929" s="57"/>
      <c r="E929" s="57"/>
      <c r="F929" s="57"/>
    </row>
    <row r="930" spans="1:6" x14ac:dyDescent="0.25">
      <c r="A930" s="1"/>
      <c r="B930" s="57"/>
      <c r="C930" s="57"/>
      <c r="D930" s="57"/>
      <c r="E930" s="57"/>
      <c r="F930" s="57"/>
    </row>
    <row r="931" spans="1:6" x14ac:dyDescent="0.25">
      <c r="A931" s="1"/>
      <c r="B931" s="57"/>
      <c r="C931" s="57"/>
      <c r="D931" s="57"/>
      <c r="E931" s="57"/>
      <c r="F931" s="57"/>
    </row>
    <row r="932" spans="1:6" x14ac:dyDescent="0.25">
      <c r="A932" s="1"/>
      <c r="B932" s="57"/>
      <c r="C932" s="57"/>
      <c r="D932" s="57"/>
      <c r="E932" s="57"/>
      <c r="F932" s="57"/>
    </row>
    <row r="933" spans="1:6" x14ac:dyDescent="0.25">
      <c r="A933" s="1"/>
      <c r="B933" s="57"/>
      <c r="C933" s="57"/>
      <c r="D933" s="57"/>
      <c r="E933" s="57"/>
      <c r="F933" s="57"/>
    </row>
    <row r="934" spans="1:6" x14ac:dyDescent="0.25">
      <c r="A934" s="1"/>
      <c r="B934" s="57"/>
      <c r="C934" s="57"/>
      <c r="D934" s="57"/>
      <c r="E934" s="57"/>
      <c r="F934" s="57"/>
    </row>
    <row r="935" spans="1:6" x14ac:dyDescent="0.25">
      <c r="A935" s="1"/>
      <c r="B935" s="57"/>
      <c r="C935" s="57"/>
      <c r="D935" s="57"/>
      <c r="E935" s="57"/>
      <c r="F935" s="57"/>
    </row>
    <row r="936" spans="1:6" x14ac:dyDescent="0.25">
      <c r="A936" s="1"/>
      <c r="B936" s="57"/>
      <c r="C936" s="57"/>
      <c r="D936" s="57"/>
      <c r="E936" s="57"/>
      <c r="F936" s="57"/>
    </row>
    <row r="937" spans="1:6" x14ac:dyDescent="0.25">
      <c r="A937" s="1"/>
      <c r="B937" s="57"/>
      <c r="C937" s="57"/>
      <c r="D937" s="57"/>
      <c r="E937" s="57"/>
      <c r="F937" s="57"/>
    </row>
    <row r="938" spans="1:6" x14ac:dyDescent="0.25">
      <c r="A938" s="1"/>
      <c r="B938" s="57"/>
      <c r="C938" s="57"/>
      <c r="D938" s="57"/>
      <c r="E938" s="57"/>
      <c r="F938" s="57"/>
    </row>
    <row r="939" spans="1:6" x14ac:dyDescent="0.25">
      <c r="A939" s="1"/>
      <c r="B939" s="57"/>
      <c r="C939" s="57"/>
      <c r="D939" s="57"/>
      <c r="E939" s="57"/>
      <c r="F939" s="57"/>
    </row>
    <row r="940" spans="1:6" x14ac:dyDescent="0.25">
      <c r="A940" s="1"/>
      <c r="B940" s="57"/>
      <c r="C940" s="57"/>
      <c r="D940" s="57"/>
      <c r="E940" s="57"/>
      <c r="F940" s="57"/>
    </row>
    <row r="941" spans="1:6" x14ac:dyDescent="0.25">
      <c r="A941" s="1"/>
      <c r="B941" s="57"/>
      <c r="C941" s="57"/>
      <c r="D941" s="57"/>
      <c r="E941" s="57"/>
      <c r="F941" s="57"/>
    </row>
    <row r="942" spans="1:6" x14ac:dyDescent="0.25">
      <c r="A942" s="1"/>
      <c r="B942" s="57"/>
      <c r="C942" s="57"/>
      <c r="D942" s="57"/>
      <c r="E942" s="57"/>
      <c r="F942" s="57"/>
    </row>
    <row r="943" spans="1:6" x14ac:dyDescent="0.25">
      <c r="A943" s="1"/>
      <c r="B943" s="57"/>
      <c r="C943" s="57"/>
      <c r="D943" s="57"/>
      <c r="E943" s="57"/>
      <c r="F943" s="57"/>
    </row>
    <row r="944" spans="1:6" x14ac:dyDescent="0.25">
      <c r="A944" s="1"/>
      <c r="B944" s="57"/>
      <c r="C944" s="57"/>
      <c r="D944" s="57"/>
      <c r="E944" s="57"/>
      <c r="F944" s="57"/>
    </row>
    <row r="945" spans="1:6" x14ac:dyDescent="0.25">
      <c r="A945" s="1"/>
      <c r="B945" s="57"/>
      <c r="C945" s="57"/>
      <c r="D945" s="57"/>
      <c r="E945" s="57"/>
      <c r="F945" s="57"/>
    </row>
    <row r="946" spans="1:6" x14ac:dyDescent="0.25">
      <c r="A946" s="1"/>
      <c r="B946" s="57"/>
      <c r="C946" s="57"/>
      <c r="D946" s="57"/>
      <c r="E946" s="57"/>
      <c r="F946" s="57"/>
    </row>
    <row r="947" spans="1:6" x14ac:dyDescent="0.25">
      <c r="A947" s="1"/>
      <c r="B947" s="57"/>
      <c r="C947" s="57"/>
      <c r="D947" s="57"/>
      <c r="E947" s="57"/>
      <c r="F947" s="57"/>
    </row>
    <row r="948" spans="1:6" x14ac:dyDescent="0.25">
      <c r="A948" s="1"/>
      <c r="B948" s="57"/>
      <c r="C948" s="57"/>
      <c r="D948" s="57"/>
      <c r="E948" s="57"/>
      <c r="F948" s="57"/>
    </row>
    <row r="949" spans="1:6" x14ac:dyDescent="0.25">
      <c r="A949" s="1"/>
      <c r="B949" s="57"/>
      <c r="C949" s="57"/>
      <c r="D949" s="57"/>
      <c r="E949" s="57"/>
      <c r="F949" s="57"/>
    </row>
    <row r="950" spans="1:6" x14ac:dyDescent="0.25">
      <c r="A950" s="1"/>
      <c r="B950" s="57"/>
      <c r="C950" s="57"/>
      <c r="D950" s="57"/>
      <c r="E950" s="57"/>
      <c r="F950" s="57"/>
    </row>
    <row r="951" spans="1:6" x14ac:dyDescent="0.25">
      <c r="A951" s="1"/>
      <c r="B951" s="57"/>
      <c r="C951" s="57"/>
      <c r="D951" s="57"/>
      <c r="E951" s="57"/>
      <c r="F951" s="57"/>
    </row>
    <row r="952" spans="1:6" x14ac:dyDescent="0.25">
      <c r="A952" s="1"/>
      <c r="B952" s="57"/>
      <c r="C952" s="57"/>
      <c r="D952" s="57"/>
      <c r="E952" s="57"/>
      <c r="F952" s="57"/>
    </row>
    <row r="953" spans="1:6" x14ac:dyDescent="0.25">
      <c r="A953" s="1"/>
      <c r="B953" s="57"/>
      <c r="C953" s="57"/>
      <c r="D953" s="57"/>
      <c r="E953" s="57"/>
      <c r="F953" s="57"/>
    </row>
    <row r="954" spans="1:6" x14ac:dyDescent="0.25">
      <c r="A954" s="1"/>
      <c r="B954" s="57"/>
      <c r="C954" s="57"/>
      <c r="D954" s="57"/>
      <c r="E954" s="57"/>
      <c r="F954" s="57"/>
    </row>
    <row r="955" spans="1:6" x14ac:dyDescent="0.25">
      <c r="A955" s="1"/>
      <c r="B955" s="57"/>
      <c r="C955" s="57"/>
      <c r="D955" s="57"/>
      <c r="E955" s="57"/>
      <c r="F955" s="57"/>
    </row>
    <row r="956" spans="1:6" x14ac:dyDescent="0.25">
      <c r="A956" s="1"/>
      <c r="B956" s="57"/>
      <c r="C956" s="57"/>
      <c r="D956" s="57"/>
      <c r="E956" s="57"/>
      <c r="F956" s="57"/>
    </row>
    <row r="957" spans="1:6" x14ac:dyDescent="0.25">
      <c r="A957" s="1"/>
      <c r="B957" s="57"/>
      <c r="C957" s="57"/>
      <c r="D957" s="57"/>
      <c r="E957" s="57"/>
      <c r="F957" s="57"/>
    </row>
    <row r="958" spans="1:6" x14ac:dyDescent="0.25">
      <c r="A958" s="1"/>
      <c r="B958" s="57"/>
      <c r="C958" s="57"/>
      <c r="D958" s="57"/>
      <c r="E958" s="57"/>
      <c r="F958" s="57"/>
    </row>
    <row r="959" spans="1:6" x14ac:dyDescent="0.25">
      <c r="A959" s="1"/>
      <c r="B959" s="57"/>
      <c r="C959" s="57"/>
      <c r="D959" s="57"/>
      <c r="E959" s="57"/>
      <c r="F959" s="57"/>
    </row>
    <row r="960" spans="1:6" x14ac:dyDescent="0.25">
      <c r="A960" s="1"/>
      <c r="B960" s="57"/>
      <c r="C960" s="57"/>
      <c r="D960" s="57"/>
      <c r="E960" s="57"/>
      <c r="F960" s="57"/>
    </row>
    <row r="961" spans="1:6" x14ac:dyDescent="0.25">
      <c r="A961" s="1"/>
      <c r="B961" s="57"/>
      <c r="C961" s="57"/>
      <c r="D961" s="57"/>
      <c r="E961" s="57"/>
      <c r="F961" s="57"/>
    </row>
    <row r="962" spans="1:6" x14ac:dyDescent="0.25">
      <c r="A962" s="1"/>
      <c r="B962" s="57"/>
      <c r="C962" s="57"/>
      <c r="D962" s="57"/>
      <c r="E962" s="57"/>
      <c r="F962" s="57"/>
    </row>
    <row r="963" spans="1:6" x14ac:dyDescent="0.25">
      <c r="A963" s="1"/>
      <c r="B963" s="57"/>
      <c r="C963" s="57"/>
      <c r="D963" s="57"/>
      <c r="E963" s="57"/>
      <c r="F963" s="57"/>
    </row>
    <row r="964" spans="1:6" x14ac:dyDescent="0.25">
      <c r="A964" s="1"/>
      <c r="B964" s="57"/>
      <c r="C964" s="57"/>
      <c r="D964" s="57"/>
      <c r="E964" s="57"/>
      <c r="F964" s="57"/>
    </row>
    <row r="965" spans="1:6" x14ac:dyDescent="0.25">
      <c r="A965" s="1"/>
      <c r="B965" s="57"/>
      <c r="C965" s="57"/>
      <c r="D965" s="57"/>
      <c r="E965" s="57"/>
      <c r="F965" s="57"/>
    </row>
    <row r="966" spans="1:6" x14ac:dyDescent="0.25">
      <c r="A966" s="1"/>
      <c r="B966" s="57"/>
      <c r="C966" s="57"/>
      <c r="D966" s="57"/>
      <c r="E966" s="57"/>
      <c r="F966" s="57"/>
    </row>
    <row r="967" spans="1:6" x14ac:dyDescent="0.25">
      <c r="A967" s="1"/>
      <c r="B967" s="57"/>
      <c r="C967" s="57"/>
      <c r="D967" s="57"/>
      <c r="E967" s="57"/>
      <c r="F967" s="57"/>
    </row>
    <row r="968" spans="1:6" x14ac:dyDescent="0.25">
      <c r="A968" s="1"/>
      <c r="B968" s="57"/>
      <c r="C968" s="57"/>
      <c r="D968" s="57"/>
      <c r="E968" s="57"/>
      <c r="F968" s="57"/>
    </row>
    <row r="969" spans="1:6" x14ac:dyDescent="0.25">
      <c r="A969" s="1"/>
      <c r="B969" s="57"/>
      <c r="C969" s="57"/>
      <c r="D969" s="57"/>
      <c r="E969" s="57"/>
      <c r="F969" s="57"/>
    </row>
    <row r="970" spans="1:6" x14ac:dyDescent="0.25">
      <c r="A970" s="1"/>
      <c r="B970" s="57"/>
      <c r="C970" s="57"/>
      <c r="D970" s="57"/>
      <c r="E970" s="57"/>
      <c r="F970" s="57"/>
    </row>
    <row r="971" spans="1:6" x14ac:dyDescent="0.25">
      <c r="A971" s="1"/>
      <c r="B971" s="57"/>
      <c r="C971" s="57"/>
      <c r="D971" s="57"/>
      <c r="E971" s="57"/>
      <c r="F971" s="57"/>
    </row>
    <row r="972" spans="1:6" x14ac:dyDescent="0.25">
      <c r="A972" s="1"/>
      <c r="B972" s="57"/>
      <c r="C972" s="57"/>
      <c r="D972" s="57"/>
      <c r="E972" s="57"/>
      <c r="F972" s="57"/>
    </row>
    <row r="973" spans="1:6" x14ac:dyDescent="0.25">
      <c r="A973" s="1"/>
      <c r="B973" s="57"/>
      <c r="C973" s="57"/>
      <c r="D973" s="57"/>
      <c r="E973" s="57"/>
      <c r="F973" s="57"/>
    </row>
    <row r="974" spans="1:6" x14ac:dyDescent="0.25">
      <c r="A974" s="1"/>
      <c r="B974" s="57"/>
      <c r="C974" s="57"/>
      <c r="D974" s="57"/>
      <c r="E974" s="57"/>
      <c r="F974" s="57"/>
    </row>
    <row r="975" spans="1:6" x14ac:dyDescent="0.25">
      <c r="A975" s="1"/>
      <c r="B975" s="57"/>
      <c r="C975" s="57"/>
      <c r="D975" s="57"/>
      <c r="E975" s="57"/>
      <c r="F975" s="57"/>
    </row>
    <row r="976" spans="1:6" x14ac:dyDescent="0.25">
      <c r="A976" s="1"/>
      <c r="B976" s="57"/>
      <c r="C976" s="57"/>
      <c r="D976" s="57"/>
      <c r="E976" s="57"/>
      <c r="F976" s="57"/>
    </row>
    <row r="977" spans="1:6" x14ac:dyDescent="0.25">
      <c r="A977" s="1"/>
      <c r="B977" s="57"/>
      <c r="C977" s="57"/>
      <c r="D977" s="57"/>
      <c r="E977" s="57"/>
      <c r="F977" s="57"/>
    </row>
    <row r="978" spans="1:6" x14ac:dyDescent="0.25">
      <c r="A978" s="1"/>
      <c r="B978" s="57"/>
      <c r="C978" s="57"/>
      <c r="D978" s="57"/>
      <c r="E978" s="57"/>
      <c r="F978" s="57"/>
    </row>
    <row r="979" spans="1:6" x14ac:dyDescent="0.25">
      <c r="A979" s="1"/>
      <c r="B979" s="57"/>
      <c r="C979" s="57"/>
      <c r="D979" s="57"/>
      <c r="E979" s="57"/>
      <c r="F979" s="57"/>
    </row>
    <row r="980" spans="1:6" x14ac:dyDescent="0.25">
      <c r="A980" s="1"/>
      <c r="B980" s="57"/>
      <c r="C980" s="57"/>
      <c r="D980" s="57"/>
      <c r="E980" s="57"/>
      <c r="F980" s="57"/>
    </row>
    <row r="981" spans="1:6" x14ac:dyDescent="0.25">
      <c r="A981" s="1"/>
      <c r="B981" s="57"/>
      <c r="C981" s="57"/>
      <c r="D981" s="57"/>
      <c r="E981" s="57"/>
      <c r="F981" s="57"/>
    </row>
    <row r="982" spans="1:6" x14ac:dyDescent="0.25">
      <c r="A982" s="1"/>
      <c r="B982" s="57"/>
      <c r="C982" s="57"/>
      <c r="D982" s="57"/>
      <c r="E982" s="57"/>
      <c r="F982" s="57"/>
    </row>
    <row r="983" spans="1:6" x14ac:dyDescent="0.25">
      <c r="A983" s="1"/>
      <c r="B983" s="57"/>
      <c r="C983" s="57"/>
      <c r="D983" s="57"/>
      <c r="E983" s="57"/>
      <c r="F983" s="57"/>
    </row>
    <row r="984" spans="1:6" x14ac:dyDescent="0.25">
      <c r="A984" s="1"/>
      <c r="B984" s="57"/>
      <c r="C984" s="57"/>
      <c r="D984" s="57"/>
      <c r="E984" s="57"/>
      <c r="F984" s="57"/>
    </row>
    <row r="985" spans="1:6" x14ac:dyDescent="0.25">
      <c r="A985" s="1"/>
      <c r="B985" s="57"/>
      <c r="C985" s="57"/>
      <c r="D985" s="57"/>
      <c r="E985" s="57"/>
      <c r="F985" s="57"/>
    </row>
    <row r="986" spans="1:6" x14ac:dyDescent="0.25">
      <c r="A986" s="1"/>
      <c r="B986" s="57"/>
      <c r="C986" s="57"/>
      <c r="D986" s="57"/>
      <c r="E986" s="57"/>
      <c r="F986" s="57"/>
    </row>
    <row r="987" spans="1:6" x14ac:dyDescent="0.25">
      <c r="A987" s="1"/>
      <c r="B987" s="57"/>
      <c r="C987" s="57"/>
      <c r="D987" s="57"/>
      <c r="E987" s="57"/>
      <c r="F987" s="57"/>
    </row>
    <row r="988" spans="1:6" x14ac:dyDescent="0.25">
      <c r="A988" s="1"/>
      <c r="B988" s="57"/>
      <c r="C988" s="57"/>
      <c r="D988" s="57"/>
      <c r="E988" s="57"/>
      <c r="F988" s="57"/>
    </row>
    <row r="989" spans="1:6" x14ac:dyDescent="0.25">
      <c r="A989" s="1"/>
      <c r="B989" s="57"/>
      <c r="C989" s="57"/>
      <c r="D989" s="57"/>
      <c r="E989" s="57"/>
      <c r="F989" s="57"/>
    </row>
    <row r="990" spans="1:6" x14ac:dyDescent="0.25">
      <c r="A990" s="1"/>
      <c r="B990" s="57"/>
      <c r="C990" s="57"/>
      <c r="D990" s="57"/>
      <c r="E990" s="57"/>
      <c r="F990" s="57"/>
    </row>
    <row r="991" spans="1:6" x14ac:dyDescent="0.25">
      <c r="A991" s="1"/>
      <c r="B991" s="57"/>
      <c r="C991" s="57"/>
      <c r="D991" s="57"/>
      <c r="E991" s="57"/>
      <c r="F991" s="57"/>
    </row>
    <row r="992" spans="1:6" x14ac:dyDescent="0.25">
      <c r="A992" s="1"/>
      <c r="B992" s="57"/>
      <c r="C992" s="57"/>
      <c r="D992" s="57"/>
      <c r="E992" s="57"/>
      <c r="F992" s="57"/>
    </row>
    <row r="993" spans="1:6" x14ac:dyDescent="0.25">
      <c r="A993" s="1"/>
      <c r="B993" s="57"/>
      <c r="C993" s="57"/>
      <c r="D993" s="57"/>
      <c r="E993" s="57"/>
      <c r="F993" s="57"/>
    </row>
    <row r="994" spans="1:6" x14ac:dyDescent="0.25">
      <c r="A994" s="1"/>
      <c r="B994" s="57"/>
      <c r="C994" s="57"/>
      <c r="D994" s="57"/>
      <c r="E994" s="57"/>
      <c r="F994" s="57"/>
    </row>
    <row r="995" spans="1:6" x14ac:dyDescent="0.25">
      <c r="A995" s="1"/>
      <c r="B995" s="57"/>
      <c r="C995" s="57"/>
      <c r="D995" s="57"/>
      <c r="E995" s="57"/>
      <c r="F995" s="57"/>
    </row>
    <row r="996" spans="1:6" x14ac:dyDescent="0.25">
      <c r="A996" s="1"/>
      <c r="B996" s="57"/>
      <c r="C996" s="57"/>
      <c r="D996" s="57"/>
      <c r="E996" s="57"/>
      <c r="F996" s="57"/>
    </row>
    <row r="997" spans="1:6" x14ac:dyDescent="0.25">
      <c r="A997" s="1"/>
      <c r="B997" s="57"/>
      <c r="C997" s="57"/>
      <c r="D997" s="57"/>
      <c r="E997" s="57"/>
      <c r="F997" s="57"/>
    </row>
    <row r="998" spans="1:6" x14ac:dyDescent="0.25">
      <c r="A998" s="1"/>
      <c r="B998" s="57"/>
      <c r="C998" s="57"/>
      <c r="D998" s="57"/>
      <c r="E998" s="57"/>
      <c r="F998" s="57"/>
    </row>
    <row r="999" spans="1:6" x14ac:dyDescent="0.25">
      <c r="A999" s="1"/>
      <c r="B999" s="57"/>
      <c r="C999" s="57"/>
      <c r="D999" s="57"/>
      <c r="E999" s="57"/>
      <c r="F999" s="57"/>
    </row>
    <row r="1000" spans="1:6" x14ac:dyDescent="0.25">
      <c r="A1000" s="1"/>
      <c r="B1000" s="57"/>
      <c r="C1000" s="57"/>
      <c r="D1000" s="57"/>
      <c r="E1000" s="57"/>
      <c r="F1000" s="57"/>
    </row>
    <row r="1001" spans="1:6" x14ac:dyDescent="0.25">
      <c r="A1001" s="1"/>
      <c r="B1001" s="57"/>
      <c r="C1001" s="57"/>
      <c r="D1001" s="57"/>
      <c r="E1001" s="57"/>
      <c r="F1001" s="57"/>
    </row>
    <row r="1002" spans="1:6" x14ac:dyDescent="0.25">
      <c r="A1002" s="1"/>
      <c r="B1002" s="57"/>
      <c r="C1002" s="57"/>
      <c r="D1002" s="57"/>
      <c r="E1002" s="57"/>
      <c r="F1002" s="57"/>
    </row>
    <row r="1003" spans="1:6" x14ac:dyDescent="0.25">
      <c r="A1003" s="1"/>
      <c r="B1003" s="57"/>
      <c r="C1003" s="57"/>
      <c r="D1003" s="57"/>
      <c r="E1003" s="57"/>
      <c r="F1003" s="57"/>
    </row>
    <row r="1004" spans="1:6" x14ac:dyDescent="0.25">
      <c r="A1004" s="1"/>
      <c r="B1004" s="57"/>
      <c r="C1004" s="57"/>
      <c r="D1004" s="57"/>
      <c r="E1004" s="57"/>
      <c r="F1004" s="57"/>
    </row>
    <row r="1005" spans="1:6" x14ac:dyDescent="0.25">
      <c r="A1005" s="1"/>
      <c r="B1005" s="57"/>
      <c r="C1005" s="57"/>
      <c r="D1005" s="57"/>
      <c r="E1005" s="57"/>
      <c r="F1005" s="57"/>
    </row>
    <row r="1006" spans="1:6" x14ac:dyDescent="0.25">
      <c r="A1006" s="1"/>
      <c r="B1006" s="57"/>
      <c r="C1006" s="57"/>
      <c r="D1006" s="57"/>
      <c r="E1006" s="57"/>
      <c r="F1006" s="57"/>
    </row>
    <row r="1007" spans="1:6" x14ac:dyDescent="0.25">
      <c r="A1007" s="1"/>
      <c r="B1007" s="57"/>
      <c r="C1007" s="57"/>
      <c r="D1007" s="57"/>
      <c r="E1007" s="57"/>
      <c r="F1007" s="57"/>
    </row>
    <row r="1008" spans="1:6" x14ac:dyDescent="0.25">
      <c r="A1008" s="1"/>
      <c r="B1008" s="57"/>
      <c r="C1008" s="57"/>
      <c r="D1008" s="57"/>
      <c r="E1008" s="57"/>
      <c r="F1008" s="57"/>
    </row>
    <row r="1009" spans="1:6" x14ac:dyDescent="0.25">
      <c r="A1009" s="1"/>
      <c r="B1009" s="57"/>
      <c r="C1009" s="57"/>
      <c r="D1009" s="57"/>
      <c r="E1009" s="57"/>
      <c r="F1009" s="57"/>
    </row>
    <row r="1010" spans="1:6" x14ac:dyDescent="0.25">
      <c r="A1010" s="1"/>
      <c r="B1010" s="57"/>
      <c r="C1010" s="57"/>
      <c r="D1010" s="57"/>
      <c r="E1010" s="57"/>
      <c r="F1010" s="57"/>
    </row>
    <row r="1011" spans="1:6" x14ac:dyDescent="0.25">
      <c r="A1011" s="1"/>
      <c r="B1011" s="57"/>
      <c r="C1011" s="57"/>
      <c r="D1011" s="57"/>
      <c r="E1011" s="57"/>
      <c r="F1011" s="57"/>
    </row>
    <row r="1012" spans="1:6" x14ac:dyDescent="0.25">
      <c r="A1012" s="1"/>
      <c r="B1012" s="57"/>
      <c r="C1012" s="57"/>
      <c r="D1012" s="57"/>
      <c r="E1012" s="57"/>
      <c r="F1012" s="57"/>
    </row>
    <row r="1013" spans="1:6" x14ac:dyDescent="0.25">
      <c r="A1013" s="1"/>
      <c r="B1013" s="57"/>
      <c r="C1013" s="57"/>
      <c r="D1013" s="57"/>
      <c r="E1013" s="57"/>
      <c r="F1013" s="57"/>
    </row>
    <row r="1014" spans="1:6" x14ac:dyDescent="0.25">
      <c r="A1014" s="1"/>
      <c r="B1014" s="57"/>
      <c r="C1014" s="57"/>
      <c r="D1014" s="57"/>
      <c r="E1014" s="57"/>
      <c r="F1014" s="57"/>
    </row>
    <row r="1015" spans="1:6" x14ac:dyDescent="0.25">
      <c r="A1015" s="1"/>
      <c r="B1015" s="57"/>
      <c r="C1015" s="57"/>
      <c r="D1015" s="57"/>
      <c r="E1015" s="57"/>
      <c r="F1015" s="57"/>
    </row>
    <row r="1016" spans="1:6" x14ac:dyDescent="0.25">
      <c r="A1016" s="1"/>
      <c r="B1016" s="57"/>
      <c r="C1016" s="57"/>
      <c r="D1016" s="57"/>
      <c r="E1016" s="57"/>
      <c r="F1016" s="57"/>
    </row>
    <row r="1017" spans="1:6" x14ac:dyDescent="0.25">
      <c r="A1017" s="1"/>
      <c r="B1017" s="57"/>
      <c r="C1017" s="57"/>
      <c r="D1017" s="57"/>
      <c r="E1017" s="57"/>
      <c r="F1017" s="57"/>
    </row>
    <row r="1018" spans="1:6" x14ac:dyDescent="0.25">
      <c r="A1018" s="1"/>
      <c r="B1018" s="57"/>
      <c r="C1018" s="57"/>
      <c r="D1018" s="57"/>
      <c r="E1018" s="57"/>
      <c r="F1018" s="57"/>
    </row>
    <row r="1019" spans="1:6" x14ac:dyDescent="0.25">
      <c r="A1019" s="1"/>
      <c r="B1019" s="57"/>
      <c r="C1019" s="57"/>
      <c r="D1019" s="57"/>
      <c r="E1019" s="57"/>
      <c r="F1019" s="57"/>
    </row>
    <row r="1020" spans="1:6" x14ac:dyDescent="0.25">
      <c r="A1020" s="1"/>
      <c r="B1020" s="57"/>
      <c r="C1020" s="57"/>
      <c r="D1020" s="57"/>
      <c r="E1020" s="57"/>
      <c r="F1020" s="57"/>
    </row>
    <row r="1021" spans="1:6" x14ac:dyDescent="0.25">
      <c r="A1021" s="1"/>
      <c r="B1021" s="57"/>
      <c r="C1021" s="57"/>
      <c r="D1021" s="57"/>
      <c r="E1021" s="57"/>
      <c r="F1021" s="57"/>
    </row>
    <row r="1022" spans="1:6" x14ac:dyDescent="0.25">
      <c r="A1022" s="1"/>
      <c r="B1022" s="57"/>
      <c r="C1022" s="57"/>
      <c r="D1022" s="57"/>
      <c r="E1022" s="57"/>
      <c r="F1022" s="57"/>
    </row>
    <row r="1023" spans="1:6" x14ac:dyDescent="0.25">
      <c r="A1023" s="1"/>
      <c r="B1023" s="57"/>
      <c r="C1023" s="57"/>
      <c r="D1023" s="57"/>
      <c r="E1023" s="57"/>
      <c r="F1023" s="57"/>
    </row>
    <row r="1024" spans="1:6" x14ac:dyDescent="0.25">
      <c r="A1024" s="1"/>
      <c r="B1024" s="57"/>
      <c r="C1024" s="57"/>
      <c r="D1024" s="57"/>
      <c r="E1024" s="57"/>
      <c r="F1024" s="57"/>
    </row>
    <row r="1025" spans="1:6" x14ac:dyDescent="0.25">
      <c r="A1025" s="1"/>
      <c r="B1025" s="57"/>
      <c r="C1025" s="57"/>
      <c r="D1025" s="57"/>
      <c r="E1025" s="57"/>
      <c r="F1025" s="57"/>
    </row>
    <row r="1026" spans="1:6" x14ac:dyDescent="0.25">
      <c r="A1026" s="1"/>
      <c r="B1026" s="57"/>
      <c r="C1026" s="57"/>
      <c r="D1026" s="57"/>
      <c r="E1026" s="57"/>
      <c r="F1026" s="57"/>
    </row>
    <row r="1027" spans="1:6" x14ac:dyDescent="0.25">
      <c r="A1027" s="1"/>
      <c r="B1027" s="57"/>
      <c r="C1027" s="57"/>
      <c r="D1027" s="57"/>
      <c r="E1027" s="57"/>
      <c r="F1027" s="57"/>
    </row>
    <row r="1028" spans="1:6" x14ac:dyDescent="0.25">
      <c r="A1028" s="1"/>
      <c r="B1028" s="57"/>
      <c r="C1028" s="57"/>
      <c r="D1028" s="57"/>
      <c r="E1028" s="57"/>
      <c r="F1028" s="57"/>
    </row>
    <row r="1029" spans="1:6" x14ac:dyDescent="0.25">
      <c r="A1029" s="1"/>
      <c r="B1029" s="57"/>
      <c r="C1029" s="57"/>
      <c r="D1029" s="57"/>
      <c r="E1029" s="57"/>
      <c r="F1029" s="57"/>
    </row>
    <row r="1030" spans="1:6" x14ac:dyDescent="0.25">
      <c r="A1030" s="1"/>
      <c r="B1030" s="57"/>
      <c r="C1030" s="57"/>
      <c r="D1030" s="57"/>
      <c r="E1030" s="57"/>
      <c r="F1030" s="57"/>
    </row>
    <row r="1031" spans="1:6" x14ac:dyDescent="0.25">
      <c r="A1031" s="1"/>
      <c r="B1031" s="57"/>
      <c r="C1031" s="57"/>
      <c r="D1031" s="57"/>
      <c r="E1031" s="57"/>
      <c r="F1031" s="57"/>
    </row>
    <row r="1032" spans="1:6" x14ac:dyDescent="0.25">
      <c r="A1032" s="1"/>
      <c r="B1032" s="57"/>
      <c r="C1032" s="57"/>
      <c r="D1032" s="57"/>
      <c r="E1032" s="57"/>
      <c r="F1032" s="57"/>
    </row>
    <row r="1033" spans="1:6" x14ac:dyDescent="0.25">
      <c r="A1033" s="1"/>
      <c r="B1033" s="57"/>
      <c r="C1033" s="57"/>
      <c r="D1033" s="57"/>
      <c r="E1033" s="57"/>
      <c r="F1033" s="57"/>
    </row>
    <row r="1034" spans="1:6" x14ac:dyDescent="0.25">
      <c r="A1034" s="1"/>
      <c r="B1034" s="57"/>
      <c r="C1034" s="57"/>
      <c r="D1034" s="57"/>
      <c r="E1034" s="57"/>
      <c r="F1034" s="57"/>
    </row>
    <row r="1035" spans="1:6" x14ac:dyDescent="0.25">
      <c r="A1035" s="1"/>
      <c r="B1035" s="57"/>
      <c r="C1035" s="57"/>
      <c r="D1035" s="57"/>
      <c r="E1035" s="57"/>
      <c r="F1035" s="57"/>
    </row>
    <row r="1036" spans="1:6" x14ac:dyDescent="0.25">
      <c r="A1036" s="1"/>
      <c r="B1036" s="57"/>
      <c r="C1036" s="57"/>
      <c r="D1036" s="57"/>
      <c r="E1036" s="57"/>
      <c r="F1036" s="57"/>
    </row>
    <row r="1037" spans="1:6" x14ac:dyDescent="0.25">
      <c r="A1037" s="1"/>
      <c r="B1037" s="57"/>
      <c r="C1037" s="57"/>
      <c r="D1037" s="57"/>
      <c r="E1037" s="57"/>
      <c r="F1037" s="57"/>
    </row>
    <row r="1038" spans="1:6" x14ac:dyDescent="0.25">
      <c r="A1038" s="1"/>
      <c r="B1038" s="57"/>
      <c r="C1038" s="57"/>
      <c r="D1038" s="57"/>
      <c r="E1038" s="57"/>
      <c r="F1038" s="57"/>
    </row>
    <row r="1039" spans="1:6" x14ac:dyDescent="0.25">
      <c r="A1039" s="1"/>
      <c r="B1039" s="57"/>
      <c r="C1039" s="57"/>
      <c r="D1039" s="57"/>
      <c r="E1039" s="57"/>
      <c r="F1039" s="57"/>
    </row>
    <row r="1040" spans="1:6" x14ac:dyDescent="0.25">
      <c r="A1040" s="1"/>
      <c r="B1040" s="57"/>
      <c r="C1040" s="57"/>
      <c r="D1040" s="57"/>
      <c r="E1040" s="57"/>
      <c r="F1040" s="57"/>
    </row>
    <row r="1041" spans="1:6" x14ac:dyDescent="0.25">
      <c r="A1041" s="1"/>
      <c r="B1041" s="57"/>
      <c r="C1041" s="57"/>
      <c r="D1041" s="57"/>
      <c r="E1041" s="57"/>
      <c r="F1041" s="57"/>
    </row>
    <row r="1042" spans="1:6" x14ac:dyDescent="0.25">
      <c r="A1042" s="1"/>
      <c r="B1042" s="57"/>
      <c r="C1042" s="57"/>
      <c r="D1042" s="57"/>
      <c r="E1042" s="57"/>
      <c r="F1042" s="57"/>
    </row>
    <row r="1043" spans="1:6" x14ac:dyDescent="0.25">
      <c r="A1043" s="1"/>
      <c r="B1043" s="57"/>
      <c r="C1043" s="57"/>
      <c r="D1043" s="57"/>
      <c r="E1043" s="57"/>
      <c r="F1043" s="57"/>
    </row>
    <row r="1044" spans="1:6" x14ac:dyDescent="0.25">
      <c r="A1044" s="1"/>
      <c r="B1044" s="57"/>
      <c r="C1044" s="57"/>
      <c r="D1044" s="57"/>
      <c r="E1044" s="57"/>
      <c r="F1044" s="57"/>
    </row>
    <row r="1045" spans="1:6" x14ac:dyDescent="0.25">
      <c r="A1045" s="1"/>
      <c r="B1045" s="57"/>
      <c r="C1045" s="57"/>
      <c r="D1045" s="57"/>
      <c r="E1045" s="57"/>
      <c r="F1045" s="57"/>
    </row>
    <row r="1046" spans="1:6" x14ac:dyDescent="0.25">
      <c r="A1046" s="1"/>
      <c r="B1046" s="57"/>
      <c r="C1046" s="57"/>
      <c r="D1046" s="57"/>
      <c r="E1046" s="57"/>
      <c r="F1046" s="57"/>
    </row>
    <row r="1047" spans="1:6" x14ac:dyDescent="0.25">
      <c r="A1047" s="1"/>
      <c r="B1047" s="57"/>
      <c r="C1047" s="57"/>
      <c r="D1047" s="57"/>
      <c r="E1047" s="57"/>
      <c r="F1047" s="57"/>
    </row>
    <row r="1048" spans="1:6" x14ac:dyDescent="0.25">
      <c r="A1048" s="1"/>
      <c r="B1048" s="57"/>
      <c r="C1048" s="57"/>
      <c r="D1048" s="57"/>
      <c r="E1048" s="57"/>
      <c r="F1048" s="57"/>
    </row>
    <row r="1049" spans="1:6" x14ac:dyDescent="0.25">
      <c r="A1049" s="1"/>
      <c r="B1049" s="57"/>
      <c r="C1049" s="57"/>
      <c r="D1049" s="57"/>
      <c r="E1049" s="57"/>
      <c r="F1049" s="57"/>
    </row>
    <row r="1050" spans="1:6" x14ac:dyDescent="0.25">
      <c r="A1050" s="1"/>
      <c r="B1050" s="57"/>
      <c r="C1050" s="57"/>
      <c r="D1050" s="57"/>
      <c r="E1050" s="57"/>
      <c r="F1050" s="57"/>
    </row>
    <row r="1051" spans="1:6" x14ac:dyDescent="0.25">
      <c r="A1051" s="1"/>
      <c r="B1051" s="57"/>
      <c r="C1051" s="57"/>
      <c r="D1051" s="57"/>
      <c r="E1051" s="57"/>
      <c r="F1051" s="57"/>
    </row>
    <row r="1052" spans="1:6" x14ac:dyDescent="0.25">
      <c r="A1052" s="1"/>
      <c r="B1052" s="57"/>
      <c r="C1052" s="57"/>
      <c r="D1052" s="57"/>
      <c r="E1052" s="57"/>
      <c r="F1052" s="57"/>
    </row>
    <row r="1053" spans="1:6" x14ac:dyDescent="0.25">
      <c r="A1053" s="1"/>
      <c r="B1053" s="57"/>
      <c r="C1053" s="57"/>
      <c r="D1053" s="57"/>
      <c r="E1053" s="57"/>
      <c r="F1053" s="57"/>
    </row>
    <row r="1054" spans="1:6" x14ac:dyDescent="0.25">
      <c r="A1054" s="1"/>
      <c r="B1054" s="57"/>
      <c r="C1054" s="57"/>
      <c r="D1054" s="57"/>
      <c r="E1054" s="57"/>
      <c r="F1054" s="57"/>
    </row>
    <row r="1055" spans="1:6" x14ac:dyDescent="0.25">
      <c r="A1055" s="1"/>
      <c r="B1055" s="57"/>
      <c r="C1055" s="57"/>
      <c r="D1055" s="57"/>
      <c r="E1055" s="57"/>
      <c r="F1055" s="57"/>
    </row>
    <row r="1056" spans="1:6" x14ac:dyDescent="0.25">
      <c r="A1056" s="1"/>
      <c r="B1056" s="57"/>
      <c r="C1056" s="57"/>
      <c r="D1056" s="57"/>
      <c r="E1056" s="57"/>
      <c r="F1056" s="57"/>
    </row>
    <row r="1057" spans="1:6" x14ac:dyDescent="0.25">
      <c r="A1057" s="1"/>
      <c r="B1057" s="57"/>
      <c r="C1057" s="57"/>
      <c r="D1057" s="57"/>
      <c r="E1057" s="57"/>
      <c r="F1057" s="57"/>
    </row>
    <row r="1058" spans="1:6" x14ac:dyDescent="0.25">
      <c r="A1058" s="1"/>
      <c r="B1058" s="57"/>
      <c r="C1058" s="57"/>
      <c r="D1058" s="57"/>
      <c r="E1058" s="57"/>
      <c r="F1058" s="57"/>
    </row>
    <row r="1059" spans="1:6" x14ac:dyDescent="0.25">
      <c r="A1059" s="1"/>
      <c r="B1059" s="57"/>
      <c r="C1059" s="57"/>
      <c r="D1059" s="57"/>
      <c r="E1059" s="57"/>
      <c r="F1059" s="57"/>
    </row>
    <row r="1060" spans="1:6" x14ac:dyDescent="0.25">
      <c r="A1060" s="1"/>
      <c r="B1060" s="57"/>
      <c r="C1060" s="57"/>
      <c r="D1060" s="57"/>
      <c r="E1060" s="57"/>
      <c r="F1060" s="57"/>
    </row>
    <row r="1061" spans="1:6" x14ac:dyDescent="0.25">
      <c r="A1061" s="1"/>
      <c r="B1061" s="57"/>
      <c r="C1061" s="57"/>
      <c r="D1061" s="57"/>
      <c r="E1061" s="57"/>
      <c r="F1061" s="57"/>
    </row>
    <row r="1062" spans="1:6" x14ac:dyDescent="0.25">
      <c r="A1062" s="1"/>
      <c r="B1062" s="57"/>
      <c r="C1062" s="57"/>
      <c r="D1062" s="57"/>
      <c r="E1062" s="57"/>
      <c r="F1062" s="57"/>
    </row>
    <row r="1063" spans="1:6" x14ac:dyDescent="0.25">
      <c r="A1063" s="1"/>
      <c r="B1063" s="57"/>
      <c r="C1063" s="57"/>
      <c r="D1063" s="57"/>
      <c r="E1063" s="57"/>
      <c r="F1063" s="57"/>
    </row>
    <row r="1064" spans="1:6" x14ac:dyDescent="0.25">
      <c r="A1064" s="1"/>
      <c r="B1064" s="57"/>
      <c r="C1064" s="57"/>
      <c r="D1064" s="57"/>
      <c r="E1064" s="57"/>
      <c r="F1064" s="57"/>
    </row>
    <row r="1065" spans="1:6" x14ac:dyDescent="0.25">
      <c r="A1065" s="1"/>
      <c r="B1065" s="57"/>
      <c r="C1065" s="57"/>
      <c r="D1065" s="57"/>
      <c r="E1065" s="57"/>
      <c r="F1065" s="57"/>
    </row>
    <row r="1066" spans="1:6" x14ac:dyDescent="0.25">
      <c r="A1066" s="1"/>
      <c r="B1066" s="57"/>
      <c r="C1066" s="57"/>
      <c r="D1066" s="57"/>
      <c r="E1066" s="57"/>
      <c r="F1066" s="57"/>
    </row>
    <row r="1067" spans="1:6" x14ac:dyDescent="0.25">
      <c r="A1067" s="1"/>
      <c r="B1067" s="57"/>
      <c r="C1067" s="57"/>
      <c r="D1067" s="57"/>
      <c r="E1067" s="57"/>
      <c r="F1067" s="57"/>
    </row>
    <row r="1068" spans="1:6" x14ac:dyDescent="0.25">
      <c r="A1068" s="1"/>
      <c r="B1068" s="57"/>
      <c r="C1068" s="57"/>
      <c r="D1068" s="57"/>
      <c r="E1068" s="57"/>
      <c r="F1068" s="57"/>
    </row>
    <row r="1069" spans="1:6" x14ac:dyDescent="0.25">
      <c r="A1069" s="1"/>
      <c r="B1069" s="57"/>
      <c r="C1069" s="57"/>
      <c r="D1069" s="57"/>
      <c r="E1069" s="57"/>
      <c r="F1069" s="57"/>
    </row>
    <row r="1070" spans="1:6" x14ac:dyDescent="0.25">
      <c r="A1070" s="1"/>
      <c r="B1070" s="57"/>
      <c r="C1070" s="57"/>
      <c r="D1070" s="57"/>
      <c r="E1070" s="57"/>
      <c r="F1070" s="57"/>
    </row>
    <row r="1071" spans="1:6" x14ac:dyDescent="0.25">
      <c r="A1071" s="1"/>
      <c r="B1071" s="57"/>
      <c r="C1071" s="57"/>
      <c r="D1071" s="57"/>
      <c r="E1071" s="57"/>
      <c r="F1071" s="57"/>
    </row>
    <row r="1072" spans="1:6" x14ac:dyDescent="0.25">
      <c r="A1072" s="1"/>
      <c r="B1072" s="57"/>
      <c r="C1072" s="57"/>
      <c r="D1072" s="57"/>
      <c r="E1072" s="57"/>
      <c r="F1072" s="57"/>
    </row>
    <row r="1073" spans="1:6" x14ac:dyDescent="0.25">
      <c r="A1073" s="1"/>
      <c r="B1073" s="57"/>
      <c r="C1073" s="57"/>
      <c r="D1073" s="57"/>
      <c r="E1073" s="57"/>
      <c r="F1073" s="57"/>
    </row>
    <row r="1074" spans="1:6" x14ac:dyDescent="0.25">
      <c r="A1074" s="1"/>
      <c r="B1074" s="57"/>
      <c r="C1074" s="57"/>
      <c r="D1074" s="57"/>
      <c r="E1074" s="57"/>
      <c r="F1074" s="57"/>
    </row>
    <row r="1075" spans="1:6" x14ac:dyDescent="0.25">
      <c r="A1075" s="1"/>
      <c r="B1075" s="57"/>
      <c r="C1075" s="57"/>
      <c r="D1075" s="57"/>
      <c r="E1075" s="57"/>
      <c r="F1075" s="57"/>
    </row>
    <row r="1076" spans="1:6" x14ac:dyDescent="0.25">
      <c r="A1076" s="1"/>
      <c r="B1076" s="57"/>
      <c r="C1076" s="57"/>
      <c r="D1076" s="57"/>
      <c r="E1076" s="57"/>
      <c r="F1076" s="57"/>
    </row>
    <row r="1077" spans="1:6" x14ac:dyDescent="0.25">
      <c r="A1077" s="1"/>
      <c r="B1077" s="57"/>
      <c r="C1077" s="57"/>
      <c r="D1077" s="57"/>
      <c r="E1077" s="57"/>
      <c r="F1077" s="57"/>
    </row>
    <row r="1078" spans="1:6" x14ac:dyDescent="0.25">
      <c r="A1078" s="1"/>
      <c r="B1078" s="57"/>
      <c r="C1078" s="57"/>
      <c r="D1078" s="57"/>
      <c r="E1078" s="57"/>
      <c r="F1078" s="57"/>
    </row>
    <row r="1079" spans="1:6" x14ac:dyDescent="0.25">
      <c r="A1079" s="1"/>
      <c r="B1079" s="57"/>
      <c r="C1079" s="57"/>
      <c r="D1079" s="57"/>
      <c r="E1079" s="57"/>
      <c r="F1079" s="57"/>
    </row>
    <row r="1080" spans="1:6" x14ac:dyDescent="0.25">
      <c r="A1080" s="1"/>
      <c r="B1080" s="57"/>
      <c r="C1080" s="57"/>
      <c r="D1080" s="57"/>
      <c r="E1080" s="57"/>
      <c r="F1080" s="57"/>
    </row>
    <row r="1081" spans="1:6" x14ac:dyDescent="0.25">
      <c r="A1081" s="1"/>
      <c r="B1081" s="57"/>
      <c r="C1081" s="57"/>
      <c r="D1081" s="57"/>
      <c r="E1081" s="57"/>
      <c r="F1081" s="57"/>
    </row>
    <row r="1082" spans="1:6" x14ac:dyDescent="0.25">
      <c r="A1082" s="1"/>
      <c r="B1082" s="57"/>
      <c r="C1082" s="57"/>
      <c r="D1082" s="57"/>
      <c r="E1082" s="57"/>
      <c r="F1082" s="57"/>
    </row>
    <row r="1083" spans="1:6" x14ac:dyDescent="0.25">
      <c r="A1083" s="1"/>
      <c r="B1083" s="57"/>
      <c r="C1083" s="57"/>
      <c r="D1083" s="57"/>
      <c r="E1083" s="57"/>
      <c r="F1083" s="57"/>
    </row>
    <row r="1084" spans="1:6" x14ac:dyDescent="0.25">
      <c r="A1084" s="1"/>
      <c r="B1084" s="57"/>
      <c r="C1084" s="57"/>
      <c r="D1084" s="57"/>
      <c r="E1084" s="57"/>
      <c r="F1084" s="57"/>
    </row>
    <row r="1085" spans="1:6" x14ac:dyDescent="0.25">
      <c r="A1085" s="1"/>
      <c r="B1085" s="57"/>
      <c r="C1085" s="57"/>
      <c r="D1085" s="57"/>
      <c r="E1085" s="57"/>
      <c r="F1085" s="57"/>
    </row>
    <row r="1086" spans="1:6" x14ac:dyDescent="0.25">
      <c r="A1086" s="1"/>
      <c r="B1086" s="57"/>
      <c r="C1086" s="57"/>
      <c r="D1086" s="57"/>
      <c r="E1086" s="57"/>
      <c r="F1086" s="57"/>
    </row>
    <row r="1087" spans="1:6" x14ac:dyDescent="0.25">
      <c r="A1087" s="1"/>
      <c r="B1087" s="57"/>
      <c r="C1087" s="57"/>
      <c r="D1087" s="57"/>
      <c r="E1087" s="57"/>
      <c r="F1087" s="57"/>
    </row>
    <row r="1088" spans="1:6" x14ac:dyDescent="0.25">
      <c r="A1088" s="1"/>
      <c r="B1088" s="57"/>
      <c r="C1088" s="57"/>
      <c r="D1088" s="57"/>
      <c r="E1088" s="57"/>
      <c r="F1088" s="57"/>
    </row>
    <row r="1089" spans="1:6" x14ac:dyDescent="0.25">
      <c r="A1089" s="1"/>
      <c r="B1089" s="57"/>
      <c r="C1089" s="57"/>
      <c r="D1089" s="57"/>
      <c r="E1089" s="57"/>
      <c r="F1089" s="57"/>
    </row>
    <row r="1090" spans="1:6" x14ac:dyDescent="0.25">
      <c r="A1090" s="1"/>
      <c r="B1090" s="57"/>
      <c r="C1090" s="57"/>
      <c r="D1090" s="57"/>
      <c r="E1090" s="57"/>
      <c r="F1090" s="57"/>
    </row>
    <row r="1091" spans="1:6" x14ac:dyDescent="0.25">
      <c r="A1091" s="1"/>
      <c r="B1091" s="57"/>
      <c r="C1091" s="57"/>
      <c r="D1091" s="57"/>
      <c r="E1091" s="57"/>
      <c r="F1091" s="57"/>
    </row>
    <row r="1092" spans="1:6" x14ac:dyDescent="0.25">
      <c r="A1092" s="1"/>
      <c r="B1092" s="57"/>
      <c r="C1092" s="57"/>
      <c r="D1092" s="57"/>
      <c r="E1092" s="57"/>
      <c r="F1092" s="57"/>
    </row>
    <row r="1093" spans="1:6" x14ac:dyDescent="0.25">
      <c r="A1093" s="1"/>
      <c r="B1093" s="57"/>
      <c r="C1093" s="57"/>
      <c r="D1093" s="57"/>
      <c r="E1093" s="57"/>
      <c r="F1093" s="57"/>
    </row>
    <row r="1094" spans="1:6" x14ac:dyDescent="0.25">
      <c r="A1094" s="1"/>
      <c r="B1094" s="57"/>
      <c r="C1094" s="57"/>
      <c r="D1094" s="57"/>
      <c r="E1094" s="57"/>
      <c r="F1094" s="57"/>
    </row>
    <row r="1095" spans="1:6" x14ac:dyDescent="0.25">
      <c r="A1095" s="1"/>
      <c r="B1095" s="57"/>
      <c r="C1095" s="57"/>
      <c r="D1095" s="57"/>
      <c r="E1095" s="57"/>
      <c r="F1095" s="57"/>
    </row>
    <row r="1096" spans="1:6" x14ac:dyDescent="0.25">
      <c r="A1096" s="1"/>
      <c r="B1096" s="57"/>
      <c r="C1096" s="57"/>
      <c r="D1096" s="57"/>
      <c r="E1096" s="57"/>
      <c r="F1096" s="57"/>
    </row>
    <row r="1097" spans="1:6" x14ac:dyDescent="0.25">
      <c r="A1097" s="1"/>
      <c r="B1097" s="57"/>
      <c r="C1097" s="57"/>
      <c r="D1097" s="57"/>
      <c r="E1097" s="57"/>
      <c r="F1097" s="57"/>
    </row>
    <row r="1098" spans="1:6" x14ac:dyDescent="0.25">
      <c r="A1098" s="1"/>
      <c r="B1098" s="57"/>
      <c r="C1098" s="57"/>
      <c r="D1098" s="57"/>
      <c r="E1098" s="57"/>
      <c r="F1098" s="57"/>
    </row>
    <row r="1099" spans="1:6" x14ac:dyDescent="0.25">
      <c r="A1099" s="1"/>
      <c r="B1099" s="57"/>
      <c r="C1099" s="57"/>
      <c r="D1099" s="57"/>
      <c r="E1099" s="57"/>
      <c r="F1099" s="57"/>
    </row>
    <row r="1100" spans="1:6" x14ac:dyDescent="0.25">
      <c r="A1100" s="1"/>
      <c r="B1100" s="57"/>
      <c r="C1100" s="57"/>
      <c r="D1100" s="57"/>
      <c r="E1100" s="57"/>
      <c r="F1100" s="57"/>
    </row>
    <row r="1101" spans="1:6" x14ac:dyDescent="0.25">
      <c r="A1101" s="1"/>
      <c r="B1101" s="57"/>
      <c r="C1101" s="57"/>
      <c r="D1101" s="57"/>
      <c r="E1101" s="57"/>
      <c r="F1101" s="57"/>
    </row>
    <row r="1102" spans="1:6" x14ac:dyDescent="0.25">
      <c r="A1102" s="1"/>
      <c r="B1102" s="57"/>
      <c r="C1102" s="57"/>
      <c r="D1102" s="57"/>
      <c r="E1102" s="57"/>
      <c r="F1102" s="57"/>
    </row>
    <row r="1103" spans="1:6" x14ac:dyDescent="0.25">
      <c r="A1103" s="1"/>
      <c r="B1103" s="57"/>
      <c r="C1103" s="57"/>
      <c r="D1103" s="57"/>
      <c r="E1103" s="57"/>
      <c r="F1103" s="57"/>
    </row>
    <row r="1104" spans="1:6" x14ac:dyDescent="0.25">
      <c r="A1104" s="1"/>
      <c r="B1104" s="57"/>
      <c r="C1104" s="57"/>
      <c r="D1104" s="57"/>
      <c r="E1104" s="57"/>
      <c r="F1104" s="57"/>
    </row>
    <row r="1105" spans="1:6" x14ac:dyDescent="0.25">
      <c r="A1105" s="1"/>
      <c r="B1105" s="57"/>
      <c r="C1105" s="57"/>
      <c r="D1105" s="57"/>
      <c r="E1105" s="57"/>
      <c r="F1105" s="57"/>
    </row>
    <row r="1106" spans="1:6" x14ac:dyDescent="0.25">
      <c r="A1106" s="1"/>
      <c r="B1106" s="57"/>
      <c r="C1106" s="57"/>
      <c r="D1106" s="57"/>
      <c r="E1106" s="57"/>
      <c r="F1106" s="57"/>
    </row>
    <row r="1107" spans="1:6" x14ac:dyDescent="0.25">
      <c r="A1107" s="1"/>
      <c r="B1107" s="57"/>
      <c r="C1107" s="57"/>
      <c r="D1107" s="57"/>
      <c r="E1107" s="57"/>
      <c r="F1107" s="57"/>
    </row>
    <row r="1108" spans="1:6" x14ac:dyDescent="0.25">
      <c r="A1108" s="1"/>
      <c r="B1108" s="57"/>
      <c r="C1108" s="57"/>
      <c r="D1108" s="57"/>
      <c r="E1108" s="57"/>
      <c r="F1108" s="57"/>
    </row>
    <row r="1109" spans="1:6" x14ac:dyDescent="0.25">
      <c r="A1109" s="1"/>
      <c r="B1109" s="57"/>
      <c r="C1109" s="57"/>
      <c r="D1109" s="57"/>
      <c r="E1109" s="57"/>
      <c r="F1109" s="57"/>
    </row>
    <row r="1110" spans="1:6" x14ac:dyDescent="0.25">
      <c r="A1110" s="1"/>
      <c r="B1110" s="57"/>
      <c r="C1110" s="57"/>
      <c r="D1110" s="57"/>
      <c r="E1110" s="57"/>
      <c r="F1110" s="57"/>
    </row>
    <row r="1111" spans="1:6" x14ac:dyDescent="0.25">
      <c r="A1111" s="1"/>
      <c r="B1111" s="57"/>
      <c r="C1111" s="57"/>
      <c r="D1111" s="57"/>
      <c r="E1111" s="57"/>
      <c r="F1111" s="57"/>
    </row>
    <row r="1112" spans="1:6" x14ac:dyDescent="0.25">
      <c r="A1112" s="1"/>
      <c r="B1112" s="57"/>
      <c r="C1112" s="57"/>
      <c r="D1112" s="57"/>
      <c r="E1112" s="57"/>
      <c r="F1112" s="57"/>
    </row>
    <row r="1113" spans="1:6" x14ac:dyDescent="0.25">
      <c r="A1113" s="1"/>
      <c r="B1113" s="57"/>
      <c r="C1113" s="57"/>
      <c r="D1113" s="57"/>
      <c r="E1113" s="57"/>
      <c r="F1113" s="57"/>
    </row>
    <row r="1114" spans="1:6" x14ac:dyDescent="0.25">
      <c r="A1114" s="1"/>
      <c r="B1114" s="57"/>
      <c r="C1114" s="57"/>
      <c r="D1114" s="57"/>
      <c r="E1114" s="57"/>
      <c r="F1114" s="57"/>
    </row>
    <row r="1115" spans="1:6" x14ac:dyDescent="0.25">
      <c r="A1115" s="1"/>
      <c r="B1115" s="57"/>
      <c r="C1115" s="57"/>
      <c r="D1115" s="57"/>
      <c r="E1115" s="57"/>
      <c r="F1115" s="57"/>
    </row>
    <row r="1116" spans="1:6" x14ac:dyDescent="0.25">
      <c r="A1116" s="1"/>
      <c r="B1116" s="57"/>
      <c r="C1116" s="57"/>
      <c r="D1116" s="57"/>
      <c r="E1116" s="57"/>
      <c r="F1116" s="57"/>
    </row>
    <row r="1117" spans="1:6" x14ac:dyDescent="0.25">
      <c r="A1117" s="1"/>
      <c r="B1117" s="57"/>
      <c r="C1117" s="57"/>
      <c r="D1117" s="57"/>
      <c r="E1117" s="57"/>
      <c r="F1117" s="57"/>
    </row>
    <row r="1118" spans="1:6" x14ac:dyDescent="0.25">
      <c r="A1118" s="1"/>
      <c r="B1118" s="57"/>
      <c r="C1118" s="57"/>
      <c r="D1118" s="57"/>
      <c r="E1118" s="57"/>
      <c r="F1118" s="57"/>
    </row>
    <row r="1119" spans="1:6" x14ac:dyDescent="0.25">
      <c r="A1119" s="1"/>
      <c r="B1119" s="57"/>
      <c r="C1119" s="57"/>
      <c r="D1119" s="57"/>
      <c r="E1119" s="57"/>
      <c r="F1119" s="57"/>
    </row>
    <row r="1120" spans="1:6" x14ac:dyDescent="0.25">
      <c r="A1120" s="1"/>
      <c r="B1120" s="57"/>
      <c r="C1120" s="57"/>
      <c r="D1120" s="57"/>
      <c r="E1120" s="57"/>
      <c r="F1120" s="57"/>
    </row>
    <row r="1121" spans="1:6" x14ac:dyDescent="0.25">
      <c r="A1121" s="1"/>
      <c r="B1121" s="57"/>
      <c r="C1121" s="57"/>
      <c r="D1121" s="57"/>
      <c r="E1121" s="57"/>
      <c r="F1121" s="57"/>
    </row>
    <row r="1122" spans="1:6" x14ac:dyDescent="0.25">
      <c r="A1122" s="1"/>
      <c r="B1122" s="57"/>
      <c r="C1122" s="57"/>
      <c r="D1122" s="57"/>
      <c r="E1122" s="57"/>
      <c r="F1122" s="57"/>
    </row>
    <row r="1123" spans="1:6" x14ac:dyDescent="0.25">
      <c r="A1123" s="1"/>
      <c r="B1123" s="57"/>
      <c r="C1123" s="57"/>
      <c r="D1123" s="57"/>
      <c r="E1123" s="57"/>
      <c r="F1123" s="57"/>
    </row>
    <row r="1124" spans="1:6" x14ac:dyDescent="0.25">
      <c r="A1124" s="1"/>
      <c r="B1124" s="57"/>
      <c r="C1124" s="57"/>
      <c r="D1124" s="57"/>
      <c r="E1124" s="57"/>
      <c r="F1124" s="57"/>
    </row>
    <row r="1125" spans="1:6" x14ac:dyDescent="0.25">
      <c r="A1125" s="1"/>
      <c r="B1125" s="57"/>
      <c r="C1125" s="57"/>
      <c r="D1125" s="57"/>
      <c r="E1125" s="57"/>
      <c r="F1125" s="57"/>
    </row>
    <row r="1126" spans="1:6" x14ac:dyDescent="0.25">
      <c r="A1126" s="1"/>
      <c r="B1126" s="57"/>
      <c r="C1126" s="57"/>
      <c r="D1126" s="57"/>
      <c r="E1126" s="57"/>
      <c r="F1126" s="57"/>
    </row>
    <row r="1127" spans="1:6" x14ac:dyDescent="0.25">
      <c r="A1127" s="1"/>
      <c r="B1127" s="57"/>
      <c r="C1127" s="57"/>
      <c r="D1127" s="57"/>
      <c r="E1127" s="57"/>
      <c r="F1127" s="57"/>
    </row>
    <row r="1128" spans="1:6" x14ac:dyDescent="0.25">
      <c r="A1128" s="1"/>
      <c r="B1128" s="57"/>
      <c r="C1128" s="57"/>
      <c r="D1128" s="57"/>
      <c r="E1128" s="57"/>
      <c r="F1128" s="57"/>
    </row>
    <row r="1129" spans="1:6" x14ac:dyDescent="0.25">
      <c r="A1129" s="1"/>
      <c r="B1129" s="57"/>
      <c r="C1129" s="57"/>
      <c r="D1129" s="57"/>
      <c r="E1129" s="57"/>
      <c r="F1129" s="57"/>
    </row>
    <row r="1130" spans="1:6" x14ac:dyDescent="0.25">
      <c r="A1130" s="1"/>
      <c r="B1130" s="57"/>
      <c r="C1130" s="57"/>
      <c r="D1130" s="57"/>
      <c r="E1130" s="57"/>
      <c r="F1130" s="57"/>
    </row>
    <row r="1131" spans="1:6" x14ac:dyDescent="0.25">
      <c r="A1131" s="1"/>
      <c r="B1131" s="57"/>
      <c r="C1131" s="57"/>
      <c r="D1131" s="57"/>
      <c r="E1131" s="57"/>
      <c r="F1131" s="57"/>
    </row>
    <row r="1132" spans="1:6" x14ac:dyDescent="0.25">
      <c r="A1132" s="1"/>
      <c r="B1132" s="57"/>
      <c r="C1132" s="57"/>
      <c r="D1132" s="57"/>
      <c r="E1132" s="57"/>
      <c r="F1132" s="57"/>
    </row>
    <row r="1133" spans="1:6" x14ac:dyDescent="0.25">
      <c r="A1133" s="1"/>
      <c r="B1133" s="57"/>
      <c r="C1133" s="57"/>
      <c r="D1133" s="57"/>
      <c r="E1133" s="57"/>
      <c r="F1133" s="57"/>
    </row>
    <row r="1134" spans="1:6" x14ac:dyDescent="0.25">
      <c r="A1134" s="1"/>
      <c r="B1134" s="57"/>
      <c r="C1134" s="57"/>
      <c r="D1134" s="57"/>
      <c r="E1134" s="57"/>
      <c r="F1134" s="57"/>
    </row>
    <row r="1135" spans="1:6" x14ac:dyDescent="0.25">
      <c r="A1135" s="1"/>
      <c r="B1135" s="57"/>
      <c r="C1135" s="57"/>
      <c r="D1135" s="57"/>
      <c r="E1135" s="57"/>
      <c r="F1135" s="57"/>
    </row>
    <row r="1136" spans="1:6" x14ac:dyDescent="0.25">
      <c r="A1136" s="1"/>
      <c r="B1136" s="57"/>
      <c r="C1136" s="57"/>
      <c r="D1136" s="57"/>
      <c r="E1136" s="57"/>
      <c r="F1136" s="57"/>
    </row>
    <row r="1137" spans="1:6" x14ac:dyDescent="0.25">
      <c r="A1137" s="1"/>
      <c r="B1137" s="57"/>
      <c r="C1137" s="57"/>
      <c r="D1137" s="57"/>
      <c r="E1137" s="57"/>
      <c r="F1137" s="57"/>
    </row>
    <row r="1138" spans="1:6" x14ac:dyDescent="0.25">
      <c r="A1138" s="1"/>
      <c r="B1138" s="57"/>
      <c r="C1138" s="57"/>
      <c r="D1138" s="57"/>
      <c r="E1138" s="57"/>
      <c r="F1138" s="57"/>
    </row>
    <row r="1139" spans="1:6" x14ac:dyDescent="0.25">
      <c r="A1139" s="1"/>
      <c r="B1139" s="57"/>
      <c r="C1139" s="57"/>
      <c r="D1139" s="57"/>
      <c r="E1139" s="57"/>
      <c r="F1139" s="57"/>
    </row>
    <row r="1140" spans="1:6" x14ac:dyDescent="0.25">
      <c r="A1140" s="1"/>
      <c r="B1140" s="57"/>
      <c r="C1140" s="57"/>
      <c r="D1140" s="57"/>
      <c r="E1140" s="57"/>
      <c r="F1140" s="57"/>
    </row>
    <row r="1141" spans="1:6" x14ac:dyDescent="0.25">
      <c r="A1141" s="1"/>
      <c r="B1141" s="57"/>
      <c r="C1141" s="57"/>
      <c r="D1141" s="57"/>
      <c r="E1141" s="57"/>
      <c r="F1141" s="57"/>
    </row>
    <row r="1142" spans="1:6" x14ac:dyDescent="0.25">
      <c r="A1142" s="1"/>
      <c r="B1142" s="57"/>
      <c r="C1142" s="57"/>
      <c r="D1142" s="57"/>
      <c r="E1142" s="57"/>
      <c r="F1142" s="57"/>
    </row>
    <row r="1143" spans="1:6" x14ac:dyDescent="0.25">
      <c r="A1143" s="1"/>
      <c r="B1143" s="57"/>
      <c r="C1143" s="57"/>
      <c r="D1143" s="57"/>
      <c r="E1143" s="57"/>
      <c r="F1143" s="57"/>
    </row>
    <row r="1144" spans="1:6" x14ac:dyDescent="0.25">
      <c r="A1144" s="1"/>
      <c r="B1144" s="57"/>
      <c r="C1144" s="57"/>
      <c r="D1144" s="57"/>
      <c r="E1144" s="57"/>
      <c r="F1144" s="57"/>
    </row>
    <row r="1145" spans="1:6" x14ac:dyDescent="0.25">
      <c r="A1145" s="1"/>
      <c r="B1145" s="57"/>
      <c r="C1145" s="57"/>
      <c r="D1145" s="57"/>
      <c r="E1145" s="57"/>
      <c r="F1145" s="57"/>
    </row>
    <row r="1146" spans="1:6" x14ac:dyDescent="0.25">
      <c r="A1146" s="1"/>
      <c r="B1146" s="57"/>
      <c r="C1146" s="57"/>
      <c r="D1146" s="57"/>
      <c r="E1146" s="57"/>
      <c r="F1146" s="57"/>
    </row>
    <row r="1147" spans="1:6" x14ac:dyDescent="0.25">
      <c r="A1147" s="1"/>
      <c r="B1147" s="57"/>
      <c r="C1147" s="57"/>
      <c r="D1147" s="57"/>
      <c r="E1147" s="57"/>
      <c r="F1147" s="57"/>
    </row>
    <row r="1148" spans="1:6" x14ac:dyDescent="0.25">
      <c r="A1148" s="1"/>
      <c r="B1148" s="57"/>
      <c r="C1148" s="57"/>
      <c r="D1148" s="57"/>
      <c r="E1148" s="57"/>
      <c r="F1148" s="57"/>
    </row>
    <row r="1149" spans="1:6" x14ac:dyDescent="0.25">
      <c r="A1149" s="1"/>
      <c r="B1149" s="57"/>
      <c r="C1149" s="57"/>
      <c r="D1149" s="57"/>
      <c r="E1149" s="57"/>
      <c r="F1149" s="57"/>
    </row>
    <row r="1150" spans="1:6" x14ac:dyDescent="0.25">
      <c r="A1150" s="1"/>
      <c r="B1150" s="57"/>
      <c r="C1150" s="57"/>
      <c r="D1150" s="57"/>
      <c r="E1150" s="57"/>
      <c r="F1150" s="57"/>
    </row>
    <row r="1151" spans="1:6" x14ac:dyDescent="0.25">
      <c r="A1151" s="1"/>
      <c r="B1151" s="57"/>
      <c r="C1151" s="57"/>
      <c r="D1151" s="57"/>
      <c r="E1151" s="57"/>
      <c r="F1151" s="57"/>
    </row>
    <row r="1152" spans="1:6" x14ac:dyDescent="0.25">
      <c r="A1152" s="1"/>
      <c r="B1152" s="57"/>
      <c r="C1152" s="57"/>
      <c r="D1152" s="57"/>
      <c r="E1152" s="57"/>
      <c r="F1152" s="57"/>
    </row>
    <row r="1153" spans="1:6" x14ac:dyDescent="0.25">
      <c r="A1153" s="1"/>
      <c r="B1153" s="57"/>
      <c r="C1153" s="57"/>
      <c r="D1153" s="57"/>
      <c r="E1153" s="57"/>
      <c r="F1153" s="57"/>
    </row>
    <row r="1154" spans="1:6" x14ac:dyDescent="0.25">
      <c r="A1154" s="1"/>
      <c r="B1154" s="57"/>
      <c r="C1154" s="57"/>
      <c r="D1154" s="57"/>
      <c r="E1154" s="57"/>
      <c r="F1154" s="57"/>
    </row>
    <row r="1155" spans="1:6" x14ac:dyDescent="0.25">
      <c r="A1155" s="1"/>
      <c r="B1155" s="57"/>
      <c r="C1155" s="57"/>
      <c r="D1155" s="57"/>
      <c r="E1155" s="57"/>
      <c r="F1155" s="57"/>
    </row>
    <row r="1156" spans="1:6" x14ac:dyDescent="0.25">
      <c r="A1156" s="1"/>
      <c r="B1156" s="57"/>
      <c r="C1156" s="57"/>
      <c r="D1156" s="57"/>
      <c r="E1156" s="57"/>
      <c r="F1156" s="57"/>
    </row>
    <row r="1157" spans="1:6" x14ac:dyDescent="0.25">
      <c r="A1157" s="1"/>
      <c r="B1157" s="57"/>
      <c r="C1157" s="57"/>
      <c r="D1157" s="57"/>
      <c r="E1157" s="57"/>
      <c r="F1157" s="57"/>
    </row>
    <row r="1158" spans="1:6" x14ac:dyDescent="0.25">
      <c r="A1158" s="1"/>
      <c r="B1158" s="57"/>
      <c r="C1158" s="57"/>
      <c r="D1158" s="57"/>
      <c r="E1158" s="57"/>
      <c r="F1158" s="57"/>
    </row>
    <row r="1159" spans="1:6" x14ac:dyDescent="0.25">
      <c r="A1159" s="1"/>
      <c r="B1159" s="57"/>
      <c r="C1159" s="57"/>
      <c r="D1159" s="57"/>
      <c r="E1159" s="57"/>
      <c r="F1159" s="57"/>
    </row>
    <row r="1160" spans="1:6" x14ac:dyDescent="0.25">
      <c r="A1160" s="1"/>
      <c r="B1160" s="57"/>
      <c r="C1160" s="57"/>
      <c r="D1160" s="57"/>
      <c r="E1160" s="57"/>
      <c r="F1160" s="57"/>
    </row>
    <row r="1161" spans="1:6" x14ac:dyDescent="0.25">
      <c r="A1161" s="1"/>
      <c r="B1161" s="57"/>
      <c r="C1161" s="57"/>
      <c r="D1161" s="57"/>
      <c r="E1161" s="57"/>
      <c r="F1161" s="57"/>
    </row>
    <row r="1162" spans="1:6" x14ac:dyDescent="0.25">
      <c r="A1162" s="1"/>
      <c r="B1162" s="57"/>
      <c r="C1162" s="57"/>
      <c r="D1162" s="57"/>
      <c r="E1162" s="57"/>
      <c r="F1162" s="57"/>
    </row>
    <row r="1163" spans="1:6" x14ac:dyDescent="0.25">
      <c r="A1163" s="1"/>
      <c r="B1163" s="57"/>
      <c r="C1163" s="57"/>
      <c r="D1163" s="57"/>
      <c r="E1163" s="57"/>
      <c r="F1163" s="57"/>
    </row>
    <row r="1164" spans="1:6" x14ac:dyDescent="0.25">
      <c r="A1164" s="1"/>
      <c r="B1164" s="57"/>
      <c r="C1164" s="57"/>
      <c r="D1164" s="57"/>
      <c r="E1164" s="57"/>
      <c r="F1164" s="57"/>
    </row>
    <row r="1165" spans="1:6" x14ac:dyDescent="0.25">
      <c r="A1165" s="1"/>
      <c r="B1165" s="57"/>
      <c r="C1165" s="57"/>
      <c r="D1165" s="57"/>
      <c r="E1165" s="57"/>
      <c r="F1165" s="57"/>
    </row>
    <row r="1166" spans="1:6" x14ac:dyDescent="0.25">
      <c r="A1166" s="1"/>
      <c r="B1166" s="57"/>
      <c r="C1166" s="57"/>
      <c r="D1166" s="57"/>
      <c r="E1166" s="57"/>
      <c r="F1166" s="57"/>
    </row>
    <row r="1167" spans="1:6" x14ac:dyDescent="0.25">
      <c r="A1167" s="1"/>
      <c r="B1167" s="57"/>
      <c r="C1167" s="57"/>
      <c r="D1167" s="57"/>
      <c r="E1167" s="57"/>
      <c r="F1167" s="57"/>
    </row>
    <row r="1168" spans="1:6" x14ac:dyDescent="0.25">
      <c r="A1168" s="1"/>
      <c r="B1168" s="57"/>
      <c r="C1168" s="57"/>
      <c r="D1168" s="57"/>
      <c r="E1168" s="57"/>
      <c r="F1168" s="57"/>
    </row>
    <row r="1169" spans="1:6" x14ac:dyDescent="0.25">
      <c r="A1169" s="1"/>
      <c r="B1169" s="57"/>
      <c r="C1169" s="57"/>
      <c r="D1169" s="57"/>
      <c r="E1169" s="57"/>
      <c r="F1169" s="57"/>
    </row>
    <row r="1170" spans="1:6" x14ac:dyDescent="0.25">
      <c r="A1170" s="1"/>
      <c r="B1170" s="57"/>
      <c r="C1170" s="57"/>
      <c r="D1170" s="57"/>
      <c r="E1170" s="57"/>
      <c r="F1170" s="57"/>
    </row>
    <row r="1171" spans="1:6" x14ac:dyDescent="0.25">
      <c r="A1171" s="1"/>
      <c r="B1171" s="57"/>
      <c r="C1171" s="57"/>
      <c r="D1171" s="57"/>
      <c r="E1171" s="57"/>
      <c r="F1171" s="57"/>
    </row>
    <row r="1172" spans="1:6" x14ac:dyDescent="0.25">
      <c r="A1172" s="1"/>
      <c r="B1172" s="57"/>
      <c r="C1172" s="57"/>
      <c r="D1172" s="57"/>
      <c r="E1172" s="57"/>
      <c r="F1172" s="57"/>
    </row>
    <row r="1173" spans="1:6" x14ac:dyDescent="0.25">
      <c r="A1173" s="1"/>
      <c r="B1173" s="57"/>
      <c r="C1173" s="57"/>
      <c r="D1173" s="57"/>
      <c r="E1173" s="57"/>
      <c r="F1173" s="57"/>
    </row>
    <row r="1174" spans="1:6" x14ac:dyDescent="0.25">
      <c r="A1174" s="1"/>
      <c r="B1174" s="57"/>
      <c r="C1174" s="57"/>
      <c r="D1174" s="57"/>
      <c r="E1174" s="57"/>
      <c r="F1174" s="57"/>
    </row>
    <row r="1175" spans="1:6" x14ac:dyDescent="0.25">
      <c r="A1175" s="1"/>
      <c r="B1175" s="57"/>
      <c r="C1175" s="57"/>
      <c r="D1175" s="57"/>
      <c r="E1175" s="57"/>
      <c r="F1175" s="57"/>
    </row>
    <row r="1176" spans="1:6" x14ac:dyDescent="0.25">
      <c r="A1176" s="1"/>
      <c r="B1176" s="57"/>
      <c r="C1176" s="57"/>
      <c r="D1176" s="57"/>
      <c r="E1176" s="57"/>
      <c r="F1176" s="57"/>
    </row>
    <row r="1177" spans="1:6" x14ac:dyDescent="0.25">
      <c r="A1177" s="1"/>
      <c r="B1177" s="57"/>
      <c r="C1177" s="57"/>
      <c r="D1177" s="57"/>
      <c r="E1177" s="57"/>
      <c r="F1177" s="57"/>
    </row>
    <row r="1178" spans="1:6" x14ac:dyDescent="0.25">
      <c r="A1178" s="1"/>
      <c r="B1178" s="57"/>
      <c r="C1178" s="57"/>
      <c r="D1178" s="57"/>
      <c r="E1178" s="57"/>
      <c r="F1178" s="57"/>
    </row>
    <row r="1179" spans="1:6" x14ac:dyDescent="0.25">
      <c r="A1179" s="1"/>
      <c r="B1179" s="57"/>
      <c r="C1179" s="57"/>
      <c r="D1179" s="57"/>
      <c r="E1179" s="57"/>
      <c r="F1179" s="57"/>
    </row>
    <row r="1180" spans="1:6" x14ac:dyDescent="0.25">
      <c r="A1180" s="1"/>
      <c r="B1180" s="57"/>
      <c r="C1180" s="57"/>
      <c r="D1180" s="57"/>
      <c r="E1180" s="57"/>
      <c r="F1180" s="57"/>
    </row>
    <row r="1181" spans="1:6" x14ac:dyDescent="0.25">
      <c r="A1181" s="1"/>
      <c r="B1181" s="57"/>
      <c r="C1181" s="57"/>
      <c r="D1181" s="57"/>
      <c r="E1181" s="57"/>
      <c r="F1181" s="57"/>
    </row>
    <row r="1182" spans="1:6" x14ac:dyDescent="0.25">
      <c r="A1182" s="1"/>
      <c r="B1182" s="57"/>
      <c r="C1182" s="57"/>
      <c r="D1182" s="57"/>
      <c r="E1182" s="57"/>
      <c r="F1182" s="57"/>
    </row>
    <row r="1183" spans="1:6" x14ac:dyDescent="0.25">
      <c r="A1183" s="1"/>
      <c r="B1183" s="57"/>
      <c r="C1183" s="57"/>
      <c r="D1183" s="57"/>
      <c r="E1183" s="57"/>
      <c r="F1183" s="57"/>
    </row>
    <row r="1184" spans="1:6" x14ac:dyDescent="0.25">
      <c r="A1184" s="1"/>
      <c r="B1184" s="57"/>
      <c r="C1184" s="57"/>
      <c r="D1184" s="57"/>
      <c r="E1184" s="57"/>
      <c r="F1184" s="57"/>
    </row>
    <row r="1185" spans="1:6" x14ac:dyDescent="0.25">
      <c r="A1185" s="1"/>
      <c r="B1185" s="57"/>
      <c r="C1185" s="57"/>
      <c r="D1185" s="57"/>
      <c r="E1185" s="57"/>
      <c r="F1185" s="57"/>
    </row>
    <row r="1186" spans="1:6" x14ac:dyDescent="0.25">
      <c r="A1186" s="1"/>
      <c r="B1186" s="57"/>
      <c r="C1186" s="57"/>
      <c r="D1186" s="57"/>
      <c r="E1186" s="57"/>
      <c r="F1186" s="57"/>
    </row>
    <row r="1187" spans="1:6" x14ac:dyDescent="0.25">
      <c r="A1187" s="1"/>
      <c r="B1187" s="57"/>
      <c r="C1187" s="57"/>
      <c r="D1187" s="57"/>
      <c r="E1187" s="57"/>
      <c r="F1187" s="57"/>
    </row>
    <row r="1188" spans="1:6" x14ac:dyDescent="0.25">
      <c r="A1188" s="1"/>
      <c r="B1188" s="57"/>
      <c r="C1188" s="57"/>
      <c r="D1188" s="57"/>
      <c r="E1188" s="57"/>
      <c r="F1188" s="57"/>
    </row>
    <row r="1189" spans="1:6" x14ac:dyDescent="0.25">
      <c r="A1189" s="1"/>
      <c r="B1189" s="57"/>
      <c r="C1189" s="57"/>
      <c r="D1189" s="57"/>
      <c r="E1189" s="57"/>
      <c r="F1189" s="57"/>
    </row>
    <row r="1190" spans="1:6" x14ac:dyDescent="0.25">
      <c r="A1190" s="1"/>
      <c r="B1190" s="57"/>
      <c r="C1190" s="57"/>
      <c r="D1190" s="57"/>
      <c r="E1190" s="57"/>
      <c r="F1190" s="57"/>
    </row>
    <row r="1191" spans="1:6" x14ac:dyDescent="0.25">
      <c r="A1191" s="1"/>
      <c r="B1191" s="57"/>
      <c r="C1191" s="57"/>
      <c r="D1191" s="57"/>
      <c r="E1191" s="57"/>
      <c r="F1191" s="57"/>
    </row>
    <row r="1192" spans="1:6" x14ac:dyDescent="0.25">
      <c r="A1192" s="1"/>
      <c r="B1192" s="57"/>
      <c r="C1192" s="57"/>
      <c r="D1192" s="57"/>
      <c r="E1192" s="57"/>
      <c r="F1192" s="57"/>
    </row>
    <row r="1193" spans="1:6" x14ac:dyDescent="0.25">
      <c r="A1193" s="1"/>
      <c r="B1193" s="57"/>
      <c r="C1193" s="57"/>
      <c r="D1193" s="57"/>
      <c r="E1193" s="57"/>
      <c r="F1193" s="57"/>
    </row>
    <row r="1194" spans="1:6" x14ac:dyDescent="0.25">
      <c r="A1194" s="1"/>
      <c r="B1194" s="57"/>
      <c r="C1194" s="57"/>
      <c r="D1194" s="57"/>
      <c r="E1194" s="57"/>
      <c r="F1194" s="57"/>
    </row>
    <row r="1195" spans="1:6" x14ac:dyDescent="0.25">
      <c r="A1195" s="1"/>
      <c r="B1195" s="57"/>
      <c r="C1195" s="57"/>
      <c r="D1195" s="57"/>
      <c r="E1195" s="57"/>
      <c r="F1195" s="57"/>
    </row>
    <row r="1196" spans="1:6" x14ac:dyDescent="0.25">
      <c r="A1196" s="1"/>
      <c r="B1196" s="57"/>
      <c r="C1196" s="57"/>
      <c r="D1196" s="57"/>
      <c r="E1196" s="57"/>
      <c r="F1196" s="57"/>
    </row>
    <row r="1197" spans="1:6" x14ac:dyDescent="0.25">
      <c r="A1197" s="1"/>
      <c r="B1197" s="57"/>
      <c r="C1197" s="57"/>
      <c r="D1197" s="57"/>
      <c r="E1197" s="57"/>
      <c r="F1197" s="57"/>
    </row>
    <row r="1198" spans="1:6" x14ac:dyDescent="0.25">
      <c r="A1198" s="1"/>
      <c r="B1198" s="57"/>
      <c r="C1198" s="57"/>
      <c r="D1198" s="57"/>
      <c r="E1198" s="57"/>
      <c r="F1198" s="57"/>
    </row>
    <row r="1199" spans="1:6" x14ac:dyDescent="0.25">
      <c r="A1199" s="1"/>
      <c r="B1199" s="57"/>
      <c r="C1199" s="57"/>
      <c r="D1199" s="57"/>
      <c r="E1199" s="57"/>
      <c r="F1199" s="57"/>
    </row>
    <row r="1200" spans="1:6" x14ac:dyDescent="0.25">
      <c r="A1200" s="1"/>
      <c r="B1200" s="57"/>
      <c r="C1200" s="57"/>
      <c r="D1200" s="57"/>
      <c r="E1200" s="57"/>
      <c r="F1200" s="57"/>
    </row>
    <row r="1201" spans="1:6" x14ac:dyDescent="0.25">
      <c r="A1201" s="1"/>
      <c r="B1201" s="57"/>
      <c r="C1201" s="57"/>
      <c r="D1201" s="57"/>
      <c r="E1201" s="57"/>
      <c r="F1201" s="57"/>
    </row>
    <row r="1202" spans="1:6" x14ac:dyDescent="0.25">
      <c r="A1202" s="1"/>
      <c r="B1202" s="57"/>
      <c r="C1202" s="57"/>
      <c r="D1202" s="57"/>
      <c r="E1202" s="57"/>
      <c r="F1202" s="57"/>
    </row>
    <row r="1203" spans="1:6" x14ac:dyDescent="0.25">
      <c r="A1203" s="1"/>
      <c r="B1203" s="57"/>
      <c r="C1203" s="57"/>
      <c r="D1203" s="57"/>
      <c r="E1203" s="57"/>
      <c r="F1203" s="57"/>
    </row>
    <row r="1204" spans="1:6" x14ac:dyDescent="0.25">
      <c r="A1204" s="1"/>
      <c r="B1204" s="57"/>
      <c r="C1204" s="57"/>
      <c r="D1204" s="57"/>
      <c r="E1204" s="57"/>
      <c r="F1204" s="57"/>
    </row>
    <row r="1205" spans="1:6" x14ac:dyDescent="0.25">
      <c r="A1205" s="1"/>
      <c r="B1205" s="57"/>
      <c r="C1205" s="57"/>
      <c r="D1205" s="57"/>
      <c r="E1205" s="57"/>
      <c r="F1205" s="57"/>
    </row>
    <row r="1206" spans="1:6" x14ac:dyDescent="0.25">
      <c r="A1206" s="1"/>
      <c r="B1206" s="57"/>
      <c r="C1206" s="57"/>
      <c r="D1206" s="57"/>
      <c r="E1206" s="57"/>
      <c r="F1206" s="57"/>
    </row>
    <row r="1207" spans="1:6" x14ac:dyDescent="0.25">
      <c r="A1207" s="1"/>
      <c r="B1207" s="57"/>
      <c r="C1207" s="57"/>
      <c r="D1207" s="57"/>
      <c r="E1207" s="57"/>
      <c r="F1207" s="57"/>
    </row>
    <row r="1208" spans="1:6" x14ac:dyDescent="0.25">
      <c r="A1208" s="1"/>
      <c r="B1208" s="57"/>
      <c r="C1208" s="57"/>
      <c r="D1208" s="57"/>
      <c r="E1208" s="57"/>
      <c r="F1208" s="57"/>
    </row>
    <row r="1209" spans="1:6" x14ac:dyDescent="0.25">
      <c r="A1209" s="1"/>
      <c r="B1209" s="57"/>
      <c r="C1209" s="57"/>
      <c r="D1209" s="57"/>
      <c r="E1209" s="57"/>
      <c r="F1209" s="57"/>
    </row>
    <row r="1210" spans="1:6" x14ac:dyDescent="0.25">
      <c r="A1210" s="1"/>
      <c r="B1210" s="57"/>
      <c r="C1210" s="57"/>
      <c r="D1210" s="57"/>
      <c r="E1210" s="57"/>
      <c r="F1210" s="57"/>
    </row>
    <row r="1211" spans="1:6" x14ac:dyDescent="0.25">
      <c r="A1211" s="1"/>
      <c r="B1211" s="57"/>
      <c r="C1211" s="57"/>
      <c r="D1211" s="57"/>
      <c r="E1211" s="57"/>
      <c r="F1211" s="57"/>
    </row>
    <row r="1212" spans="1:6" x14ac:dyDescent="0.25">
      <c r="A1212" s="1"/>
      <c r="B1212" s="57"/>
      <c r="C1212" s="57"/>
      <c r="D1212" s="57"/>
      <c r="E1212" s="57"/>
      <c r="F1212" s="57"/>
    </row>
    <row r="1213" spans="1:6" x14ac:dyDescent="0.25">
      <c r="A1213" s="1"/>
      <c r="B1213" s="57"/>
      <c r="C1213" s="57"/>
      <c r="D1213" s="57"/>
      <c r="E1213" s="57"/>
      <c r="F1213" s="57"/>
    </row>
    <row r="1214" spans="1:6" x14ac:dyDescent="0.25">
      <c r="A1214" s="1"/>
      <c r="B1214" s="57"/>
      <c r="C1214" s="57"/>
      <c r="D1214" s="57"/>
      <c r="E1214" s="57"/>
      <c r="F1214" s="57"/>
    </row>
    <row r="1215" spans="1:6" x14ac:dyDescent="0.25">
      <c r="A1215" s="1"/>
      <c r="B1215" s="57"/>
      <c r="C1215" s="57"/>
      <c r="D1215" s="57"/>
      <c r="E1215" s="57"/>
      <c r="F1215" s="57"/>
    </row>
    <row r="1216" spans="1:6" x14ac:dyDescent="0.25">
      <c r="A1216" s="1"/>
      <c r="B1216" s="57"/>
      <c r="C1216" s="57"/>
      <c r="D1216" s="57"/>
      <c r="E1216" s="57"/>
      <c r="F1216" s="57"/>
    </row>
    <row r="1217" spans="1:6" x14ac:dyDescent="0.25">
      <c r="A1217" s="1"/>
      <c r="B1217" s="57"/>
      <c r="C1217" s="57"/>
      <c r="D1217" s="57"/>
      <c r="E1217" s="57"/>
      <c r="F1217" s="57"/>
    </row>
    <row r="1218" spans="1:6" x14ac:dyDescent="0.25">
      <c r="A1218" s="1"/>
      <c r="B1218" s="57"/>
      <c r="C1218" s="57"/>
      <c r="D1218" s="57"/>
      <c r="E1218" s="57"/>
      <c r="F1218" s="57"/>
    </row>
    <row r="1219" spans="1:6" x14ac:dyDescent="0.25">
      <c r="A1219" s="1"/>
      <c r="B1219" s="57"/>
      <c r="C1219" s="57"/>
      <c r="D1219" s="57"/>
      <c r="E1219" s="57"/>
      <c r="F1219" s="57"/>
    </row>
    <row r="1220" spans="1:6" x14ac:dyDescent="0.25">
      <c r="A1220" s="1"/>
      <c r="B1220" s="57"/>
      <c r="C1220" s="57"/>
      <c r="D1220" s="57"/>
      <c r="E1220" s="57"/>
      <c r="F1220" s="57"/>
    </row>
    <row r="1221" spans="1:6" x14ac:dyDescent="0.25">
      <c r="A1221" s="1"/>
      <c r="B1221" s="57"/>
      <c r="C1221" s="57"/>
      <c r="D1221" s="57"/>
      <c r="E1221" s="57"/>
      <c r="F1221" s="57"/>
    </row>
    <row r="1222" spans="1:6" x14ac:dyDescent="0.25">
      <c r="A1222" s="1"/>
      <c r="B1222" s="57"/>
      <c r="C1222" s="57"/>
      <c r="D1222" s="57"/>
      <c r="E1222" s="57"/>
      <c r="F1222" s="57"/>
    </row>
    <row r="1223" spans="1:6" x14ac:dyDescent="0.25">
      <c r="A1223" s="1"/>
      <c r="B1223" s="57"/>
      <c r="C1223" s="57"/>
      <c r="D1223" s="57"/>
      <c r="E1223" s="57"/>
      <c r="F1223" s="57"/>
    </row>
    <row r="1224" spans="1:6" x14ac:dyDescent="0.25">
      <c r="A1224" s="1"/>
      <c r="B1224" s="57"/>
      <c r="C1224" s="57"/>
      <c r="D1224" s="57"/>
      <c r="E1224" s="57"/>
      <c r="F1224" s="57"/>
    </row>
    <row r="1225" spans="1:6" x14ac:dyDescent="0.25">
      <c r="A1225" s="1"/>
      <c r="B1225" s="57"/>
      <c r="C1225" s="57"/>
      <c r="D1225" s="57"/>
      <c r="E1225" s="57"/>
      <c r="F1225" s="57"/>
    </row>
    <row r="1226" spans="1:6" x14ac:dyDescent="0.25">
      <c r="A1226" s="1"/>
      <c r="B1226" s="57"/>
      <c r="C1226" s="57"/>
      <c r="D1226" s="57"/>
      <c r="E1226" s="57"/>
      <c r="F1226" s="57"/>
    </row>
    <row r="1227" spans="1:6" x14ac:dyDescent="0.25">
      <c r="A1227" s="1"/>
      <c r="B1227" s="57"/>
      <c r="C1227" s="57"/>
      <c r="D1227" s="57"/>
      <c r="E1227" s="57"/>
      <c r="F1227" s="57"/>
    </row>
    <row r="1228" spans="1:6" x14ac:dyDescent="0.25">
      <c r="A1228" s="1"/>
      <c r="B1228" s="57"/>
      <c r="C1228" s="57"/>
      <c r="D1228" s="57"/>
      <c r="E1228" s="57"/>
      <c r="F1228" s="57"/>
    </row>
    <row r="1229" spans="1:6" x14ac:dyDescent="0.25">
      <c r="A1229" s="1"/>
      <c r="B1229" s="57"/>
      <c r="C1229" s="57"/>
      <c r="D1229" s="57"/>
      <c r="E1229" s="57"/>
      <c r="F1229" s="57"/>
    </row>
    <row r="1230" spans="1:6" x14ac:dyDescent="0.25">
      <c r="A1230" s="1"/>
      <c r="B1230" s="57"/>
      <c r="C1230" s="57"/>
      <c r="D1230" s="57"/>
      <c r="E1230" s="57"/>
      <c r="F1230" s="57"/>
    </row>
    <row r="1231" spans="1:6" x14ac:dyDescent="0.25">
      <c r="A1231" s="1"/>
      <c r="B1231" s="57"/>
      <c r="C1231" s="57"/>
      <c r="D1231" s="57"/>
      <c r="E1231" s="57"/>
      <c r="F1231" s="57"/>
    </row>
    <row r="1232" spans="1:6" x14ac:dyDescent="0.25">
      <c r="A1232" s="1"/>
      <c r="B1232" s="57"/>
      <c r="C1232" s="57"/>
      <c r="D1232" s="57"/>
      <c r="E1232" s="57"/>
      <c r="F1232" s="57"/>
    </row>
    <row r="1233" spans="1:6" x14ac:dyDescent="0.25">
      <c r="A1233" s="1"/>
      <c r="B1233" s="57"/>
      <c r="C1233" s="57"/>
      <c r="D1233" s="57"/>
      <c r="E1233" s="57"/>
      <c r="F1233" s="57"/>
    </row>
    <row r="1234" spans="1:6" x14ac:dyDescent="0.25">
      <c r="A1234" s="1"/>
      <c r="B1234" s="57"/>
      <c r="C1234" s="57"/>
      <c r="D1234" s="57"/>
      <c r="E1234" s="57"/>
      <c r="F1234" s="57"/>
    </row>
    <row r="1235" spans="1:6" x14ac:dyDescent="0.25">
      <c r="A1235" s="1"/>
      <c r="B1235" s="57"/>
      <c r="C1235" s="57"/>
      <c r="D1235" s="57"/>
      <c r="E1235" s="57"/>
      <c r="F1235" s="57"/>
    </row>
    <row r="1236" spans="1:6" x14ac:dyDescent="0.25">
      <c r="A1236" s="1"/>
      <c r="B1236" s="57"/>
      <c r="C1236" s="57"/>
      <c r="D1236" s="57"/>
      <c r="E1236" s="57"/>
      <c r="F1236" s="57"/>
    </row>
    <row r="1237" spans="1:6" x14ac:dyDescent="0.25">
      <c r="A1237" s="1"/>
      <c r="B1237" s="57"/>
      <c r="C1237" s="57"/>
      <c r="D1237" s="57"/>
      <c r="E1237" s="57"/>
      <c r="F1237" s="57"/>
    </row>
    <row r="1238" spans="1:6" x14ac:dyDescent="0.25">
      <c r="A1238" s="1"/>
      <c r="B1238" s="57"/>
      <c r="C1238" s="57"/>
      <c r="D1238" s="57"/>
      <c r="E1238" s="57"/>
      <c r="F1238" s="57"/>
    </row>
    <row r="1239" spans="1:6" x14ac:dyDescent="0.25">
      <c r="A1239" s="1"/>
      <c r="B1239" s="57"/>
      <c r="C1239" s="57"/>
      <c r="D1239" s="57"/>
      <c r="E1239" s="57"/>
      <c r="F1239" s="57"/>
    </row>
    <row r="1240" spans="1:6" x14ac:dyDescent="0.25">
      <c r="A1240" s="1"/>
      <c r="B1240" s="57"/>
      <c r="C1240" s="57"/>
      <c r="D1240" s="57"/>
      <c r="E1240" s="57"/>
      <c r="F1240" s="57"/>
    </row>
    <row r="1241" spans="1:6" x14ac:dyDescent="0.25">
      <c r="A1241" s="1"/>
      <c r="B1241" s="57"/>
      <c r="C1241" s="57"/>
      <c r="D1241" s="57"/>
      <c r="E1241" s="57"/>
      <c r="F1241" s="57"/>
    </row>
    <row r="1242" spans="1:6" x14ac:dyDescent="0.25">
      <c r="A1242" s="1"/>
      <c r="B1242" s="57"/>
      <c r="C1242" s="57"/>
      <c r="D1242" s="57"/>
      <c r="E1242" s="57"/>
      <c r="F1242" s="57"/>
    </row>
    <row r="1243" spans="1:6" x14ac:dyDescent="0.25">
      <c r="A1243" s="1"/>
      <c r="B1243" s="57"/>
      <c r="C1243" s="57"/>
      <c r="D1243" s="57"/>
      <c r="E1243" s="57"/>
      <c r="F1243" s="57"/>
    </row>
    <row r="1244" spans="1:6" x14ac:dyDescent="0.25">
      <c r="A1244" s="1"/>
      <c r="B1244" s="57"/>
      <c r="C1244" s="57"/>
      <c r="D1244" s="57"/>
      <c r="E1244" s="57"/>
      <c r="F1244" s="57"/>
    </row>
    <row r="1245" spans="1:6" x14ac:dyDescent="0.25">
      <c r="A1245" s="1"/>
      <c r="B1245" s="57"/>
      <c r="C1245" s="57"/>
      <c r="D1245" s="57"/>
      <c r="E1245" s="57"/>
      <c r="F1245" s="57"/>
    </row>
    <row r="1246" spans="1:6" x14ac:dyDescent="0.25">
      <c r="A1246" s="1"/>
      <c r="B1246" s="57"/>
      <c r="C1246" s="57"/>
      <c r="D1246" s="57"/>
      <c r="E1246" s="57"/>
      <c r="F1246" s="57"/>
    </row>
    <row r="1247" spans="1:6" x14ac:dyDescent="0.25">
      <c r="A1247" s="1"/>
      <c r="B1247" s="57"/>
      <c r="C1247" s="57"/>
      <c r="D1247" s="57"/>
      <c r="E1247" s="57"/>
      <c r="F1247" s="57"/>
    </row>
    <row r="1248" spans="1:6" x14ac:dyDescent="0.25">
      <c r="A1248" s="1"/>
      <c r="B1248" s="57"/>
      <c r="C1248" s="57"/>
      <c r="D1248" s="57"/>
      <c r="E1248" s="57"/>
      <c r="F1248" s="57"/>
    </row>
    <row r="1249" spans="1:6" x14ac:dyDescent="0.25">
      <c r="A1249" s="1"/>
      <c r="B1249" s="57"/>
      <c r="C1249" s="57"/>
      <c r="D1249" s="57"/>
      <c r="E1249" s="57"/>
      <c r="F1249" s="57"/>
    </row>
    <row r="1250" spans="1:6" x14ac:dyDescent="0.25">
      <c r="A1250" s="1"/>
      <c r="B1250" s="57"/>
      <c r="C1250" s="57"/>
      <c r="D1250" s="57"/>
      <c r="E1250" s="57"/>
      <c r="F1250" s="57"/>
    </row>
    <row r="1251" spans="1:6" x14ac:dyDescent="0.25">
      <c r="A1251" s="1"/>
      <c r="B1251" s="57"/>
      <c r="C1251" s="57"/>
      <c r="D1251" s="57"/>
      <c r="E1251" s="57"/>
      <c r="F1251" s="57"/>
    </row>
    <row r="1252" spans="1:6" x14ac:dyDescent="0.25">
      <c r="A1252" s="1"/>
      <c r="B1252" s="57"/>
      <c r="C1252" s="57"/>
      <c r="D1252" s="57"/>
      <c r="E1252" s="57"/>
      <c r="F1252" s="57"/>
    </row>
    <row r="1253" spans="1:6" x14ac:dyDescent="0.25">
      <c r="A1253" s="1"/>
      <c r="B1253" s="57"/>
      <c r="C1253" s="57"/>
      <c r="D1253" s="57"/>
      <c r="E1253" s="57"/>
      <c r="F1253" s="57"/>
    </row>
    <row r="1254" spans="1:6" x14ac:dyDescent="0.25">
      <c r="A1254" s="1"/>
      <c r="B1254" s="57"/>
      <c r="C1254" s="57"/>
      <c r="D1254" s="57"/>
      <c r="E1254" s="57"/>
      <c r="F1254" s="57"/>
    </row>
    <row r="1255" spans="1:6" x14ac:dyDescent="0.25">
      <c r="A1255" s="1"/>
      <c r="B1255" s="57"/>
      <c r="C1255" s="57"/>
      <c r="D1255" s="57"/>
      <c r="E1255" s="57"/>
      <c r="F1255" s="57"/>
    </row>
    <row r="1256" spans="1:6" x14ac:dyDescent="0.25">
      <c r="A1256" s="1"/>
      <c r="B1256" s="57"/>
      <c r="C1256" s="57"/>
      <c r="D1256" s="57"/>
      <c r="E1256" s="57"/>
      <c r="F1256" s="57"/>
    </row>
    <row r="1257" spans="1:6" x14ac:dyDescent="0.25">
      <c r="A1257" s="1"/>
      <c r="B1257" s="57"/>
      <c r="C1257" s="57"/>
      <c r="D1257" s="57"/>
      <c r="E1257" s="57"/>
      <c r="F1257" s="57"/>
    </row>
    <row r="1258" spans="1:6" x14ac:dyDescent="0.25">
      <c r="A1258" s="1"/>
      <c r="B1258" s="57"/>
      <c r="C1258" s="57"/>
      <c r="D1258" s="57"/>
      <c r="E1258" s="57"/>
      <c r="F1258" s="57"/>
    </row>
    <row r="1259" spans="1:6" x14ac:dyDescent="0.25">
      <c r="A1259" s="1"/>
      <c r="B1259" s="57"/>
      <c r="C1259" s="57"/>
      <c r="D1259" s="57"/>
      <c r="E1259" s="57"/>
      <c r="F1259" s="57"/>
    </row>
    <row r="1260" spans="1:6" x14ac:dyDescent="0.25">
      <c r="A1260" s="1"/>
      <c r="B1260" s="57"/>
      <c r="C1260" s="57"/>
      <c r="D1260" s="57"/>
      <c r="E1260" s="57"/>
      <c r="F1260" s="57"/>
    </row>
    <row r="1261" spans="1:6" x14ac:dyDescent="0.25">
      <c r="A1261" s="1"/>
      <c r="B1261" s="57"/>
      <c r="C1261" s="57"/>
      <c r="D1261" s="57"/>
      <c r="E1261" s="57"/>
      <c r="F1261" s="57"/>
    </row>
    <row r="1262" spans="1:6" x14ac:dyDescent="0.25">
      <c r="A1262" s="1"/>
      <c r="B1262" s="57"/>
      <c r="C1262" s="57"/>
      <c r="D1262" s="57"/>
      <c r="E1262" s="57"/>
      <c r="F1262" s="57"/>
    </row>
    <row r="1263" spans="1:6" x14ac:dyDescent="0.25">
      <c r="A1263" s="1"/>
      <c r="B1263" s="57"/>
      <c r="C1263" s="57"/>
      <c r="D1263" s="57"/>
      <c r="E1263" s="57"/>
      <c r="F1263" s="57"/>
    </row>
    <row r="1264" spans="1:6" x14ac:dyDescent="0.25">
      <c r="A1264" s="1"/>
      <c r="B1264" s="57"/>
      <c r="C1264" s="57"/>
      <c r="D1264" s="57"/>
      <c r="E1264" s="57"/>
      <c r="F1264" s="57"/>
    </row>
    <row r="1265" spans="1:6" x14ac:dyDescent="0.25">
      <c r="A1265" s="1"/>
      <c r="B1265" s="57"/>
      <c r="C1265" s="57"/>
      <c r="D1265" s="57"/>
      <c r="E1265" s="57"/>
      <c r="F1265" s="57"/>
    </row>
    <row r="1266" spans="1:6" x14ac:dyDescent="0.25">
      <c r="A1266" s="1"/>
      <c r="B1266" s="57"/>
      <c r="C1266" s="57"/>
      <c r="D1266" s="57"/>
      <c r="E1266" s="57"/>
      <c r="F1266" s="57"/>
    </row>
    <row r="1267" spans="1:6" x14ac:dyDescent="0.25">
      <c r="A1267" s="1"/>
      <c r="B1267" s="57"/>
      <c r="C1267" s="57"/>
      <c r="D1267" s="57"/>
      <c r="E1267" s="57"/>
      <c r="F1267" s="57"/>
    </row>
    <row r="1268" spans="1:6" x14ac:dyDescent="0.25">
      <c r="A1268" s="1"/>
      <c r="B1268" s="57"/>
      <c r="C1268" s="57"/>
      <c r="D1268" s="57"/>
      <c r="E1268" s="57"/>
      <c r="F1268" s="57"/>
    </row>
    <row r="1269" spans="1:6" x14ac:dyDescent="0.25">
      <c r="A1269" s="1"/>
      <c r="B1269" s="57"/>
      <c r="C1269" s="57"/>
      <c r="D1269" s="57"/>
      <c r="E1269" s="57"/>
      <c r="F1269" s="57"/>
    </row>
    <row r="1270" spans="1:6" x14ac:dyDescent="0.25">
      <c r="A1270" s="1"/>
      <c r="B1270" s="57"/>
      <c r="C1270" s="57"/>
      <c r="D1270" s="57"/>
      <c r="E1270" s="57"/>
      <c r="F1270" s="57"/>
    </row>
    <row r="1271" spans="1:6" x14ac:dyDescent="0.25">
      <c r="A1271" s="1"/>
      <c r="B1271" s="57"/>
      <c r="C1271" s="57"/>
      <c r="D1271" s="57"/>
      <c r="E1271" s="57"/>
      <c r="F1271" s="57"/>
    </row>
    <row r="1272" spans="1:6" x14ac:dyDescent="0.25">
      <c r="A1272" s="1"/>
      <c r="B1272" s="57"/>
      <c r="C1272" s="57"/>
      <c r="D1272" s="57"/>
      <c r="E1272" s="57"/>
      <c r="F1272" s="57"/>
    </row>
    <row r="1273" spans="1:6" x14ac:dyDescent="0.25">
      <c r="A1273" s="1"/>
      <c r="B1273" s="57"/>
      <c r="C1273" s="57"/>
      <c r="D1273" s="57"/>
      <c r="E1273" s="57"/>
      <c r="F1273" s="57"/>
    </row>
    <row r="1274" spans="1:6" x14ac:dyDescent="0.25">
      <c r="A1274" s="1"/>
      <c r="B1274" s="57"/>
      <c r="C1274" s="57"/>
      <c r="D1274" s="57"/>
      <c r="E1274" s="57"/>
      <c r="F1274" s="57"/>
    </row>
    <row r="1275" spans="1:6" x14ac:dyDescent="0.25">
      <c r="A1275" s="1"/>
      <c r="B1275" s="57"/>
      <c r="C1275" s="57"/>
      <c r="D1275" s="57"/>
      <c r="E1275" s="57"/>
      <c r="F1275" s="57"/>
    </row>
    <row r="1276" spans="1:6" x14ac:dyDescent="0.25">
      <c r="A1276" s="1"/>
      <c r="B1276" s="57"/>
      <c r="C1276" s="57"/>
      <c r="D1276" s="57"/>
      <c r="E1276" s="57"/>
      <c r="F1276" s="57"/>
    </row>
    <row r="1277" spans="1:6" x14ac:dyDescent="0.25">
      <c r="A1277" s="1"/>
      <c r="B1277" s="57"/>
      <c r="C1277" s="57"/>
      <c r="D1277" s="57"/>
      <c r="E1277" s="57"/>
      <c r="F1277" s="57"/>
    </row>
    <row r="1278" spans="1:6" x14ac:dyDescent="0.25">
      <c r="A1278" s="1"/>
      <c r="B1278" s="57"/>
      <c r="C1278" s="57"/>
      <c r="D1278" s="57"/>
      <c r="E1278" s="57"/>
      <c r="F1278" s="57"/>
    </row>
    <row r="1279" spans="1:6" x14ac:dyDescent="0.25">
      <c r="A1279" s="1"/>
      <c r="B1279" s="57"/>
      <c r="C1279" s="57"/>
      <c r="D1279" s="57"/>
      <c r="E1279" s="57"/>
      <c r="F1279" s="57"/>
    </row>
    <row r="1280" spans="1:6" x14ac:dyDescent="0.25">
      <c r="A1280" s="1"/>
      <c r="B1280" s="57"/>
      <c r="C1280" s="57"/>
      <c r="D1280" s="57"/>
      <c r="E1280" s="57"/>
      <c r="F1280" s="57"/>
    </row>
    <row r="1281" spans="1:6" x14ac:dyDescent="0.25">
      <c r="A1281" s="1"/>
      <c r="B1281" s="57"/>
      <c r="C1281" s="57"/>
      <c r="D1281" s="57"/>
      <c r="E1281" s="57"/>
      <c r="F1281" s="57"/>
    </row>
    <row r="1282" spans="1:6" x14ac:dyDescent="0.25">
      <c r="A1282" s="1"/>
      <c r="B1282" s="57"/>
      <c r="C1282" s="57"/>
      <c r="D1282" s="57"/>
      <c r="E1282" s="57"/>
      <c r="F1282" s="57"/>
    </row>
    <row r="1283" spans="1:6" x14ac:dyDescent="0.25">
      <c r="A1283" s="1"/>
      <c r="B1283" s="57"/>
      <c r="C1283" s="57"/>
      <c r="D1283" s="57"/>
      <c r="E1283" s="57"/>
      <c r="F1283" s="57"/>
    </row>
    <row r="1284" spans="1:6" x14ac:dyDescent="0.25">
      <c r="A1284" s="1"/>
      <c r="B1284" s="57"/>
      <c r="C1284" s="57"/>
      <c r="D1284" s="57"/>
      <c r="E1284" s="57"/>
      <c r="F1284" s="57"/>
    </row>
    <row r="1285" spans="1:6" x14ac:dyDescent="0.25">
      <c r="A1285" s="1"/>
      <c r="B1285" s="57"/>
      <c r="C1285" s="57"/>
      <c r="D1285" s="57"/>
      <c r="E1285" s="57"/>
      <c r="F1285" s="57"/>
    </row>
    <row r="1286" spans="1:6" x14ac:dyDescent="0.25">
      <c r="A1286" s="1"/>
      <c r="B1286" s="57"/>
      <c r="C1286" s="57"/>
      <c r="D1286" s="57"/>
      <c r="E1286" s="57"/>
      <c r="F1286" s="57"/>
    </row>
    <row r="1287" spans="1:6" x14ac:dyDescent="0.25">
      <c r="A1287" s="1"/>
      <c r="B1287" s="57"/>
      <c r="C1287" s="57"/>
      <c r="D1287" s="57"/>
      <c r="E1287" s="57"/>
      <c r="F1287" s="57"/>
    </row>
    <row r="1288" spans="1:6" x14ac:dyDescent="0.25">
      <c r="A1288" s="1"/>
      <c r="B1288" s="57"/>
      <c r="C1288" s="57"/>
      <c r="D1288" s="57"/>
      <c r="E1288" s="57"/>
      <c r="F1288" s="57"/>
    </row>
    <row r="1289" spans="1:6" x14ac:dyDescent="0.25">
      <c r="A1289" s="1"/>
      <c r="B1289" s="57"/>
      <c r="C1289" s="57"/>
      <c r="D1289" s="57"/>
      <c r="E1289" s="57"/>
      <c r="F1289" s="57"/>
    </row>
    <row r="1290" spans="1:6" x14ac:dyDescent="0.25">
      <c r="A1290" s="1"/>
      <c r="B1290" s="57"/>
      <c r="C1290" s="57"/>
      <c r="D1290" s="57"/>
      <c r="E1290" s="57"/>
      <c r="F1290" s="57"/>
    </row>
    <row r="1291" spans="1:6" x14ac:dyDescent="0.25">
      <c r="A1291" s="1"/>
      <c r="B1291" s="57"/>
      <c r="C1291" s="57"/>
      <c r="D1291" s="57"/>
      <c r="E1291" s="57"/>
      <c r="F1291" s="57"/>
    </row>
    <row r="1292" spans="1:6" x14ac:dyDescent="0.25">
      <c r="A1292" s="1"/>
      <c r="B1292" s="57"/>
      <c r="C1292" s="57"/>
      <c r="D1292" s="57"/>
      <c r="E1292" s="57"/>
      <c r="F1292" s="57"/>
    </row>
    <row r="1293" spans="1:6" x14ac:dyDescent="0.25">
      <c r="A1293" s="1"/>
      <c r="B1293" s="57"/>
      <c r="C1293" s="57"/>
      <c r="D1293" s="57"/>
      <c r="E1293" s="57"/>
      <c r="F1293" s="57"/>
    </row>
    <row r="1294" spans="1:6" x14ac:dyDescent="0.25">
      <c r="A1294" s="1"/>
      <c r="B1294" s="57"/>
      <c r="C1294" s="57"/>
      <c r="D1294" s="57"/>
      <c r="E1294" s="57"/>
      <c r="F1294" s="57"/>
    </row>
    <row r="1295" spans="1:6" x14ac:dyDescent="0.25">
      <c r="A1295" s="1"/>
      <c r="B1295" s="57"/>
      <c r="C1295" s="57"/>
      <c r="D1295" s="57"/>
      <c r="E1295" s="57"/>
      <c r="F1295" s="57"/>
    </row>
    <row r="1296" spans="1:6" x14ac:dyDescent="0.25">
      <c r="A1296" s="1"/>
      <c r="B1296" s="57"/>
      <c r="C1296" s="57"/>
      <c r="D1296" s="57"/>
      <c r="E1296" s="57"/>
      <c r="F1296" s="57"/>
    </row>
    <row r="1297" spans="1:6" x14ac:dyDescent="0.25">
      <c r="A1297" s="1"/>
      <c r="B1297" s="57"/>
      <c r="C1297" s="57"/>
      <c r="D1297" s="57"/>
      <c r="E1297" s="57"/>
      <c r="F1297" s="57"/>
    </row>
    <row r="1298" spans="1:6" x14ac:dyDescent="0.25">
      <c r="A1298" s="1"/>
      <c r="B1298" s="57"/>
      <c r="C1298" s="57"/>
      <c r="D1298" s="57"/>
      <c r="E1298" s="57"/>
      <c r="F1298" s="57"/>
    </row>
    <row r="1299" spans="1:6" x14ac:dyDescent="0.25">
      <c r="A1299" s="1"/>
      <c r="B1299" s="57"/>
      <c r="C1299" s="57"/>
      <c r="D1299" s="57"/>
      <c r="E1299" s="57"/>
      <c r="F1299" s="57"/>
    </row>
    <row r="1300" spans="1:6" x14ac:dyDescent="0.25">
      <c r="A1300" s="1"/>
      <c r="B1300" s="57"/>
      <c r="C1300" s="57"/>
      <c r="D1300" s="57"/>
      <c r="E1300" s="57"/>
      <c r="F1300" s="57"/>
    </row>
    <row r="1301" spans="1:6" x14ac:dyDescent="0.25">
      <c r="A1301" s="1"/>
      <c r="B1301" s="57"/>
      <c r="C1301" s="57"/>
      <c r="D1301" s="57"/>
      <c r="E1301" s="57"/>
      <c r="F1301" s="57"/>
    </row>
    <row r="1302" spans="1:6" x14ac:dyDescent="0.25">
      <c r="A1302" s="1"/>
      <c r="B1302" s="57"/>
      <c r="C1302" s="57"/>
      <c r="D1302" s="57"/>
      <c r="E1302" s="57"/>
      <c r="F1302" s="57"/>
    </row>
    <row r="1303" spans="1:6" x14ac:dyDescent="0.25">
      <c r="A1303" s="1"/>
      <c r="B1303" s="57"/>
      <c r="C1303" s="57"/>
      <c r="D1303" s="57"/>
      <c r="E1303" s="57"/>
      <c r="F1303" s="57"/>
    </row>
    <row r="1304" spans="1:6" x14ac:dyDescent="0.25">
      <c r="A1304" s="1"/>
      <c r="B1304" s="57"/>
      <c r="C1304" s="57"/>
      <c r="D1304" s="57"/>
      <c r="E1304" s="57"/>
      <c r="F1304" s="57"/>
    </row>
    <row r="1305" spans="1:6" x14ac:dyDescent="0.25">
      <c r="A1305" s="1"/>
      <c r="B1305" s="57"/>
      <c r="C1305" s="57"/>
      <c r="D1305" s="57"/>
      <c r="E1305" s="57"/>
      <c r="F1305" s="57"/>
    </row>
    <row r="1306" spans="1:6" x14ac:dyDescent="0.25">
      <c r="A1306" s="1"/>
      <c r="B1306" s="57"/>
      <c r="C1306" s="57"/>
      <c r="D1306" s="57"/>
      <c r="E1306" s="57"/>
      <c r="F1306" s="57"/>
    </row>
    <row r="1307" spans="1:6" x14ac:dyDescent="0.25">
      <c r="A1307" s="1"/>
      <c r="B1307" s="57"/>
      <c r="C1307" s="57"/>
      <c r="D1307" s="57"/>
      <c r="E1307" s="57"/>
      <c r="F1307" s="57"/>
    </row>
    <row r="1308" spans="1:6" x14ac:dyDescent="0.25">
      <c r="A1308" s="1"/>
      <c r="B1308" s="57"/>
      <c r="C1308" s="57"/>
      <c r="D1308" s="57"/>
      <c r="E1308" s="57"/>
      <c r="F1308" s="57"/>
    </row>
    <row r="1309" spans="1:6" x14ac:dyDescent="0.25">
      <c r="A1309" s="1"/>
      <c r="B1309" s="57"/>
      <c r="C1309" s="57"/>
      <c r="D1309" s="57"/>
      <c r="E1309" s="57"/>
      <c r="F1309" s="57"/>
    </row>
    <row r="1310" spans="1:6" x14ac:dyDescent="0.25">
      <c r="A1310" s="1"/>
      <c r="B1310" s="57"/>
      <c r="C1310" s="57"/>
      <c r="D1310" s="57"/>
      <c r="E1310" s="57"/>
      <c r="F1310" s="57"/>
    </row>
    <row r="1311" spans="1:6" x14ac:dyDescent="0.25">
      <c r="A1311" s="1"/>
      <c r="B1311" s="57"/>
      <c r="C1311" s="57"/>
      <c r="D1311" s="57"/>
      <c r="E1311" s="57"/>
      <c r="F1311" s="57"/>
    </row>
    <row r="1312" spans="1:6" x14ac:dyDescent="0.25">
      <c r="A1312" s="1"/>
      <c r="B1312" s="57"/>
      <c r="C1312" s="57"/>
      <c r="D1312" s="57"/>
      <c r="E1312" s="57"/>
      <c r="F1312" s="57"/>
    </row>
    <row r="1313" spans="1:6" x14ac:dyDescent="0.25">
      <c r="A1313" s="1"/>
      <c r="B1313" s="57"/>
      <c r="C1313" s="57"/>
      <c r="D1313" s="57"/>
      <c r="E1313" s="57"/>
      <c r="F1313" s="57"/>
    </row>
    <row r="1314" spans="1:6" x14ac:dyDescent="0.25">
      <c r="A1314" s="1"/>
      <c r="B1314" s="57"/>
      <c r="C1314" s="57"/>
      <c r="D1314" s="57"/>
      <c r="E1314" s="57"/>
      <c r="F1314" s="57"/>
    </row>
    <row r="1315" spans="1:6" x14ac:dyDescent="0.25">
      <c r="A1315" s="1"/>
      <c r="B1315" s="57"/>
      <c r="C1315" s="57"/>
      <c r="D1315" s="57"/>
      <c r="E1315" s="57"/>
      <c r="F1315" s="57"/>
    </row>
    <row r="1316" spans="1:6" x14ac:dyDescent="0.25">
      <c r="A1316" s="1"/>
      <c r="B1316" s="57"/>
      <c r="C1316" s="57"/>
      <c r="D1316" s="57"/>
      <c r="E1316" s="57"/>
      <c r="F1316" s="57"/>
    </row>
    <row r="1317" spans="1:6" x14ac:dyDescent="0.25">
      <c r="A1317" s="1"/>
      <c r="B1317" s="57"/>
      <c r="C1317" s="57"/>
      <c r="D1317" s="57"/>
      <c r="E1317" s="57"/>
      <c r="F1317" s="57"/>
    </row>
    <row r="1318" spans="1:6" x14ac:dyDescent="0.25">
      <c r="A1318" s="1"/>
      <c r="B1318" s="57"/>
      <c r="C1318" s="57"/>
      <c r="D1318" s="57"/>
      <c r="E1318" s="57"/>
      <c r="F1318" s="57"/>
    </row>
    <row r="1319" spans="1:6" x14ac:dyDescent="0.25">
      <c r="A1319" s="1"/>
      <c r="B1319" s="57"/>
      <c r="C1319" s="57"/>
      <c r="D1319" s="57"/>
      <c r="E1319" s="57"/>
      <c r="F1319" s="57"/>
    </row>
    <row r="1320" spans="1:6" x14ac:dyDescent="0.25">
      <c r="A1320" s="1"/>
      <c r="B1320" s="57"/>
      <c r="C1320" s="57"/>
      <c r="D1320" s="57"/>
      <c r="E1320" s="57"/>
      <c r="F1320" s="57"/>
    </row>
    <row r="1321" spans="1:6" x14ac:dyDescent="0.25">
      <c r="A1321" s="1"/>
      <c r="B1321" s="57"/>
      <c r="C1321" s="57"/>
      <c r="D1321" s="57"/>
      <c r="E1321" s="57"/>
      <c r="F1321" s="57"/>
    </row>
    <row r="1322" spans="1:6" x14ac:dyDescent="0.25">
      <c r="A1322" s="1"/>
      <c r="B1322" s="57"/>
      <c r="C1322" s="57"/>
      <c r="D1322" s="57"/>
      <c r="E1322" s="57"/>
      <c r="F1322" s="57"/>
    </row>
    <row r="1323" spans="1:6" x14ac:dyDescent="0.25">
      <c r="A1323" s="1"/>
      <c r="B1323" s="57"/>
      <c r="C1323" s="57"/>
      <c r="D1323" s="57"/>
      <c r="E1323" s="57"/>
      <c r="F1323" s="57"/>
    </row>
    <row r="1324" spans="1:6" x14ac:dyDescent="0.25">
      <c r="A1324" s="1"/>
      <c r="B1324" s="57"/>
      <c r="C1324" s="57"/>
      <c r="D1324" s="57"/>
      <c r="E1324" s="57"/>
      <c r="F1324" s="57"/>
    </row>
    <row r="1325" spans="1:6" x14ac:dyDescent="0.25">
      <c r="A1325" s="1"/>
      <c r="B1325" s="57"/>
      <c r="C1325" s="57"/>
      <c r="D1325" s="57"/>
      <c r="E1325" s="57"/>
      <c r="F1325" s="57"/>
    </row>
    <row r="1326" spans="1:6" x14ac:dyDescent="0.25">
      <c r="A1326" s="1"/>
      <c r="B1326" s="57"/>
      <c r="C1326" s="57"/>
      <c r="D1326" s="57"/>
      <c r="E1326" s="57"/>
      <c r="F1326" s="57"/>
    </row>
    <row r="1327" spans="1:6" x14ac:dyDescent="0.25">
      <c r="A1327" s="1"/>
      <c r="B1327" s="57"/>
      <c r="C1327" s="57"/>
      <c r="D1327" s="57"/>
      <c r="E1327" s="57"/>
      <c r="F1327" s="57"/>
    </row>
    <row r="1328" spans="1:6" x14ac:dyDescent="0.25">
      <c r="A1328" s="1"/>
      <c r="B1328" s="57"/>
      <c r="C1328" s="57"/>
      <c r="D1328" s="57"/>
      <c r="E1328" s="57"/>
      <c r="F1328" s="57"/>
    </row>
    <row r="1329" spans="1:6" x14ac:dyDescent="0.25">
      <c r="A1329" s="1"/>
      <c r="B1329" s="57"/>
      <c r="C1329" s="57"/>
      <c r="D1329" s="57"/>
      <c r="E1329" s="57"/>
      <c r="F1329" s="57"/>
    </row>
    <row r="1330" spans="1:6" x14ac:dyDescent="0.25">
      <c r="A1330" s="1"/>
      <c r="B1330" s="57"/>
      <c r="C1330" s="57"/>
      <c r="D1330" s="57"/>
      <c r="E1330" s="57"/>
      <c r="F1330" s="57"/>
    </row>
    <row r="1331" spans="1:6" x14ac:dyDescent="0.25">
      <c r="A1331" s="1"/>
      <c r="B1331" s="57"/>
      <c r="C1331" s="57"/>
      <c r="D1331" s="57"/>
      <c r="E1331" s="57"/>
      <c r="F1331" s="57"/>
    </row>
    <row r="1332" spans="1:6" x14ac:dyDescent="0.25">
      <c r="A1332" s="1"/>
      <c r="B1332" s="57"/>
      <c r="C1332" s="57"/>
      <c r="D1332" s="57"/>
      <c r="E1332" s="57"/>
      <c r="F1332" s="57"/>
    </row>
    <row r="1333" spans="1:6" x14ac:dyDescent="0.25">
      <c r="A1333" s="1"/>
      <c r="B1333" s="57"/>
      <c r="C1333" s="57"/>
      <c r="D1333" s="57"/>
      <c r="E1333" s="57"/>
      <c r="F1333" s="57"/>
    </row>
    <row r="1334" spans="1:6" x14ac:dyDescent="0.25">
      <c r="A1334" s="1"/>
      <c r="B1334" s="57"/>
      <c r="C1334" s="57"/>
      <c r="D1334" s="57"/>
      <c r="E1334" s="57"/>
      <c r="F1334" s="57"/>
    </row>
    <row r="1335" spans="1:6" x14ac:dyDescent="0.25">
      <c r="A1335" s="1"/>
      <c r="B1335" s="57"/>
      <c r="C1335" s="57"/>
      <c r="D1335" s="57"/>
      <c r="E1335" s="57"/>
      <c r="F1335" s="57"/>
    </row>
    <row r="1336" spans="1:6" x14ac:dyDescent="0.25">
      <c r="A1336" s="1"/>
      <c r="B1336" s="57"/>
      <c r="C1336" s="57"/>
      <c r="D1336" s="57"/>
      <c r="E1336" s="57"/>
      <c r="F1336" s="57"/>
    </row>
    <row r="1337" spans="1:6" x14ac:dyDescent="0.25">
      <c r="A1337" s="1"/>
      <c r="B1337" s="57"/>
      <c r="C1337" s="57"/>
      <c r="D1337" s="57"/>
      <c r="E1337" s="57"/>
      <c r="F1337" s="57"/>
    </row>
    <row r="1338" spans="1:6" x14ac:dyDescent="0.25">
      <c r="A1338" s="1"/>
      <c r="B1338" s="57"/>
      <c r="C1338" s="57"/>
      <c r="D1338" s="57"/>
      <c r="E1338" s="57"/>
      <c r="F1338" s="57"/>
    </row>
    <row r="1339" spans="1:6" x14ac:dyDescent="0.25">
      <c r="A1339" s="1"/>
      <c r="B1339" s="57"/>
      <c r="C1339" s="57"/>
      <c r="D1339" s="57"/>
      <c r="E1339" s="57"/>
      <c r="F1339" s="57"/>
    </row>
    <row r="1340" spans="1:6" x14ac:dyDescent="0.25">
      <c r="A1340" s="1"/>
      <c r="B1340" s="57"/>
      <c r="C1340" s="57"/>
      <c r="D1340" s="57"/>
      <c r="E1340" s="57"/>
      <c r="F1340" s="57"/>
    </row>
    <row r="1341" spans="1:6" x14ac:dyDescent="0.25">
      <c r="A1341" s="1"/>
      <c r="B1341" s="57"/>
      <c r="C1341" s="57"/>
      <c r="D1341" s="57"/>
      <c r="E1341" s="57"/>
      <c r="F1341" s="57"/>
    </row>
    <row r="1342" spans="1:6" x14ac:dyDescent="0.25">
      <c r="A1342" s="1"/>
      <c r="B1342" s="57"/>
      <c r="C1342" s="57"/>
      <c r="D1342" s="57"/>
      <c r="E1342" s="57"/>
      <c r="F1342" s="57"/>
    </row>
    <row r="1343" spans="1:6" x14ac:dyDescent="0.25">
      <c r="A1343" s="1"/>
      <c r="B1343" s="57"/>
      <c r="C1343" s="57"/>
      <c r="D1343" s="57"/>
      <c r="E1343" s="57"/>
      <c r="F1343" s="57"/>
    </row>
    <row r="1344" spans="1:6" x14ac:dyDescent="0.25">
      <c r="A1344" s="1"/>
      <c r="B1344" s="57"/>
      <c r="C1344" s="57"/>
      <c r="D1344" s="57"/>
      <c r="E1344" s="57"/>
      <c r="F1344" s="57"/>
    </row>
    <row r="1345" spans="1:6" x14ac:dyDescent="0.25">
      <c r="A1345" s="1"/>
      <c r="B1345" s="57"/>
      <c r="C1345" s="57"/>
      <c r="D1345" s="57"/>
      <c r="E1345" s="57"/>
      <c r="F1345" s="57"/>
    </row>
    <row r="1346" spans="1:6" x14ac:dyDescent="0.25">
      <c r="A1346" s="1"/>
      <c r="B1346" s="57"/>
      <c r="C1346" s="57"/>
      <c r="D1346" s="57"/>
      <c r="E1346" s="57"/>
      <c r="F1346" s="57"/>
    </row>
    <row r="1347" spans="1:6" x14ac:dyDescent="0.25">
      <c r="A1347" s="1"/>
      <c r="B1347" s="57"/>
      <c r="C1347" s="57"/>
      <c r="D1347" s="57"/>
      <c r="E1347" s="57"/>
      <c r="F1347" s="57"/>
    </row>
    <row r="1348" spans="1:6" x14ac:dyDescent="0.25">
      <c r="A1348" s="1"/>
      <c r="B1348" s="57"/>
      <c r="C1348" s="57"/>
      <c r="D1348" s="57"/>
      <c r="E1348" s="57"/>
      <c r="F1348" s="57"/>
    </row>
    <row r="1349" spans="1:6" x14ac:dyDescent="0.25">
      <c r="A1349" s="1"/>
      <c r="B1349" s="57"/>
      <c r="C1349" s="57"/>
      <c r="D1349" s="57"/>
      <c r="E1349" s="57"/>
      <c r="F1349" s="57"/>
    </row>
    <row r="1350" spans="1:6" x14ac:dyDescent="0.25">
      <c r="A1350" s="1"/>
      <c r="B1350" s="57"/>
      <c r="C1350" s="57"/>
      <c r="D1350" s="57"/>
      <c r="E1350" s="57"/>
      <c r="F1350" s="57"/>
    </row>
    <row r="1351" spans="1:6" x14ac:dyDescent="0.25">
      <c r="A1351" s="1"/>
      <c r="B1351" s="57"/>
      <c r="C1351" s="57"/>
      <c r="D1351" s="57"/>
      <c r="E1351" s="57"/>
      <c r="F1351" s="57"/>
    </row>
    <row r="1352" spans="1:6" x14ac:dyDescent="0.25">
      <c r="A1352" s="1"/>
      <c r="B1352" s="57"/>
      <c r="C1352" s="57"/>
      <c r="D1352" s="57"/>
      <c r="E1352" s="57"/>
      <c r="F1352" s="57"/>
    </row>
    <row r="1353" spans="1:6" x14ac:dyDescent="0.25">
      <c r="A1353" s="1"/>
      <c r="B1353" s="57"/>
      <c r="C1353" s="57"/>
      <c r="D1353" s="57"/>
      <c r="E1353" s="57"/>
      <c r="F1353" s="57"/>
    </row>
    <row r="1354" spans="1:6" x14ac:dyDescent="0.25">
      <c r="A1354" s="1"/>
      <c r="B1354" s="57"/>
      <c r="C1354" s="57"/>
      <c r="D1354" s="57"/>
      <c r="E1354" s="57"/>
      <c r="F1354" s="57"/>
    </row>
    <row r="1355" spans="1:6" x14ac:dyDescent="0.25">
      <c r="A1355" s="1"/>
      <c r="B1355" s="57"/>
      <c r="C1355" s="57"/>
      <c r="D1355" s="57"/>
      <c r="E1355" s="57"/>
      <c r="F1355" s="57"/>
    </row>
    <row r="1356" spans="1:6" x14ac:dyDescent="0.25">
      <c r="A1356" s="1"/>
      <c r="B1356" s="57"/>
      <c r="C1356" s="57"/>
      <c r="D1356" s="57"/>
      <c r="E1356" s="57"/>
      <c r="F1356" s="57"/>
    </row>
    <row r="1357" spans="1:6" x14ac:dyDescent="0.25">
      <c r="A1357" s="1"/>
      <c r="B1357" s="57"/>
      <c r="C1357" s="57"/>
      <c r="D1357" s="57"/>
      <c r="E1357" s="57"/>
      <c r="F1357" s="57"/>
    </row>
    <row r="1358" spans="1:6" x14ac:dyDescent="0.25">
      <c r="A1358" s="1"/>
      <c r="B1358" s="57"/>
      <c r="C1358" s="57"/>
      <c r="D1358" s="57"/>
      <c r="E1358" s="57"/>
      <c r="F1358" s="57"/>
    </row>
    <row r="1359" spans="1:6" x14ac:dyDescent="0.25">
      <c r="A1359" s="1"/>
      <c r="B1359" s="57"/>
      <c r="C1359" s="57"/>
      <c r="D1359" s="57"/>
      <c r="E1359" s="57"/>
      <c r="F1359" s="57"/>
    </row>
    <row r="1360" spans="1:6" x14ac:dyDescent="0.25">
      <c r="A1360" s="1"/>
      <c r="B1360" s="57"/>
      <c r="C1360" s="57"/>
      <c r="D1360" s="57"/>
      <c r="E1360" s="57"/>
      <c r="F1360" s="57"/>
    </row>
    <row r="1361" spans="1:6" x14ac:dyDescent="0.25">
      <c r="A1361" s="1"/>
      <c r="B1361" s="57"/>
      <c r="C1361" s="57"/>
      <c r="D1361" s="57"/>
      <c r="E1361" s="57"/>
      <c r="F1361" s="57"/>
    </row>
    <row r="1362" spans="1:6" x14ac:dyDescent="0.25">
      <c r="A1362" s="1"/>
      <c r="B1362" s="57"/>
      <c r="C1362" s="57"/>
      <c r="D1362" s="57"/>
      <c r="E1362" s="57"/>
      <c r="F1362" s="57"/>
    </row>
    <row r="1363" spans="1:6" x14ac:dyDescent="0.25">
      <c r="A1363" s="1"/>
      <c r="B1363" s="57"/>
      <c r="C1363" s="57"/>
      <c r="D1363" s="57"/>
      <c r="E1363" s="57"/>
      <c r="F1363" s="57"/>
    </row>
    <row r="1364" spans="1:6" x14ac:dyDescent="0.25">
      <c r="A1364" s="1"/>
      <c r="B1364" s="57"/>
      <c r="C1364" s="57"/>
      <c r="D1364" s="57"/>
      <c r="E1364" s="57"/>
      <c r="F1364" s="57"/>
    </row>
    <row r="1365" spans="1:6" x14ac:dyDescent="0.25">
      <c r="A1365" s="1"/>
      <c r="B1365" s="57"/>
      <c r="C1365" s="57"/>
      <c r="D1365" s="57"/>
      <c r="E1365" s="57"/>
      <c r="F1365" s="57"/>
    </row>
    <row r="1366" spans="1:6" x14ac:dyDescent="0.25">
      <c r="A1366" s="1"/>
      <c r="B1366" s="57"/>
      <c r="C1366" s="57"/>
      <c r="D1366" s="57"/>
      <c r="E1366" s="57"/>
      <c r="F1366" s="57"/>
    </row>
    <row r="1367" spans="1:6" x14ac:dyDescent="0.25">
      <c r="A1367" s="1"/>
      <c r="B1367" s="57"/>
      <c r="C1367" s="57"/>
      <c r="D1367" s="57"/>
      <c r="E1367" s="57"/>
      <c r="F1367" s="57"/>
    </row>
    <row r="1368" spans="1:6" x14ac:dyDescent="0.25">
      <c r="A1368" s="1"/>
      <c r="B1368" s="57"/>
      <c r="C1368" s="57"/>
      <c r="D1368" s="57"/>
      <c r="E1368" s="57"/>
      <c r="F1368" s="57"/>
    </row>
    <row r="1369" spans="1:6" x14ac:dyDescent="0.25">
      <c r="A1369" s="1"/>
      <c r="B1369" s="57"/>
      <c r="C1369" s="57"/>
      <c r="D1369" s="57"/>
      <c r="E1369" s="57"/>
      <c r="F1369" s="57"/>
    </row>
    <row r="1370" spans="1:6" x14ac:dyDescent="0.25">
      <c r="A1370" s="1"/>
      <c r="B1370" s="57"/>
      <c r="C1370" s="57"/>
      <c r="D1370" s="57"/>
      <c r="E1370" s="57"/>
      <c r="F1370" s="57"/>
    </row>
    <row r="1371" spans="1:6" x14ac:dyDescent="0.25">
      <c r="A1371" s="1"/>
      <c r="B1371" s="57"/>
      <c r="C1371" s="57"/>
      <c r="D1371" s="57"/>
      <c r="E1371" s="57"/>
      <c r="F1371" s="57"/>
    </row>
    <row r="1372" spans="1:6" x14ac:dyDescent="0.25">
      <c r="A1372" s="1"/>
      <c r="B1372" s="57"/>
      <c r="C1372" s="57"/>
      <c r="D1372" s="57"/>
      <c r="E1372" s="57"/>
      <c r="F1372" s="57"/>
    </row>
    <row r="1373" spans="1:6" x14ac:dyDescent="0.25">
      <c r="A1373" s="1"/>
      <c r="B1373" s="57"/>
      <c r="C1373" s="57"/>
      <c r="D1373" s="57"/>
      <c r="E1373" s="57"/>
      <c r="F1373" s="57"/>
    </row>
    <row r="1374" spans="1:6" x14ac:dyDescent="0.25">
      <c r="A1374" s="1"/>
      <c r="B1374" s="57"/>
      <c r="C1374" s="57"/>
      <c r="D1374" s="57"/>
      <c r="E1374" s="57"/>
      <c r="F1374" s="57"/>
    </row>
    <row r="1375" spans="1:6" x14ac:dyDescent="0.25">
      <c r="A1375" s="1"/>
      <c r="B1375" s="57"/>
      <c r="C1375" s="57"/>
      <c r="D1375" s="57"/>
      <c r="E1375" s="57"/>
      <c r="F1375" s="57"/>
    </row>
    <row r="1376" spans="1:6" x14ac:dyDescent="0.25">
      <c r="A1376" s="1"/>
      <c r="B1376" s="57"/>
      <c r="C1376" s="57"/>
      <c r="D1376" s="57"/>
      <c r="E1376" s="57"/>
      <c r="F1376" s="57"/>
    </row>
    <row r="1377" spans="1:6" x14ac:dyDescent="0.25">
      <c r="A1377" s="1"/>
      <c r="B1377" s="57"/>
      <c r="C1377" s="57"/>
      <c r="D1377" s="57"/>
      <c r="E1377" s="57"/>
      <c r="F1377" s="57"/>
    </row>
    <row r="1378" spans="1:6" x14ac:dyDescent="0.25">
      <c r="A1378" s="1"/>
      <c r="B1378" s="57"/>
      <c r="C1378" s="57"/>
      <c r="D1378" s="57"/>
      <c r="E1378" s="57"/>
      <c r="F1378" s="57"/>
    </row>
    <row r="1379" spans="1:6" x14ac:dyDescent="0.25">
      <c r="A1379" s="1"/>
      <c r="B1379" s="57"/>
      <c r="C1379" s="57"/>
      <c r="D1379" s="57"/>
      <c r="E1379" s="57"/>
      <c r="F1379" s="57"/>
    </row>
    <row r="1380" spans="1:6" x14ac:dyDescent="0.25">
      <c r="A1380" s="1"/>
      <c r="B1380" s="57"/>
      <c r="C1380" s="57"/>
      <c r="D1380" s="57"/>
      <c r="E1380" s="57"/>
      <c r="F1380" s="57"/>
    </row>
    <row r="1381" spans="1:6" x14ac:dyDescent="0.25">
      <c r="A1381" s="1"/>
      <c r="B1381" s="57"/>
      <c r="C1381" s="57"/>
      <c r="D1381" s="57"/>
      <c r="E1381" s="57"/>
      <c r="F1381" s="57"/>
    </row>
    <row r="1382" spans="1:6" x14ac:dyDescent="0.25">
      <c r="A1382" s="1"/>
      <c r="B1382" s="57"/>
      <c r="C1382" s="57"/>
      <c r="D1382" s="57"/>
      <c r="E1382" s="57"/>
      <c r="F1382" s="57"/>
    </row>
    <row r="1383" spans="1:6" x14ac:dyDescent="0.25">
      <c r="A1383" s="1"/>
      <c r="B1383" s="57"/>
      <c r="C1383" s="57"/>
      <c r="D1383" s="57"/>
      <c r="E1383" s="57"/>
      <c r="F1383" s="57"/>
    </row>
    <row r="1384" spans="1:6" x14ac:dyDescent="0.25">
      <c r="A1384" s="1"/>
      <c r="B1384" s="57"/>
      <c r="C1384" s="57"/>
      <c r="D1384" s="57"/>
      <c r="E1384" s="57"/>
      <c r="F1384" s="57"/>
    </row>
    <row r="1385" spans="1:6" x14ac:dyDescent="0.25">
      <c r="A1385" s="1"/>
      <c r="B1385" s="57"/>
      <c r="C1385" s="57"/>
      <c r="D1385" s="57"/>
      <c r="E1385" s="57"/>
      <c r="F1385" s="57"/>
    </row>
    <row r="1386" spans="1:6" x14ac:dyDescent="0.25">
      <c r="A1386" s="1"/>
      <c r="B1386" s="57"/>
      <c r="C1386" s="57"/>
      <c r="D1386" s="57"/>
      <c r="E1386" s="57"/>
      <c r="F1386" s="57"/>
    </row>
    <row r="1387" spans="1:6" x14ac:dyDescent="0.25">
      <c r="A1387" s="1"/>
      <c r="B1387" s="57"/>
      <c r="C1387" s="57"/>
      <c r="D1387" s="57"/>
      <c r="E1387" s="57"/>
      <c r="F1387" s="57"/>
    </row>
    <row r="1388" spans="1:6" x14ac:dyDescent="0.25">
      <c r="A1388" s="1"/>
      <c r="B1388" s="57"/>
      <c r="C1388" s="57"/>
      <c r="D1388" s="57"/>
      <c r="E1388" s="57"/>
      <c r="F1388" s="57"/>
    </row>
    <row r="1389" spans="1:6" x14ac:dyDescent="0.25">
      <c r="A1389" s="1"/>
      <c r="B1389" s="57"/>
      <c r="C1389" s="57"/>
      <c r="D1389" s="57"/>
      <c r="E1389" s="57"/>
      <c r="F1389" s="57"/>
    </row>
    <row r="1390" spans="1:6" x14ac:dyDescent="0.25">
      <c r="A1390" s="1"/>
      <c r="B1390" s="57"/>
      <c r="C1390" s="57"/>
      <c r="D1390" s="57"/>
      <c r="E1390" s="57"/>
      <c r="F1390" s="57"/>
    </row>
    <row r="1391" spans="1:6" x14ac:dyDescent="0.25">
      <c r="A1391" s="1"/>
      <c r="B1391" s="57"/>
      <c r="C1391" s="57"/>
      <c r="D1391" s="57"/>
      <c r="E1391" s="57"/>
      <c r="F1391" s="57"/>
    </row>
    <row r="1392" spans="1:6" x14ac:dyDescent="0.25">
      <c r="A1392" s="1"/>
      <c r="B1392" s="57"/>
      <c r="C1392" s="57"/>
      <c r="D1392" s="57"/>
      <c r="E1392" s="57"/>
      <c r="F1392" s="57"/>
    </row>
    <row r="1393" spans="1:6" x14ac:dyDescent="0.25">
      <c r="A1393" s="1"/>
      <c r="B1393" s="57"/>
      <c r="C1393" s="57"/>
      <c r="D1393" s="57"/>
      <c r="E1393" s="57"/>
      <c r="F1393" s="57"/>
    </row>
    <row r="1394" spans="1:6" x14ac:dyDescent="0.25">
      <c r="A1394" s="1"/>
      <c r="B1394" s="57"/>
      <c r="C1394" s="57"/>
      <c r="D1394" s="57"/>
      <c r="E1394" s="57"/>
      <c r="F1394" s="57"/>
    </row>
    <row r="1395" spans="1:6" x14ac:dyDescent="0.25">
      <c r="A1395" s="1"/>
      <c r="B1395" s="57"/>
      <c r="C1395" s="57"/>
      <c r="D1395" s="57"/>
      <c r="E1395" s="57"/>
      <c r="F1395" s="57"/>
    </row>
    <row r="1396" spans="1:6" x14ac:dyDescent="0.25">
      <c r="A1396" s="1"/>
      <c r="B1396" s="57"/>
      <c r="C1396" s="57"/>
      <c r="D1396" s="57"/>
      <c r="E1396" s="57"/>
      <c r="F1396" s="57"/>
    </row>
    <row r="1397" spans="1:6" x14ac:dyDescent="0.25">
      <c r="A1397" s="1"/>
      <c r="B1397" s="57"/>
      <c r="C1397" s="57"/>
      <c r="D1397" s="57"/>
      <c r="E1397" s="57"/>
      <c r="F1397" s="57"/>
    </row>
    <row r="1398" spans="1:6" x14ac:dyDescent="0.25">
      <c r="A1398" s="1"/>
      <c r="B1398" s="57"/>
      <c r="C1398" s="57"/>
      <c r="D1398" s="57"/>
      <c r="E1398" s="57"/>
      <c r="F1398" s="57"/>
    </row>
    <row r="1399" spans="1:6" x14ac:dyDescent="0.25">
      <c r="A1399" s="1"/>
      <c r="B1399" s="57"/>
      <c r="C1399" s="57"/>
      <c r="D1399" s="57"/>
      <c r="E1399" s="57"/>
      <c r="F1399" s="57"/>
    </row>
    <row r="1400" spans="1:6" x14ac:dyDescent="0.25">
      <c r="A1400" s="1"/>
      <c r="B1400" s="57"/>
      <c r="C1400" s="57"/>
      <c r="D1400" s="57"/>
      <c r="E1400" s="57"/>
      <c r="F1400" s="57"/>
    </row>
    <row r="1401" spans="1:6" x14ac:dyDescent="0.25">
      <c r="A1401" s="1"/>
      <c r="B1401" s="57"/>
      <c r="C1401" s="57"/>
      <c r="D1401" s="57"/>
      <c r="E1401" s="57"/>
      <c r="F1401" s="57"/>
    </row>
    <row r="1402" spans="1:6" x14ac:dyDescent="0.25">
      <c r="A1402" s="1"/>
      <c r="B1402" s="57"/>
      <c r="C1402" s="57"/>
      <c r="D1402" s="57"/>
      <c r="E1402" s="57"/>
      <c r="F1402" s="57"/>
    </row>
    <row r="1403" spans="1:6" x14ac:dyDescent="0.25">
      <c r="A1403" s="1"/>
      <c r="B1403" s="57"/>
      <c r="C1403" s="57"/>
      <c r="D1403" s="57"/>
      <c r="E1403" s="57"/>
      <c r="F1403" s="57"/>
    </row>
    <row r="1404" spans="1:6" x14ac:dyDescent="0.25">
      <c r="A1404" s="1"/>
      <c r="B1404" s="57"/>
      <c r="C1404" s="57"/>
      <c r="D1404" s="57"/>
      <c r="E1404" s="57"/>
      <c r="F1404" s="57"/>
    </row>
    <row r="1405" spans="1:6" x14ac:dyDescent="0.25">
      <c r="A1405" s="1"/>
      <c r="B1405" s="57"/>
      <c r="C1405" s="57"/>
      <c r="D1405" s="57"/>
      <c r="E1405" s="57"/>
      <c r="F1405" s="57"/>
    </row>
    <row r="1406" spans="1:6" x14ac:dyDescent="0.25">
      <c r="A1406" s="1"/>
      <c r="B1406" s="57"/>
      <c r="C1406" s="57"/>
      <c r="D1406" s="57"/>
      <c r="E1406" s="57"/>
      <c r="F1406" s="57"/>
    </row>
    <row r="1407" spans="1:6" x14ac:dyDescent="0.25">
      <c r="A1407" s="1"/>
      <c r="B1407" s="57"/>
      <c r="C1407" s="57"/>
      <c r="D1407" s="57"/>
      <c r="E1407" s="57"/>
      <c r="F1407" s="57"/>
    </row>
    <row r="1408" spans="1:6" x14ac:dyDescent="0.25">
      <c r="A1408" s="1"/>
      <c r="B1408" s="57"/>
      <c r="C1408" s="57"/>
      <c r="D1408" s="57"/>
      <c r="E1408" s="57"/>
      <c r="F1408" s="57"/>
    </row>
    <row r="1409" spans="1:6" x14ac:dyDescent="0.25">
      <c r="A1409" s="1"/>
      <c r="B1409" s="57"/>
      <c r="C1409" s="57"/>
      <c r="D1409" s="57"/>
      <c r="E1409" s="57"/>
      <c r="F1409" s="57"/>
    </row>
    <row r="1410" spans="1:6" x14ac:dyDescent="0.25">
      <c r="A1410" s="1"/>
      <c r="B1410" s="57"/>
      <c r="C1410" s="57"/>
      <c r="D1410" s="57"/>
      <c r="E1410" s="57"/>
      <c r="F1410" s="57"/>
    </row>
    <row r="1411" spans="1:6" x14ac:dyDescent="0.25">
      <c r="A1411" s="1"/>
      <c r="B1411" s="57"/>
      <c r="C1411" s="57"/>
      <c r="D1411" s="57"/>
      <c r="E1411" s="57"/>
      <c r="F1411" s="57"/>
    </row>
    <row r="1412" spans="1:6" x14ac:dyDescent="0.25">
      <c r="A1412" s="1"/>
      <c r="B1412" s="57"/>
      <c r="C1412" s="57"/>
      <c r="D1412" s="57"/>
      <c r="E1412" s="57"/>
      <c r="F1412" s="57"/>
    </row>
    <row r="1413" spans="1:6" x14ac:dyDescent="0.25">
      <c r="A1413" s="1"/>
      <c r="B1413" s="57"/>
      <c r="C1413" s="57"/>
      <c r="D1413" s="57"/>
      <c r="E1413" s="57"/>
      <c r="F1413" s="57"/>
    </row>
    <row r="1414" spans="1:6" x14ac:dyDescent="0.25">
      <c r="A1414" s="1"/>
      <c r="B1414" s="57"/>
      <c r="C1414" s="57"/>
      <c r="D1414" s="57"/>
      <c r="E1414" s="57"/>
      <c r="F1414" s="57"/>
    </row>
    <row r="1415" spans="1:6" x14ac:dyDescent="0.25">
      <c r="A1415" s="1"/>
      <c r="B1415" s="57"/>
      <c r="C1415" s="57"/>
      <c r="D1415" s="57"/>
      <c r="E1415" s="57"/>
      <c r="F1415" s="57"/>
    </row>
    <row r="1416" spans="1:6" x14ac:dyDescent="0.25">
      <c r="A1416" s="1"/>
      <c r="B1416" s="57"/>
      <c r="C1416" s="57"/>
      <c r="D1416" s="57"/>
      <c r="E1416" s="57"/>
      <c r="F1416" s="57"/>
    </row>
    <row r="1417" spans="1:6" x14ac:dyDescent="0.25">
      <c r="A1417" s="1"/>
      <c r="B1417" s="57"/>
      <c r="C1417" s="57"/>
      <c r="D1417" s="57"/>
      <c r="E1417" s="57"/>
      <c r="F1417" s="57"/>
    </row>
    <row r="1418" spans="1:6" x14ac:dyDescent="0.25">
      <c r="A1418" s="1"/>
      <c r="B1418" s="57"/>
      <c r="C1418" s="57"/>
      <c r="D1418" s="57"/>
      <c r="E1418" s="57"/>
      <c r="F1418" s="57"/>
    </row>
    <row r="1419" spans="1:6" x14ac:dyDescent="0.25">
      <c r="A1419" s="1"/>
      <c r="B1419" s="57"/>
      <c r="C1419" s="57"/>
      <c r="D1419" s="57"/>
      <c r="E1419" s="57"/>
      <c r="F1419" s="57"/>
    </row>
    <row r="1420" spans="1:6" x14ac:dyDescent="0.25">
      <c r="A1420" s="1"/>
      <c r="B1420" s="57"/>
      <c r="C1420" s="57"/>
      <c r="D1420" s="57"/>
      <c r="E1420" s="57"/>
      <c r="F1420" s="57"/>
    </row>
    <row r="1421" spans="1:6" x14ac:dyDescent="0.25">
      <c r="A1421" s="1"/>
      <c r="B1421" s="57"/>
      <c r="C1421" s="57"/>
      <c r="D1421" s="57"/>
      <c r="E1421" s="57"/>
      <c r="F1421" s="57"/>
    </row>
    <row r="1422" spans="1:6" x14ac:dyDescent="0.25">
      <c r="A1422" s="1"/>
      <c r="B1422" s="57"/>
      <c r="C1422" s="57"/>
      <c r="D1422" s="57"/>
      <c r="E1422" s="57"/>
      <c r="F1422" s="57"/>
    </row>
    <row r="1423" spans="1:6" x14ac:dyDescent="0.25">
      <c r="A1423" s="1"/>
      <c r="B1423" s="57"/>
      <c r="C1423" s="57"/>
      <c r="D1423" s="57"/>
      <c r="E1423" s="57"/>
      <c r="F1423" s="57"/>
    </row>
    <row r="1424" spans="1:6" x14ac:dyDescent="0.25">
      <c r="A1424" s="1"/>
      <c r="B1424" s="57"/>
      <c r="C1424" s="57"/>
      <c r="D1424" s="57"/>
      <c r="E1424" s="57"/>
      <c r="F1424" s="57"/>
    </row>
    <row r="1425" spans="1:6" x14ac:dyDescent="0.25">
      <c r="A1425" s="1"/>
      <c r="B1425" s="57"/>
      <c r="C1425" s="57"/>
      <c r="D1425" s="57"/>
      <c r="E1425" s="57"/>
      <c r="F1425" s="57"/>
    </row>
    <row r="1426" spans="1:6" x14ac:dyDescent="0.25">
      <c r="A1426" s="1"/>
      <c r="B1426" s="57"/>
      <c r="C1426" s="57"/>
      <c r="D1426" s="57"/>
      <c r="E1426" s="57"/>
      <c r="F1426" s="57"/>
    </row>
    <row r="1427" spans="1:6" x14ac:dyDescent="0.25">
      <c r="A1427" s="1"/>
      <c r="B1427" s="57"/>
      <c r="C1427" s="57"/>
      <c r="D1427" s="57"/>
      <c r="E1427" s="57"/>
      <c r="F1427" s="57"/>
    </row>
    <row r="1428" spans="1:6" x14ac:dyDescent="0.25">
      <c r="A1428" s="1"/>
      <c r="B1428" s="57"/>
      <c r="C1428" s="57"/>
      <c r="D1428" s="57"/>
      <c r="E1428" s="57"/>
      <c r="F1428" s="57"/>
    </row>
    <row r="1429" spans="1:6" x14ac:dyDescent="0.25">
      <c r="A1429" s="1"/>
      <c r="B1429" s="57"/>
      <c r="C1429" s="57"/>
      <c r="D1429" s="57"/>
      <c r="E1429" s="57"/>
      <c r="F1429" s="57"/>
    </row>
    <row r="1430" spans="1:6" x14ac:dyDescent="0.25">
      <c r="A1430" s="1"/>
      <c r="B1430" s="57"/>
      <c r="C1430" s="57"/>
      <c r="D1430" s="57"/>
      <c r="E1430" s="57"/>
      <c r="F1430" s="57"/>
    </row>
    <row r="1431" spans="1:6" x14ac:dyDescent="0.25">
      <c r="A1431" s="1"/>
      <c r="B1431" s="57"/>
      <c r="C1431" s="57"/>
      <c r="D1431" s="57"/>
      <c r="E1431" s="57"/>
      <c r="F1431" s="57"/>
    </row>
    <row r="1432" spans="1:6" x14ac:dyDescent="0.25">
      <c r="A1432" s="1"/>
      <c r="B1432" s="57"/>
      <c r="C1432" s="57"/>
      <c r="D1432" s="57"/>
      <c r="E1432" s="57"/>
      <c r="F1432" s="57"/>
    </row>
    <row r="1433" spans="1:6" x14ac:dyDescent="0.25">
      <c r="A1433" s="1"/>
      <c r="B1433" s="57"/>
      <c r="C1433" s="57"/>
      <c r="D1433" s="57"/>
      <c r="E1433" s="57"/>
      <c r="F1433" s="57"/>
    </row>
    <row r="1434" spans="1:6" x14ac:dyDescent="0.25">
      <c r="A1434" s="1"/>
      <c r="B1434" s="57"/>
      <c r="C1434" s="57"/>
      <c r="D1434" s="57"/>
      <c r="E1434" s="57"/>
      <c r="F1434" s="57"/>
    </row>
    <row r="1435" spans="1:6" x14ac:dyDescent="0.25">
      <c r="A1435" s="1"/>
      <c r="B1435" s="57"/>
      <c r="C1435" s="57"/>
      <c r="D1435" s="57"/>
      <c r="E1435" s="57"/>
      <c r="F1435" s="57"/>
    </row>
    <row r="1436" spans="1:6" x14ac:dyDescent="0.25">
      <c r="A1436" s="1"/>
      <c r="B1436" s="57"/>
      <c r="C1436" s="57"/>
      <c r="D1436" s="57"/>
      <c r="E1436" s="57"/>
      <c r="F1436" s="57"/>
    </row>
    <row r="1437" spans="1:6" x14ac:dyDescent="0.25">
      <c r="A1437" s="1"/>
      <c r="B1437" s="57"/>
      <c r="C1437" s="57"/>
      <c r="D1437" s="57"/>
      <c r="E1437" s="57"/>
      <c r="F1437" s="57"/>
    </row>
    <row r="1438" spans="1:6" x14ac:dyDescent="0.25">
      <c r="A1438" s="1"/>
      <c r="B1438" s="57"/>
      <c r="C1438" s="57"/>
      <c r="D1438" s="57"/>
      <c r="E1438" s="57"/>
      <c r="F1438" s="57"/>
    </row>
    <row r="1439" spans="1:6" x14ac:dyDescent="0.25">
      <c r="A1439" s="1"/>
      <c r="B1439" s="57"/>
      <c r="C1439" s="57"/>
      <c r="D1439" s="57"/>
      <c r="E1439" s="57"/>
      <c r="F1439" s="57"/>
    </row>
    <row r="1440" spans="1:6" x14ac:dyDescent="0.25">
      <c r="A1440" s="1"/>
      <c r="B1440" s="57"/>
      <c r="C1440" s="57"/>
      <c r="D1440" s="57"/>
      <c r="E1440" s="57"/>
      <c r="F1440" s="57"/>
    </row>
    <row r="1441" spans="1:6" x14ac:dyDescent="0.25">
      <c r="A1441" s="1"/>
      <c r="B1441" s="57"/>
      <c r="C1441" s="57"/>
      <c r="D1441" s="57"/>
      <c r="E1441" s="57"/>
      <c r="F1441" s="57"/>
    </row>
    <row r="1442" spans="1:6" x14ac:dyDescent="0.25">
      <c r="A1442" s="1"/>
      <c r="B1442" s="57"/>
      <c r="C1442" s="57"/>
      <c r="D1442" s="57"/>
      <c r="E1442" s="57"/>
      <c r="F1442" s="57"/>
    </row>
    <row r="1443" spans="1:6" x14ac:dyDescent="0.25">
      <c r="A1443" s="1"/>
      <c r="B1443" s="57"/>
      <c r="C1443" s="57"/>
      <c r="D1443" s="57"/>
      <c r="E1443" s="57"/>
      <c r="F1443" s="57"/>
    </row>
    <row r="1444" spans="1:6" x14ac:dyDescent="0.25">
      <c r="A1444" s="1"/>
      <c r="B1444" s="57"/>
      <c r="C1444" s="57"/>
      <c r="D1444" s="57"/>
      <c r="E1444" s="57"/>
      <c r="F1444" s="57"/>
    </row>
    <row r="1445" spans="1:6" x14ac:dyDescent="0.25">
      <c r="A1445" s="1"/>
      <c r="B1445" s="57"/>
      <c r="C1445" s="57"/>
      <c r="D1445" s="57"/>
      <c r="E1445" s="57"/>
      <c r="F1445" s="57"/>
    </row>
    <row r="1446" spans="1:6" x14ac:dyDescent="0.25">
      <c r="A1446" s="1"/>
      <c r="B1446" s="57"/>
      <c r="C1446" s="57"/>
      <c r="D1446" s="57"/>
      <c r="E1446" s="57"/>
      <c r="F1446" s="57"/>
    </row>
    <row r="1447" spans="1:6" x14ac:dyDescent="0.25">
      <c r="A1447" s="1"/>
      <c r="B1447" s="57"/>
      <c r="C1447" s="57"/>
      <c r="D1447" s="57"/>
      <c r="E1447" s="57"/>
      <c r="F1447" s="57"/>
    </row>
    <row r="1448" spans="1:6" x14ac:dyDescent="0.25">
      <c r="A1448" s="1"/>
      <c r="B1448" s="57"/>
      <c r="C1448" s="57"/>
      <c r="D1448" s="57"/>
      <c r="E1448" s="57"/>
      <c r="F1448" s="57"/>
    </row>
    <row r="1449" spans="1:6" x14ac:dyDescent="0.25">
      <c r="A1449" s="1"/>
      <c r="B1449" s="57"/>
      <c r="C1449" s="57"/>
      <c r="D1449" s="57"/>
      <c r="E1449" s="57"/>
      <c r="F1449" s="57"/>
    </row>
    <row r="1450" spans="1:6" x14ac:dyDescent="0.25">
      <c r="A1450" s="1"/>
      <c r="B1450" s="57"/>
      <c r="C1450" s="57"/>
      <c r="D1450" s="57"/>
      <c r="E1450" s="57"/>
      <c r="F1450" s="57"/>
    </row>
    <row r="1451" spans="1:6" x14ac:dyDescent="0.25">
      <c r="A1451" s="1"/>
      <c r="B1451" s="57"/>
      <c r="C1451" s="57"/>
      <c r="D1451" s="57"/>
      <c r="E1451" s="57"/>
      <c r="F1451" s="57"/>
    </row>
    <row r="1452" spans="1:6" x14ac:dyDescent="0.25">
      <c r="A1452" s="1"/>
      <c r="B1452" s="57"/>
      <c r="C1452" s="57"/>
      <c r="D1452" s="57"/>
      <c r="E1452" s="57"/>
      <c r="F1452" s="57"/>
    </row>
    <row r="1453" spans="1:6" x14ac:dyDescent="0.25">
      <c r="A1453" s="1"/>
      <c r="B1453" s="57"/>
      <c r="C1453" s="57"/>
      <c r="D1453" s="57"/>
      <c r="E1453" s="57"/>
      <c r="F1453" s="57"/>
    </row>
    <row r="1454" spans="1:6" x14ac:dyDescent="0.25">
      <c r="A1454" s="1"/>
      <c r="B1454" s="57"/>
      <c r="C1454" s="57"/>
      <c r="D1454" s="57"/>
      <c r="E1454" s="57"/>
      <c r="F1454" s="57"/>
    </row>
    <row r="1455" spans="1:6" x14ac:dyDescent="0.25">
      <c r="A1455" s="1"/>
      <c r="B1455" s="57"/>
      <c r="C1455" s="57"/>
      <c r="D1455" s="57"/>
      <c r="E1455" s="57"/>
      <c r="F1455" s="57"/>
    </row>
    <row r="1456" spans="1:6" x14ac:dyDescent="0.25">
      <c r="A1456" s="1"/>
      <c r="B1456" s="57"/>
      <c r="C1456" s="57"/>
      <c r="D1456" s="57"/>
      <c r="E1456" s="57"/>
      <c r="F1456" s="57"/>
    </row>
    <row r="1457" spans="1:6" x14ac:dyDescent="0.25">
      <c r="A1457" s="1"/>
      <c r="B1457" s="57"/>
      <c r="C1457" s="57"/>
      <c r="D1457" s="57"/>
      <c r="E1457" s="57"/>
      <c r="F1457" s="57"/>
    </row>
    <row r="1458" spans="1:6" x14ac:dyDescent="0.25">
      <c r="A1458" s="1"/>
      <c r="B1458" s="57"/>
      <c r="C1458" s="57"/>
      <c r="D1458" s="57"/>
      <c r="E1458" s="57"/>
      <c r="F1458" s="57"/>
    </row>
    <row r="1459" spans="1:6" x14ac:dyDescent="0.25">
      <c r="A1459" s="1"/>
      <c r="B1459" s="57"/>
      <c r="C1459" s="57"/>
      <c r="D1459" s="57"/>
      <c r="E1459" s="57"/>
      <c r="F1459" s="57"/>
    </row>
    <row r="1460" spans="1:6" x14ac:dyDescent="0.25">
      <c r="A1460" s="1"/>
      <c r="B1460" s="57"/>
      <c r="C1460" s="57"/>
      <c r="D1460" s="57"/>
      <c r="E1460" s="57"/>
      <c r="F1460" s="57"/>
    </row>
    <row r="1461" spans="1:6" x14ac:dyDescent="0.25">
      <c r="A1461" s="1"/>
      <c r="B1461" s="57"/>
      <c r="C1461" s="57"/>
      <c r="D1461" s="57"/>
      <c r="E1461" s="57"/>
      <c r="F1461" s="57"/>
    </row>
    <row r="1462" spans="1:6" x14ac:dyDescent="0.25">
      <c r="A1462" s="1"/>
      <c r="B1462" s="57"/>
      <c r="C1462" s="57"/>
      <c r="D1462" s="57"/>
      <c r="E1462" s="57"/>
      <c r="F1462" s="57"/>
    </row>
    <row r="1463" spans="1:6" x14ac:dyDescent="0.25">
      <c r="A1463" s="1"/>
      <c r="B1463" s="57"/>
      <c r="C1463" s="57"/>
      <c r="D1463" s="57"/>
      <c r="E1463" s="57"/>
      <c r="F1463" s="57"/>
    </row>
    <row r="1464" spans="1:6" x14ac:dyDescent="0.25">
      <c r="A1464" s="1"/>
      <c r="B1464" s="57"/>
      <c r="C1464" s="57"/>
      <c r="D1464" s="57"/>
      <c r="E1464" s="57"/>
      <c r="F1464" s="57"/>
    </row>
    <row r="1465" spans="1:6" x14ac:dyDescent="0.25">
      <c r="A1465" s="1"/>
      <c r="B1465" s="57"/>
      <c r="C1465" s="57"/>
      <c r="D1465" s="57"/>
      <c r="E1465" s="57"/>
      <c r="F1465" s="57"/>
    </row>
    <row r="1466" spans="1:6" x14ac:dyDescent="0.25">
      <c r="A1466" s="1"/>
      <c r="B1466" s="57"/>
      <c r="C1466" s="57"/>
      <c r="D1466" s="57"/>
      <c r="E1466" s="57"/>
      <c r="F1466" s="57"/>
    </row>
    <row r="1467" spans="1:6" x14ac:dyDescent="0.25">
      <c r="A1467" s="1"/>
      <c r="B1467" s="57"/>
      <c r="C1467" s="57"/>
      <c r="D1467" s="57"/>
      <c r="E1467" s="57"/>
      <c r="F1467" s="57"/>
    </row>
    <row r="1468" spans="1:6" x14ac:dyDescent="0.25">
      <c r="A1468" s="1"/>
      <c r="B1468" s="57"/>
      <c r="C1468" s="57"/>
      <c r="D1468" s="57"/>
      <c r="E1468" s="57"/>
      <c r="F1468" s="57"/>
    </row>
    <row r="1469" spans="1:6" x14ac:dyDescent="0.25">
      <c r="A1469" s="1"/>
      <c r="B1469" s="57"/>
      <c r="C1469" s="57"/>
      <c r="D1469" s="57"/>
      <c r="E1469" s="57"/>
      <c r="F1469" s="57"/>
    </row>
    <row r="1470" spans="1:6" x14ac:dyDescent="0.25">
      <c r="A1470" s="1"/>
      <c r="B1470" s="57"/>
      <c r="C1470" s="57"/>
      <c r="D1470" s="57"/>
      <c r="E1470" s="57"/>
      <c r="F1470" s="57"/>
    </row>
    <row r="1471" spans="1:6" x14ac:dyDescent="0.25">
      <c r="A1471" s="1"/>
      <c r="B1471" s="57"/>
      <c r="C1471" s="57"/>
      <c r="D1471" s="57"/>
      <c r="E1471" s="57"/>
      <c r="F1471" s="57"/>
    </row>
    <row r="1472" spans="1:6" x14ac:dyDescent="0.25">
      <c r="A1472" s="1"/>
      <c r="B1472" s="57"/>
      <c r="C1472" s="57"/>
      <c r="D1472" s="57"/>
      <c r="E1472" s="57"/>
      <c r="F1472" s="57"/>
    </row>
    <row r="1473" spans="1:6" x14ac:dyDescent="0.25">
      <c r="A1473" s="1"/>
      <c r="B1473" s="57"/>
      <c r="C1473" s="57"/>
      <c r="D1473" s="57"/>
      <c r="E1473" s="57"/>
      <c r="F1473" s="57"/>
    </row>
    <row r="1474" spans="1:6" x14ac:dyDescent="0.25">
      <c r="A1474" s="1"/>
      <c r="B1474" s="57"/>
      <c r="C1474" s="57"/>
      <c r="D1474" s="57"/>
      <c r="E1474" s="57"/>
      <c r="F1474" s="57"/>
    </row>
    <row r="1475" spans="1:6" x14ac:dyDescent="0.25">
      <c r="A1475" s="1"/>
      <c r="B1475" s="57"/>
      <c r="C1475" s="57"/>
      <c r="D1475" s="57"/>
      <c r="E1475" s="57"/>
      <c r="F1475" s="57"/>
    </row>
    <row r="1476" spans="1:6" x14ac:dyDescent="0.25">
      <c r="A1476" s="1"/>
      <c r="B1476" s="57"/>
      <c r="C1476" s="57"/>
      <c r="D1476" s="57"/>
      <c r="E1476" s="57"/>
      <c r="F1476" s="57"/>
    </row>
    <row r="1477" spans="1:6" x14ac:dyDescent="0.25">
      <c r="A1477" s="1"/>
      <c r="B1477" s="57"/>
      <c r="C1477" s="57"/>
      <c r="D1477" s="57"/>
      <c r="E1477" s="57"/>
      <c r="F1477" s="57"/>
    </row>
    <row r="1478" spans="1:6" x14ac:dyDescent="0.25">
      <c r="A1478" s="1"/>
      <c r="B1478" s="57"/>
      <c r="C1478" s="57"/>
      <c r="D1478" s="57"/>
      <c r="E1478" s="57"/>
      <c r="F1478" s="57"/>
    </row>
    <row r="1479" spans="1:6" x14ac:dyDescent="0.25">
      <c r="A1479" s="1"/>
      <c r="B1479" s="57"/>
      <c r="C1479" s="57"/>
      <c r="D1479" s="57"/>
      <c r="E1479" s="57"/>
      <c r="F1479" s="57"/>
    </row>
    <row r="1480" spans="1:6" x14ac:dyDescent="0.25">
      <c r="A1480" s="1"/>
      <c r="B1480" s="57"/>
      <c r="C1480" s="57"/>
      <c r="D1480" s="57"/>
      <c r="E1480" s="57"/>
      <c r="F1480" s="57"/>
    </row>
    <row r="1481" spans="1:6" x14ac:dyDescent="0.25">
      <c r="A1481" s="1"/>
      <c r="B1481" s="57"/>
      <c r="C1481" s="57"/>
      <c r="D1481" s="57"/>
      <c r="E1481" s="57"/>
      <c r="F1481" s="57"/>
    </row>
    <row r="1482" spans="1:6" x14ac:dyDescent="0.25">
      <c r="A1482" s="1"/>
      <c r="B1482" s="57"/>
      <c r="C1482" s="57"/>
      <c r="D1482" s="57"/>
      <c r="E1482" s="57"/>
      <c r="F1482" s="57"/>
    </row>
    <row r="1483" spans="1:6" x14ac:dyDescent="0.25">
      <c r="A1483" s="1"/>
      <c r="B1483" s="57"/>
      <c r="C1483" s="57"/>
      <c r="D1483" s="57"/>
      <c r="E1483" s="57"/>
      <c r="F1483" s="57"/>
    </row>
    <row r="1484" spans="1:6" x14ac:dyDescent="0.25">
      <c r="A1484" s="1"/>
      <c r="B1484" s="57"/>
      <c r="C1484" s="57"/>
      <c r="D1484" s="57"/>
      <c r="E1484" s="57"/>
      <c r="F1484" s="57"/>
    </row>
    <row r="1485" spans="1:6" x14ac:dyDescent="0.25">
      <c r="A1485" s="1"/>
      <c r="B1485" s="57"/>
      <c r="C1485" s="57"/>
      <c r="D1485" s="57"/>
      <c r="E1485" s="57"/>
      <c r="F1485" s="57"/>
    </row>
    <row r="1486" spans="1:6" x14ac:dyDescent="0.25">
      <c r="A1486" s="1"/>
      <c r="B1486" s="57"/>
      <c r="C1486" s="57"/>
      <c r="D1486" s="57"/>
      <c r="E1486" s="57"/>
      <c r="F1486" s="57"/>
    </row>
    <row r="1487" spans="1:6" x14ac:dyDescent="0.25">
      <c r="A1487" s="1"/>
      <c r="B1487" s="57"/>
      <c r="C1487" s="57"/>
      <c r="D1487" s="57"/>
      <c r="E1487" s="57"/>
      <c r="F1487" s="57"/>
    </row>
    <row r="1488" spans="1:6" x14ac:dyDescent="0.25">
      <c r="A1488" s="1"/>
      <c r="B1488" s="57"/>
      <c r="C1488" s="57"/>
      <c r="D1488" s="57"/>
      <c r="E1488" s="57"/>
      <c r="F1488" s="57"/>
    </row>
    <row r="1489" spans="1:6" x14ac:dyDescent="0.25">
      <c r="A1489" s="1"/>
      <c r="B1489" s="57"/>
      <c r="C1489" s="57"/>
      <c r="D1489" s="57"/>
      <c r="E1489" s="57"/>
      <c r="F1489" s="57"/>
    </row>
    <row r="1490" spans="1:6" x14ac:dyDescent="0.25">
      <c r="A1490" s="1"/>
      <c r="B1490" s="57"/>
      <c r="C1490" s="57"/>
      <c r="D1490" s="57"/>
      <c r="E1490" s="57"/>
      <c r="F1490" s="57"/>
    </row>
    <row r="1491" spans="1:6" x14ac:dyDescent="0.25">
      <c r="A1491" s="1"/>
      <c r="B1491" s="57"/>
      <c r="C1491" s="57"/>
      <c r="D1491" s="57"/>
      <c r="E1491" s="57"/>
      <c r="F1491" s="57"/>
    </row>
    <row r="1492" spans="1:6" x14ac:dyDescent="0.25">
      <c r="A1492" s="1"/>
      <c r="B1492" s="57"/>
      <c r="C1492" s="57"/>
      <c r="D1492" s="57"/>
      <c r="E1492" s="57"/>
      <c r="F1492" s="57"/>
    </row>
    <row r="1493" spans="1:6" x14ac:dyDescent="0.25">
      <c r="A1493" s="1"/>
      <c r="B1493" s="57"/>
      <c r="C1493" s="57"/>
      <c r="D1493" s="57"/>
      <c r="E1493" s="57"/>
      <c r="F1493" s="57"/>
    </row>
    <row r="1494" spans="1:6" x14ac:dyDescent="0.25">
      <c r="A1494" s="1"/>
      <c r="B1494" s="57"/>
      <c r="C1494" s="57"/>
      <c r="D1494" s="57"/>
      <c r="E1494" s="57"/>
      <c r="F1494" s="57"/>
    </row>
    <row r="1495" spans="1:6" x14ac:dyDescent="0.25">
      <c r="A1495" s="1"/>
      <c r="B1495" s="57"/>
      <c r="C1495" s="57"/>
      <c r="D1495" s="57"/>
      <c r="E1495" s="57"/>
      <c r="F1495" s="57"/>
    </row>
    <row r="1496" spans="1:6" x14ac:dyDescent="0.25">
      <c r="A1496" s="1"/>
      <c r="B1496" s="57"/>
      <c r="C1496" s="57"/>
      <c r="D1496" s="57"/>
      <c r="E1496" s="57"/>
      <c r="F1496" s="57"/>
    </row>
    <row r="1497" spans="1:6" x14ac:dyDescent="0.25">
      <c r="A1497" s="1"/>
      <c r="B1497" s="57"/>
      <c r="C1497" s="57"/>
      <c r="D1497" s="57"/>
      <c r="E1497" s="57"/>
      <c r="F1497" s="57"/>
    </row>
    <row r="1498" spans="1:6" x14ac:dyDescent="0.25">
      <c r="A1498" s="1"/>
      <c r="B1498" s="57"/>
      <c r="C1498" s="57"/>
      <c r="D1498" s="57"/>
      <c r="E1498" s="57"/>
      <c r="F1498" s="57"/>
    </row>
    <row r="1499" spans="1:6" x14ac:dyDescent="0.25">
      <c r="A1499" s="1"/>
      <c r="B1499" s="57"/>
      <c r="C1499" s="57"/>
      <c r="D1499" s="57"/>
      <c r="E1499" s="57"/>
      <c r="F1499" s="57"/>
    </row>
    <row r="1500" spans="1:6" x14ac:dyDescent="0.25">
      <c r="A1500" s="1"/>
      <c r="B1500" s="57"/>
      <c r="C1500" s="57"/>
      <c r="D1500" s="57"/>
      <c r="E1500" s="57"/>
      <c r="F1500" s="57"/>
    </row>
    <row r="1501" spans="1:6" x14ac:dyDescent="0.25">
      <c r="A1501" s="1"/>
      <c r="B1501" s="57"/>
      <c r="C1501" s="57"/>
      <c r="D1501" s="57"/>
      <c r="E1501" s="57"/>
      <c r="F1501" s="57"/>
    </row>
    <row r="1502" spans="1:6" x14ac:dyDescent="0.25">
      <c r="A1502" s="1"/>
      <c r="B1502" s="57"/>
      <c r="C1502" s="57"/>
      <c r="D1502" s="57"/>
      <c r="E1502" s="57"/>
      <c r="F1502" s="57"/>
    </row>
    <row r="1503" spans="1:6" x14ac:dyDescent="0.25">
      <c r="A1503" s="1"/>
      <c r="B1503" s="57"/>
      <c r="C1503" s="57"/>
      <c r="D1503" s="57"/>
      <c r="E1503" s="57"/>
      <c r="F1503" s="57"/>
    </row>
    <row r="1504" spans="1:6" x14ac:dyDescent="0.25">
      <c r="A1504" s="1"/>
      <c r="B1504" s="57"/>
      <c r="C1504" s="57"/>
      <c r="D1504" s="57"/>
      <c r="E1504" s="57"/>
      <c r="F1504" s="57"/>
    </row>
    <row r="1505" spans="1:6" x14ac:dyDescent="0.25">
      <c r="A1505" s="1"/>
      <c r="B1505" s="57"/>
      <c r="C1505" s="57"/>
      <c r="D1505" s="57"/>
      <c r="E1505" s="57"/>
      <c r="F1505" s="57"/>
    </row>
    <row r="1506" spans="1:6" x14ac:dyDescent="0.25">
      <c r="A1506" s="1"/>
      <c r="B1506" s="57"/>
      <c r="C1506" s="57"/>
      <c r="D1506" s="57"/>
      <c r="E1506" s="57"/>
      <c r="F1506" s="57"/>
    </row>
    <row r="1507" spans="1:6" x14ac:dyDescent="0.25">
      <c r="A1507" s="1"/>
      <c r="B1507" s="57"/>
      <c r="C1507" s="57"/>
      <c r="D1507" s="57"/>
      <c r="E1507" s="57"/>
      <c r="F1507" s="57"/>
    </row>
    <row r="1508" spans="1:6" x14ac:dyDescent="0.25">
      <c r="A1508" s="1"/>
      <c r="B1508" s="57"/>
      <c r="C1508" s="57"/>
      <c r="D1508" s="57"/>
      <c r="E1508" s="57"/>
      <c r="F1508" s="57"/>
    </row>
    <row r="1509" spans="1:6" x14ac:dyDescent="0.25">
      <c r="A1509" s="1"/>
      <c r="B1509" s="57"/>
      <c r="C1509" s="57"/>
      <c r="D1509" s="57"/>
      <c r="E1509" s="57"/>
      <c r="F1509" s="57"/>
    </row>
    <row r="1510" spans="1:6" x14ac:dyDescent="0.25">
      <c r="A1510" s="1"/>
      <c r="B1510" s="57"/>
      <c r="C1510" s="57"/>
      <c r="D1510" s="57"/>
      <c r="E1510" s="57"/>
      <c r="F1510" s="57"/>
    </row>
    <row r="1511" spans="1:6" x14ac:dyDescent="0.25">
      <c r="A1511" s="1"/>
      <c r="B1511" s="57"/>
      <c r="C1511" s="57"/>
      <c r="D1511" s="57"/>
      <c r="E1511" s="57"/>
      <c r="F1511" s="57"/>
    </row>
    <row r="1512" spans="1:6" x14ac:dyDescent="0.25">
      <c r="A1512" s="1"/>
      <c r="B1512" s="57"/>
      <c r="C1512" s="57"/>
      <c r="D1512" s="57"/>
      <c r="E1512" s="57"/>
      <c r="F1512" s="57"/>
    </row>
    <row r="1513" spans="1:6" x14ac:dyDescent="0.25">
      <c r="A1513" s="1"/>
      <c r="B1513" s="57"/>
      <c r="C1513" s="57"/>
      <c r="D1513" s="57"/>
      <c r="E1513" s="57"/>
      <c r="F1513" s="57"/>
    </row>
    <row r="1514" spans="1:6" x14ac:dyDescent="0.25">
      <c r="A1514" s="1"/>
      <c r="B1514" s="57"/>
      <c r="C1514" s="57"/>
      <c r="D1514" s="57"/>
      <c r="E1514" s="57"/>
      <c r="F1514" s="57"/>
    </row>
    <row r="1515" spans="1:6" x14ac:dyDescent="0.25">
      <c r="A1515" s="1"/>
      <c r="B1515" s="57"/>
      <c r="C1515" s="57"/>
      <c r="D1515" s="57"/>
      <c r="E1515" s="57"/>
      <c r="F1515" s="57"/>
    </row>
    <row r="1516" spans="1:6" x14ac:dyDescent="0.25">
      <c r="A1516" s="1"/>
      <c r="B1516" s="57"/>
      <c r="C1516" s="57"/>
      <c r="D1516" s="57"/>
      <c r="E1516" s="57"/>
      <c r="F1516" s="57"/>
    </row>
    <row r="1517" spans="1:6" x14ac:dyDescent="0.25">
      <c r="A1517" s="1"/>
      <c r="B1517" s="57"/>
      <c r="C1517" s="57"/>
      <c r="D1517" s="57"/>
      <c r="E1517" s="57"/>
      <c r="F1517" s="57"/>
    </row>
    <row r="1518" spans="1:6" x14ac:dyDescent="0.25">
      <c r="A1518" s="1"/>
      <c r="B1518" s="57"/>
      <c r="C1518" s="57"/>
      <c r="D1518" s="57"/>
      <c r="E1518" s="57"/>
      <c r="F1518" s="57"/>
    </row>
    <row r="1519" spans="1:6" x14ac:dyDescent="0.25">
      <c r="A1519" s="1"/>
      <c r="B1519" s="57"/>
      <c r="C1519" s="57"/>
      <c r="D1519" s="57"/>
      <c r="E1519" s="57"/>
      <c r="F1519" s="57"/>
    </row>
    <row r="1520" spans="1:6" x14ac:dyDescent="0.25">
      <c r="A1520" s="1"/>
      <c r="B1520" s="57"/>
      <c r="C1520" s="57"/>
      <c r="D1520" s="57"/>
      <c r="E1520" s="57"/>
      <c r="F1520" s="57"/>
    </row>
    <row r="1521" spans="1:6" x14ac:dyDescent="0.25">
      <c r="A1521" s="1"/>
      <c r="B1521" s="57"/>
      <c r="C1521" s="57"/>
      <c r="D1521" s="57"/>
      <c r="E1521" s="57"/>
      <c r="F1521" s="57"/>
    </row>
    <row r="1522" spans="1:6" x14ac:dyDescent="0.25">
      <c r="A1522" s="1"/>
      <c r="B1522" s="57"/>
      <c r="C1522" s="57"/>
      <c r="D1522" s="57"/>
      <c r="E1522" s="57"/>
      <c r="F1522" s="57"/>
    </row>
    <row r="1523" spans="1:6" x14ac:dyDescent="0.25">
      <c r="A1523" s="1"/>
      <c r="B1523" s="57"/>
      <c r="C1523" s="57"/>
      <c r="D1523" s="57"/>
      <c r="E1523" s="57"/>
      <c r="F1523" s="57"/>
    </row>
    <row r="1524" spans="1:6" x14ac:dyDescent="0.25">
      <c r="A1524" s="1"/>
      <c r="B1524" s="57"/>
      <c r="C1524" s="57"/>
      <c r="D1524" s="57"/>
      <c r="E1524" s="57"/>
      <c r="F1524" s="57"/>
    </row>
    <row r="1525" spans="1:6" x14ac:dyDescent="0.25">
      <c r="A1525" s="1"/>
      <c r="B1525" s="57"/>
      <c r="C1525" s="57"/>
      <c r="D1525" s="57"/>
      <c r="E1525" s="57"/>
      <c r="F1525" s="57"/>
    </row>
    <row r="1526" spans="1:6" x14ac:dyDescent="0.25">
      <c r="A1526" s="1"/>
      <c r="B1526" s="57"/>
      <c r="C1526" s="57"/>
      <c r="D1526" s="57"/>
      <c r="E1526" s="57"/>
      <c r="F1526" s="57"/>
    </row>
    <row r="1527" spans="1:6" x14ac:dyDescent="0.25">
      <c r="A1527" s="1"/>
      <c r="B1527" s="57"/>
      <c r="C1527" s="57"/>
      <c r="D1527" s="57"/>
      <c r="E1527" s="57"/>
      <c r="F1527" s="57"/>
    </row>
    <row r="1528" spans="1:6" x14ac:dyDescent="0.25">
      <c r="A1528" s="1"/>
      <c r="B1528" s="57"/>
      <c r="C1528" s="57"/>
      <c r="D1528" s="57"/>
      <c r="E1528" s="57"/>
      <c r="F1528" s="57"/>
    </row>
    <row r="1529" spans="1:6" x14ac:dyDescent="0.25">
      <c r="A1529" s="1"/>
      <c r="B1529" s="57"/>
      <c r="C1529" s="57"/>
      <c r="D1529" s="57"/>
      <c r="E1529" s="57"/>
      <c r="F1529" s="57"/>
    </row>
    <row r="1530" spans="1:6" x14ac:dyDescent="0.25">
      <c r="A1530" s="1"/>
      <c r="B1530" s="57"/>
      <c r="C1530" s="57"/>
      <c r="D1530" s="57"/>
      <c r="E1530" s="57"/>
      <c r="F1530" s="57"/>
    </row>
    <row r="1531" spans="1:6" x14ac:dyDescent="0.25">
      <c r="A1531" s="1"/>
      <c r="B1531" s="57"/>
      <c r="C1531" s="57"/>
      <c r="D1531" s="57"/>
      <c r="E1531" s="57"/>
      <c r="F1531" s="57"/>
    </row>
    <row r="1532" spans="1:6" x14ac:dyDescent="0.25">
      <c r="A1532" s="1"/>
      <c r="B1532" s="57"/>
      <c r="C1532" s="57"/>
      <c r="D1532" s="57"/>
      <c r="E1532" s="57"/>
      <c r="F1532" s="57"/>
    </row>
    <row r="1533" spans="1:6" x14ac:dyDescent="0.25">
      <c r="A1533" s="1"/>
      <c r="B1533" s="57"/>
      <c r="C1533" s="57"/>
      <c r="D1533" s="57"/>
      <c r="E1533" s="57"/>
      <c r="F1533" s="57"/>
    </row>
    <row r="1534" spans="1:6" x14ac:dyDescent="0.25">
      <c r="A1534" s="1"/>
      <c r="B1534" s="57"/>
      <c r="C1534" s="57"/>
      <c r="D1534" s="57"/>
      <c r="E1534" s="57"/>
      <c r="F1534" s="57"/>
    </row>
    <row r="1535" spans="1:6" x14ac:dyDescent="0.25">
      <c r="A1535" s="1"/>
      <c r="B1535" s="57"/>
      <c r="C1535" s="57"/>
      <c r="D1535" s="57"/>
      <c r="E1535" s="57"/>
      <c r="F1535" s="57"/>
    </row>
    <row r="1536" spans="1:6" x14ac:dyDescent="0.25">
      <c r="A1536" s="1"/>
      <c r="B1536" s="57"/>
      <c r="C1536" s="57"/>
      <c r="D1536" s="57"/>
      <c r="E1536" s="57"/>
      <c r="F1536" s="57"/>
    </row>
    <row r="1537" spans="1:6" x14ac:dyDescent="0.25">
      <c r="A1537" s="1"/>
      <c r="B1537" s="57"/>
      <c r="C1537" s="57"/>
      <c r="D1537" s="57"/>
      <c r="E1537" s="57"/>
      <c r="F1537" s="57"/>
    </row>
    <row r="1538" spans="1:6" x14ac:dyDescent="0.25">
      <c r="A1538" s="1"/>
      <c r="B1538" s="57"/>
      <c r="C1538" s="57"/>
      <c r="D1538" s="57"/>
      <c r="E1538" s="57"/>
      <c r="F1538" s="57"/>
    </row>
    <row r="1539" spans="1:6" x14ac:dyDescent="0.25">
      <c r="A1539" s="1"/>
      <c r="B1539" s="57"/>
      <c r="C1539" s="57"/>
      <c r="D1539" s="57"/>
      <c r="E1539" s="57"/>
      <c r="F1539" s="57"/>
    </row>
    <row r="1540" spans="1:6" x14ac:dyDescent="0.25">
      <c r="A1540" s="1"/>
      <c r="B1540" s="57"/>
      <c r="C1540" s="57"/>
      <c r="D1540" s="57"/>
      <c r="E1540" s="57"/>
      <c r="F1540" s="57"/>
    </row>
    <row r="1541" spans="1:6" x14ac:dyDescent="0.25">
      <c r="A1541" s="1"/>
      <c r="B1541" s="57"/>
      <c r="C1541" s="57"/>
      <c r="D1541" s="57"/>
      <c r="E1541" s="57"/>
      <c r="F1541" s="57"/>
    </row>
    <row r="1542" spans="1:6" x14ac:dyDescent="0.25">
      <c r="A1542" s="1"/>
      <c r="B1542" s="57"/>
      <c r="C1542" s="57"/>
      <c r="D1542" s="57"/>
      <c r="E1542" s="57"/>
      <c r="F1542" s="57"/>
    </row>
    <row r="1543" spans="1:6" x14ac:dyDescent="0.25">
      <c r="A1543" s="1"/>
      <c r="B1543" s="57"/>
      <c r="C1543" s="57"/>
      <c r="D1543" s="57"/>
      <c r="E1543" s="57"/>
      <c r="F1543" s="57"/>
    </row>
    <row r="1544" spans="1:6" x14ac:dyDescent="0.25">
      <c r="A1544" s="1"/>
      <c r="B1544" s="57"/>
      <c r="C1544" s="57"/>
      <c r="D1544" s="57"/>
      <c r="E1544" s="57"/>
      <c r="F1544" s="57"/>
    </row>
    <row r="1545" spans="1:6" x14ac:dyDescent="0.25">
      <c r="A1545" s="1"/>
      <c r="B1545" s="57"/>
      <c r="C1545" s="57"/>
      <c r="D1545" s="57"/>
      <c r="E1545" s="57"/>
      <c r="F1545" s="57"/>
    </row>
    <row r="1546" spans="1:6" x14ac:dyDescent="0.25">
      <c r="A1546" s="1"/>
      <c r="B1546" s="57"/>
      <c r="C1546" s="57"/>
      <c r="D1546" s="57"/>
      <c r="E1546" s="57"/>
      <c r="F1546" s="57"/>
    </row>
    <row r="1547" spans="1:6" x14ac:dyDescent="0.25">
      <c r="A1547" s="1"/>
      <c r="B1547" s="57"/>
      <c r="C1547" s="57"/>
      <c r="D1547" s="57"/>
      <c r="E1547" s="57"/>
      <c r="F1547" s="57"/>
    </row>
    <row r="1548" spans="1:6" x14ac:dyDescent="0.25">
      <c r="A1548" s="1"/>
      <c r="B1548" s="57"/>
      <c r="C1548" s="57"/>
      <c r="D1548" s="57"/>
      <c r="E1548" s="57"/>
      <c r="F1548" s="57"/>
    </row>
    <row r="1549" spans="1:6" x14ac:dyDescent="0.25">
      <c r="A1549" s="1"/>
      <c r="B1549" s="57"/>
      <c r="C1549" s="57"/>
      <c r="D1549" s="57"/>
      <c r="E1549" s="57"/>
      <c r="F1549" s="57"/>
    </row>
    <row r="1550" spans="1:6" x14ac:dyDescent="0.25">
      <c r="A1550" s="1"/>
      <c r="B1550" s="57"/>
      <c r="C1550" s="57"/>
      <c r="D1550" s="57"/>
      <c r="E1550" s="57"/>
      <c r="F1550" s="57"/>
    </row>
    <row r="1551" spans="1:6" x14ac:dyDescent="0.25">
      <c r="A1551" s="1"/>
      <c r="B1551" s="57"/>
      <c r="C1551" s="57"/>
      <c r="D1551" s="57"/>
      <c r="E1551" s="57"/>
      <c r="F1551" s="57"/>
    </row>
    <row r="1552" spans="1:6" x14ac:dyDescent="0.25">
      <c r="A1552" s="1"/>
      <c r="B1552" s="57"/>
      <c r="C1552" s="57"/>
      <c r="D1552" s="57"/>
      <c r="E1552" s="57"/>
      <c r="F1552" s="57"/>
    </row>
    <row r="1553" spans="1:6" x14ac:dyDescent="0.25">
      <c r="A1553" s="1"/>
      <c r="B1553" s="57"/>
      <c r="C1553" s="57"/>
      <c r="D1553" s="57"/>
      <c r="E1553" s="57"/>
      <c r="F1553" s="57"/>
    </row>
    <row r="1554" spans="1:6" x14ac:dyDescent="0.25">
      <c r="A1554" s="1"/>
      <c r="B1554" s="57"/>
      <c r="C1554" s="57"/>
      <c r="D1554" s="57"/>
      <c r="E1554" s="57"/>
      <c r="F1554" s="57"/>
    </row>
    <row r="1555" spans="1:6" x14ac:dyDescent="0.25">
      <c r="A1555" s="1"/>
      <c r="B1555" s="57"/>
      <c r="C1555" s="57"/>
      <c r="D1555" s="57"/>
      <c r="E1555" s="57"/>
      <c r="F1555" s="57"/>
    </row>
    <row r="1556" spans="1:6" x14ac:dyDescent="0.25">
      <c r="A1556" s="1"/>
      <c r="B1556" s="57"/>
      <c r="C1556" s="57"/>
      <c r="D1556" s="57"/>
      <c r="E1556" s="57"/>
      <c r="F1556" s="57"/>
    </row>
    <row r="1557" spans="1:6" x14ac:dyDescent="0.25">
      <c r="A1557" s="1"/>
      <c r="B1557" s="57"/>
      <c r="C1557" s="57"/>
      <c r="D1557" s="57"/>
      <c r="E1557" s="57"/>
      <c r="F1557" s="57"/>
    </row>
    <row r="1558" spans="1:6" x14ac:dyDescent="0.25">
      <c r="A1558" s="1"/>
      <c r="B1558" s="57"/>
      <c r="C1558" s="57"/>
      <c r="D1558" s="57"/>
      <c r="E1558" s="57"/>
      <c r="F1558" s="57"/>
    </row>
    <row r="1559" spans="1:6" x14ac:dyDescent="0.25">
      <c r="A1559" s="1"/>
      <c r="B1559" s="57"/>
      <c r="C1559" s="57"/>
      <c r="D1559" s="57"/>
      <c r="E1559" s="57"/>
      <c r="F1559" s="57"/>
    </row>
    <row r="1560" spans="1:6" x14ac:dyDescent="0.25">
      <c r="A1560" s="1"/>
      <c r="B1560" s="57"/>
      <c r="C1560" s="57"/>
      <c r="D1560" s="57"/>
      <c r="E1560" s="57"/>
      <c r="F1560" s="57"/>
    </row>
    <row r="1561" spans="1:6" x14ac:dyDescent="0.25">
      <c r="A1561" s="1"/>
      <c r="B1561" s="57"/>
      <c r="C1561" s="57"/>
      <c r="D1561" s="57"/>
      <c r="E1561" s="57"/>
      <c r="F1561" s="57"/>
    </row>
    <row r="1562" spans="1:6" x14ac:dyDescent="0.25">
      <c r="A1562" s="1"/>
      <c r="B1562" s="57"/>
      <c r="C1562" s="57"/>
      <c r="D1562" s="57"/>
      <c r="E1562" s="57"/>
      <c r="F1562" s="57"/>
    </row>
    <row r="1563" spans="1:6" x14ac:dyDescent="0.25">
      <c r="A1563" s="1"/>
      <c r="B1563" s="57"/>
      <c r="C1563" s="57"/>
      <c r="D1563" s="57"/>
      <c r="E1563" s="57"/>
      <c r="F1563" s="57"/>
    </row>
    <row r="1564" spans="1:6" x14ac:dyDescent="0.25">
      <c r="A1564" s="1"/>
      <c r="B1564" s="57"/>
      <c r="C1564" s="57"/>
      <c r="D1564" s="57"/>
      <c r="E1564" s="57"/>
      <c r="F1564" s="57"/>
    </row>
    <row r="1565" spans="1:6" x14ac:dyDescent="0.25">
      <c r="A1565" s="1"/>
      <c r="B1565" s="57"/>
      <c r="C1565" s="57"/>
      <c r="D1565" s="57"/>
      <c r="E1565" s="57"/>
      <c r="F1565" s="57"/>
    </row>
    <row r="1566" spans="1:6" x14ac:dyDescent="0.25">
      <c r="A1566" s="1"/>
      <c r="B1566" s="57"/>
      <c r="C1566" s="57"/>
      <c r="D1566" s="57"/>
      <c r="E1566" s="57"/>
      <c r="F1566" s="57"/>
    </row>
    <row r="1567" spans="1:6" x14ac:dyDescent="0.25">
      <c r="A1567" s="1"/>
      <c r="B1567" s="57"/>
      <c r="C1567" s="57"/>
      <c r="D1567" s="57"/>
      <c r="E1567" s="57"/>
      <c r="F1567" s="57"/>
    </row>
    <row r="1568" spans="1:6" x14ac:dyDescent="0.25">
      <c r="A1568" s="1"/>
      <c r="B1568" s="57"/>
      <c r="C1568" s="57"/>
      <c r="D1568" s="57"/>
      <c r="E1568" s="57"/>
      <c r="F1568" s="57"/>
    </row>
    <row r="1569" spans="1:6" x14ac:dyDescent="0.25">
      <c r="A1569" s="1"/>
      <c r="B1569" s="57"/>
      <c r="C1569" s="57"/>
      <c r="D1569" s="57"/>
      <c r="E1569" s="57"/>
      <c r="F1569" s="57"/>
    </row>
    <row r="1570" spans="1:6" x14ac:dyDescent="0.25">
      <c r="A1570" s="1"/>
      <c r="B1570" s="57"/>
      <c r="C1570" s="57"/>
      <c r="D1570" s="57"/>
      <c r="E1570" s="57"/>
      <c r="F1570" s="57"/>
    </row>
    <row r="1571" spans="1:6" x14ac:dyDescent="0.25">
      <c r="A1571" s="1"/>
      <c r="B1571" s="57"/>
      <c r="C1571" s="57"/>
      <c r="D1571" s="57"/>
      <c r="E1571" s="57"/>
      <c r="F1571" s="57"/>
    </row>
    <row r="1572" spans="1:6" x14ac:dyDescent="0.25">
      <c r="A1572" s="1"/>
      <c r="B1572" s="57"/>
      <c r="C1572" s="57"/>
      <c r="D1572" s="57"/>
      <c r="E1572" s="57"/>
      <c r="F1572" s="57"/>
    </row>
    <row r="1573" spans="1:6" x14ac:dyDescent="0.25">
      <c r="A1573" s="1"/>
      <c r="B1573" s="57"/>
      <c r="C1573" s="57"/>
      <c r="D1573" s="57"/>
      <c r="E1573" s="57"/>
      <c r="F1573" s="57"/>
    </row>
    <row r="1574" spans="1:6" x14ac:dyDescent="0.25">
      <c r="A1574" s="1"/>
      <c r="B1574" s="57"/>
      <c r="C1574" s="57"/>
      <c r="D1574" s="57"/>
      <c r="E1574" s="57"/>
      <c r="F1574" s="57"/>
    </row>
    <row r="1575" spans="1:6" x14ac:dyDescent="0.25">
      <c r="A1575" s="1"/>
      <c r="B1575" s="57"/>
      <c r="C1575" s="57"/>
      <c r="D1575" s="57"/>
      <c r="E1575" s="57"/>
      <c r="F1575" s="57"/>
    </row>
    <row r="1576" spans="1:6" x14ac:dyDescent="0.25">
      <c r="A1576" s="1"/>
      <c r="B1576" s="57"/>
      <c r="C1576" s="57"/>
      <c r="D1576" s="57"/>
      <c r="E1576" s="57"/>
      <c r="F1576" s="57"/>
    </row>
    <row r="1577" spans="1:6" x14ac:dyDescent="0.25">
      <c r="A1577" s="1"/>
      <c r="B1577" s="57"/>
      <c r="C1577" s="57"/>
      <c r="D1577" s="57"/>
      <c r="E1577" s="57"/>
      <c r="F1577" s="57"/>
    </row>
    <row r="1578" spans="1:6" x14ac:dyDescent="0.25">
      <c r="A1578" s="1"/>
      <c r="B1578" s="57"/>
      <c r="C1578" s="57"/>
      <c r="D1578" s="57"/>
      <c r="E1578" s="57"/>
      <c r="F1578" s="57"/>
    </row>
    <row r="1579" spans="1:6" x14ac:dyDescent="0.25">
      <c r="A1579" s="1"/>
      <c r="B1579" s="57"/>
      <c r="C1579" s="57"/>
      <c r="D1579" s="57"/>
      <c r="E1579" s="57"/>
      <c r="F1579" s="57"/>
    </row>
    <row r="1580" spans="1:6" x14ac:dyDescent="0.25">
      <c r="A1580" s="1"/>
      <c r="B1580" s="57"/>
      <c r="C1580" s="57"/>
      <c r="D1580" s="57"/>
      <c r="E1580" s="57"/>
      <c r="F1580" s="57"/>
    </row>
    <row r="1581" spans="1:6" x14ac:dyDescent="0.25">
      <c r="A1581" s="1"/>
      <c r="B1581" s="57"/>
      <c r="C1581" s="57"/>
      <c r="D1581" s="57"/>
      <c r="E1581" s="57"/>
      <c r="F1581" s="57"/>
    </row>
    <row r="1582" spans="1:6" x14ac:dyDescent="0.25">
      <c r="A1582" s="1"/>
      <c r="B1582" s="57"/>
      <c r="C1582" s="57"/>
      <c r="D1582" s="57"/>
      <c r="E1582" s="57"/>
      <c r="F1582" s="57"/>
    </row>
    <row r="1583" spans="1:6" x14ac:dyDescent="0.25">
      <c r="A1583" s="1"/>
      <c r="B1583" s="57"/>
      <c r="C1583" s="57"/>
      <c r="D1583" s="57"/>
      <c r="E1583" s="57"/>
      <c r="F1583" s="57"/>
    </row>
    <row r="1584" spans="1:6" x14ac:dyDescent="0.25">
      <c r="A1584" s="1"/>
      <c r="B1584" s="57"/>
      <c r="C1584" s="57"/>
      <c r="D1584" s="57"/>
      <c r="E1584" s="57"/>
      <c r="F1584" s="57"/>
    </row>
    <row r="1585" spans="1:6" x14ac:dyDescent="0.25">
      <c r="A1585" s="1"/>
      <c r="B1585" s="57"/>
      <c r="C1585" s="57"/>
      <c r="D1585" s="57"/>
      <c r="E1585" s="57"/>
      <c r="F1585" s="57"/>
    </row>
    <row r="1586" spans="1:6" x14ac:dyDescent="0.25">
      <c r="A1586" s="1"/>
      <c r="B1586" s="57"/>
      <c r="C1586" s="57"/>
      <c r="D1586" s="57"/>
      <c r="E1586" s="57"/>
      <c r="F1586" s="57"/>
    </row>
    <row r="1587" spans="1:6" x14ac:dyDescent="0.25">
      <c r="A1587" s="1"/>
      <c r="B1587" s="57"/>
      <c r="C1587" s="57"/>
      <c r="D1587" s="57"/>
      <c r="E1587" s="57"/>
      <c r="F1587" s="57"/>
    </row>
    <row r="1588" spans="1:6" x14ac:dyDescent="0.25">
      <c r="A1588" s="1"/>
      <c r="B1588" s="57"/>
      <c r="C1588" s="57"/>
      <c r="D1588" s="57"/>
      <c r="E1588" s="57"/>
      <c r="F1588" s="57"/>
    </row>
    <row r="1589" spans="1:6" x14ac:dyDescent="0.25">
      <c r="A1589" s="1"/>
      <c r="B1589" s="57"/>
      <c r="C1589" s="57"/>
      <c r="D1589" s="57"/>
      <c r="E1589" s="57"/>
      <c r="F1589" s="57"/>
    </row>
    <row r="1590" spans="1:6" x14ac:dyDescent="0.25">
      <c r="A1590" s="1"/>
      <c r="B1590" s="57"/>
      <c r="C1590" s="57"/>
      <c r="D1590" s="57"/>
      <c r="E1590" s="57"/>
      <c r="F1590" s="57"/>
    </row>
    <row r="1591" spans="1:6" x14ac:dyDescent="0.25">
      <c r="A1591" s="1"/>
      <c r="B1591" s="57"/>
      <c r="C1591" s="57"/>
      <c r="D1591" s="57"/>
      <c r="E1591" s="57"/>
      <c r="F1591" s="57"/>
    </row>
    <row r="1592" spans="1:6" x14ac:dyDescent="0.25">
      <c r="A1592" s="1"/>
      <c r="B1592" s="57"/>
      <c r="C1592" s="57"/>
      <c r="D1592" s="57"/>
      <c r="E1592" s="57"/>
      <c r="F1592" s="57"/>
    </row>
    <row r="1593" spans="1:6" x14ac:dyDescent="0.25">
      <c r="A1593" s="1"/>
      <c r="B1593" s="57"/>
      <c r="C1593" s="57"/>
      <c r="D1593" s="57"/>
      <c r="E1593" s="57"/>
      <c r="F1593" s="57"/>
    </row>
    <row r="1594" spans="1:6" x14ac:dyDescent="0.25">
      <c r="A1594" s="1"/>
      <c r="B1594" s="57"/>
      <c r="C1594" s="57"/>
      <c r="D1594" s="57"/>
      <c r="E1594" s="57"/>
      <c r="F1594" s="57"/>
    </row>
    <row r="1595" spans="1:6" x14ac:dyDescent="0.25">
      <c r="A1595" s="1"/>
      <c r="B1595" s="57"/>
      <c r="C1595" s="57"/>
      <c r="D1595" s="57"/>
      <c r="E1595" s="57"/>
      <c r="F1595" s="57"/>
    </row>
    <row r="1596" spans="1:6" x14ac:dyDescent="0.25">
      <c r="A1596" s="1"/>
      <c r="B1596" s="57"/>
      <c r="C1596" s="57"/>
      <c r="D1596" s="57"/>
      <c r="E1596" s="57"/>
      <c r="F1596" s="57"/>
    </row>
    <row r="1597" spans="1:6" x14ac:dyDescent="0.25">
      <c r="A1597" s="1"/>
      <c r="B1597" s="57"/>
      <c r="C1597" s="57"/>
      <c r="D1597" s="57"/>
      <c r="E1597" s="57"/>
      <c r="F1597" s="57"/>
    </row>
    <row r="1598" spans="1:6" x14ac:dyDescent="0.25">
      <c r="A1598" s="1"/>
      <c r="B1598" s="57"/>
      <c r="C1598" s="57"/>
      <c r="D1598" s="57"/>
      <c r="E1598" s="57"/>
      <c r="F1598" s="57"/>
    </row>
    <row r="1599" spans="1:6" x14ac:dyDescent="0.25">
      <c r="A1599" s="1"/>
      <c r="B1599" s="57"/>
      <c r="C1599" s="57"/>
      <c r="D1599" s="57"/>
      <c r="E1599" s="57"/>
      <c r="F1599" s="57"/>
    </row>
    <row r="1600" spans="1:6" x14ac:dyDescent="0.25">
      <c r="A1600" s="1"/>
      <c r="B1600" s="57"/>
      <c r="C1600" s="57"/>
      <c r="D1600" s="57"/>
      <c r="E1600" s="57"/>
      <c r="F1600" s="57"/>
    </row>
    <row r="1601" spans="1:6" x14ac:dyDescent="0.25">
      <c r="A1601" s="1"/>
      <c r="B1601" s="57"/>
      <c r="C1601" s="57"/>
      <c r="D1601" s="57"/>
      <c r="E1601" s="57"/>
      <c r="F1601" s="57"/>
    </row>
    <row r="1602" spans="1:6" x14ac:dyDescent="0.25">
      <c r="A1602" s="1"/>
      <c r="B1602" s="57"/>
      <c r="C1602" s="57"/>
      <c r="D1602" s="57"/>
      <c r="E1602" s="57"/>
      <c r="F1602" s="57"/>
    </row>
    <row r="1603" spans="1:6" x14ac:dyDescent="0.25">
      <c r="A1603" s="1"/>
      <c r="B1603" s="57"/>
      <c r="C1603" s="57"/>
      <c r="D1603" s="57"/>
      <c r="E1603" s="57"/>
      <c r="F1603" s="57"/>
    </row>
    <row r="1604" spans="1:6" x14ac:dyDescent="0.25">
      <c r="A1604" s="1"/>
      <c r="B1604" s="57"/>
      <c r="C1604" s="57"/>
      <c r="D1604" s="57"/>
      <c r="E1604" s="57"/>
      <c r="F1604" s="57"/>
    </row>
    <row r="1605" spans="1:6" x14ac:dyDescent="0.25">
      <c r="A1605" s="1"/>
      <c r="B1605" s="57"/>
      <c r="C1605" s="57"/>
      <c r="D1605" s="57"/>
      <c r="E1605" s="57"/>
      <c r="F1605" s="57"/>
    </row>
    <row r="1606" spans="1:6" x14ac:dyDescent="0.25">
      <c r="A1606" s="1"/>
      <c r="B1606" s="57"/>
      <c r="C1606" s="57"/>
      <c r="D1606" s="57"/>
      <c r="E1606" s="57"/>
      <c r="F1606" s="57"/>
    </row>
    <row r="1607" spans="1:6" x14ac:dyDescent="0.25">
      <c r="A1607" s="1"/>
      <c r="B1607" s="57"/>
      <c r="C1607" s="57"/>
      <c r="D1607" s="57"/>
      <c r="E1607" s="57"/>
      <c r="F1607" s="57"/>
    </row>
    <row r="1608" spans="1:6" x14ac:dyDescent="0.25">
      <c r="A1608" s="1"/>
      <c r="B1608" s="57"/>
      <c r="C1608" s="57"/>
      <c r="D1608" s="57"/>
      <c r="E1608" s="57"/>
      <c r="F1608" s="57"/>
    </row>
    <row r="1609" spans="1:6" x14ac:dyDescent="0.25">
      <c r="A1609" s="1"/>
      <c r="B1609" s="57"/>
      <c r="C1609" s="57"/>
      <c r="D1609" s="57"/>
      <c r="E1609" s="57"/>
      <c r="F1609" s="57"/>
    </row>
    <row r="1610" spans="1:6" x14ac:dyDescent="0.25">
      <c r="A1610" s="1"/>
      <c r="B1610" s="57"/>
      <c r="C1610" s="57"/>
      <c r="D1610" s="57"/>
      <c r="E1610" s="57"/>
      <c r="F1610" s="57"/>
    </row>
    <row r="1611" spans="1:6" x14ac:dyDescent="0.25">
      <c r="A1611" s="1"/>
      <c r="B1611" s="57"/>
      <c r="C1611" s="57"/>
      <c r="D1611" s="57"/>
      <c r="E1611" s="57"/>
      <c r="F1611" s="57"/>
    </row>
    <row r="1612" spans="1:6" x14ac:dyDescent="0.25">
      <c r="A1612" s="1"/>
      <c r="B1612" s="57"/>
      <c r="C1612" s="57"/>
      <c r="D1612" s="57"/>
      <c r="E1612" s="57"/>
      <c r="F1612" s="57"/>
    </row>
    <row r="1613" spans="1:6" x14ac:dyDescent="0.25">
      <c r="A1613" s="1"/>
      <c r="B1613" s="57"/>
      <c r="C1613" s="57"/>
      <c r="D1613" s="57"/>
      <c r="E1613" s="57"/>
      <c r="F1613" s="57"/>
    </row>
    <row r="1614" spans="1:6" x14ac:dyDescent="0.25">
      <c r="A1614" s="1"/>
      <c r="B1614" s="57"/>
      <c r="C1614" s="57"/>
      <c r="D1614" s="57"/>
      <c r="E1614" s="57"/>
      <c r="F1614" s="57"/>
    </row>
    <row r="1615" spans="1:6" x14ac:dyDescent="0.25">
      <c r="A1615" s="1"/>
      <c r="B1615" s="57"/>
      <c r="C1615" s="57"/>
      <c r="D1615" s="57"/>
      <c r="E1615" s="57"/>
      <c r="F1615" s="57"/>
    </row>
    <row r="1616" spans="1:6" x14ac:dyDescent="0.25">
      <c r="A1616" s="1"/>
      <c r="B1616" s="57"/>
      <c r="C1616" s="57"/>
      <c r="D1616" s="57"/>
      <c r="E1616" s="57"/>
      <c r="F1616" s="57"/>
    </row>
    <row r="1617" spans="1:6" x14ac:dyDescent="0.25">
      <c r="A1617" s="1"/>
      <c r="B1617" s="57"/>
      <c r="C1617" s="57"/>
      <c r="D1617" s="57"/>
      <c r="E1617" s="57"/>
      <c r="F1617" s="57"/>
    </row>
    <row r="1618" spans="1:6" x14ac:dyDescent="0.25">
      <c r="A1618" s="1"/>
      <c r="B1618" s="57"/>
      <c r="C1618" s="57"/>
      <c r="D1618" s="57"/>
      <c r="E1618" s="57"/>
      <c r="F1618" s="57"/>
    </row>
    <row r="1619" spans="1:6" x14ac:dyDescent="0.25">
      <c r="A1619" s="1"/>
      <c r="B1619" s="57"/>
      <c r="C1619" s="57"/>
      <c r="D1619" s="57"/>
      <c r="E1619" s="57"/>
      <c r="F1619" s="57"/>
    </row>
    <row r="1620" spans="1:6" x14ac:dyDescent="0.25">
      <c r="A1620" s="1"/>
      <c r="B1620" s="57"/>
      <c r="C1620" s="57"/>
      <c r="D1620" s="57"/>
      <c r="E1620" s="57"/>
      <c r="F1620" s="57"/>
    </row>
    <row r="1621" spans="1:6" x14ac:dyDescent="0.25">
      <c r="A1621" s="1"/>
      <c r="B1621" s="57"/>
      <c r="C1621" s="57"/>
      <c r="D1621" s="57"/>
      <c r="E1621" s="57"/>
      <c r="F1621" s="57"/>
    </row>
    <row r="1622" spans="1:6" x14ac:dyDescent="0.25">
      <c r="A1622" s="1"/>
      <c r="B1622" s="57"/>
      <c r="C1622" s="57"/>
      <c r="D1622" s="57"/>
      <c r="E1622" s="57"/>
      <c r="F1622" s="57"/>
    </row>
    <row r="1623" spans="1:6" x14ac:dyDescent="0.25">
      <c r="A1623" s="1"/>
      <c r="B1623" s="57"/>
      <c r="C1623" s="57"/>
      <c r="D1623" s="57"/>
      <c r="E1623" s="57"/>
      <c r="F1623" s="57"/>
    </row>
    <row r="1624" spans="1:6" x14ac:dyDescent="0.25">
      <c r="A1624" s="1"/>
      <c r="B1624" s="57"/>
      <c r="C1624" s="57"/>
      <c r="D1624" s="57"/>
      <c r="E1624" s="57"/>
      <c r="F1624" s="57"/>
    </row>
    <row r="1625" spans="1:6" x14ac:dyDescent="0.25">
      <c r="A1625" s="1"/>
      <c r="B1625" s="57"/>
      <c r="C1625" s="57"/>
      <c r="D1625" s="57"/>
      <c r="E1625" s="57"/>
      <c r="F1625" s="57"/>
    </row>
    <row r="1626" spans="1:6" x14ac:dyDescent="0.25">
      <c r="A1626" s="1"/>
      <c r="B1626" s="57"/>
      <c r="C1626" s="57"/>
      <c r="D1626" s="57"/>
      <c r="E1626" s="57"/>
      <c r="F1626" s="57"/>
    </row>
    <row r="1627" spans="1:6" x14ac:dyDescent="0.25">
      <c r="A1627" s="1"/>
      <c r="B1627" s="57"/>
      <c r="C1627" s="57"/>
      <c r="D1627" s="57"/>
      <c r="E1627" s="57"/>
      <c r="F1627" s="57"/>
    </row>
    <row r="1628" spans="1:6" x14ac:dyDescent="0.25">
      <c r="A1628" s="1"/>
      <c r="B1628" s="57"/>
      <c r="C1628" s="57"/>
      <c r="D1628" s="57"/>
      <c r="E1628" s="57"/>
      <c r="F1628" s="57"/>
    </row>
    <row r="1629" spans="1:6" x14ac:dyDescent="0.25">
      <c r="A1629" s="1"/>
      <c r="B1629" s="57"/>
      <c r="C1629" s="57"/>
      <c r="D1629" s="57"/>
      <c r="E1629" s="57"/>
      <c r="F1629" s="57"/>
    </row>
    <row r="1630" spans="1:6" x14ac:dyDescent="0.25">
      <c r="A1630" s="1"/>
      <c r="B1630" s="57"/>
      <c r="C1630" s="57"/>
      <c r="D1630" s="57"/>
      <c r="E1630" s="57"/>
      <c r="F1630" s="57"/>
    </row>
    <row r="1631" spans="1:6" x14ac:dyDescent="0.25">
      <c r="A1631" s="1"/>
      <c r="B1631" s="57"/>
      <c r="C1631" s="57"/>
      <c r="D1631" s="57"/>
      <c r="E1631" s="57"/>
      <c r="F1631" s="57"/>
    </row>
    <row r="1632" spans="1:6" x14ac:dyDescent="0.25">
      <c r="A1632" s="1"/>
      <c r="B1632" s="57"/>
      <c r="C1632" s="57"/>
      <c r="D1632" s="57"/>
      <c r="E1632" s="57"/>
      <c r="F1632" s="57"/>
    </row>
    <row r="1633" spans="1:6" x14ac:dyDescent="0.25">
      <c r="A1633" s="1"/>
      <c r="B1633" s="57"/>
      <c r="C1633" s="57"/>
      <c r="D1633" s="57"/>
      <c r="E1633" s="57"/>
      <c r="F1633" s="57"/>
    </row>
    <row r="1634" spans="1:6" x14ac:dyDescent="0.25">
      <c r="A1634" s="1"/>
      <c r="B1634" s="57"/>
      <c r="C1634" s="57"/>
      <c r="D1634" s="57"/>
      <c r="E1634" s="57"/>
      <c r="F1634" s="57"/>
    </row>
    <row r="1635" spans="1:6" x14ac:dyDescent="0.25">
      <c r="A1635" s="1"/>
      <c r="B1635" s="57"/>
      <c r="C1635" s="57"/>
      <c r="D1635" s="57"/>
      <c r="E1635" s="57"/>
      <c r="F1635" s="57"/>
    </row>
    <row r="1636" spans="1:6" x14ac:dyDescent="0.25">
      <c r="A1636" s="1"/>
      <c r="B1636" s="57"/>
      <c r="C1636" s="57"/>
      <c r="D1636" s="57"/>
      <c r="E1636" s="57"/>
      <c r="F1636" s="57"/>
    </row>
    <row r="1637" spans="1:6" x14ac:dyDescent="0.25">
      <c r="A1637" s="1"/>
      <c r="B1637" s="57"/>
      <c r="C1637" s="57"/>
      <c r="D1637" s="57"/>
      <c r="E1637" s="57"/>
      <c r="F1637" s="57"/>
    </row>
    <row r="1638" spans="1:6" x14ac:dyDescent="0.25">
      <c r="A1638" s="1"/>
      <c r="B1638" s="57"/>
      <c r="C1638" s="57"/>
      <c r="D1638" s="57"/>
      <c r="E1638" s="57"/>
      <c r="F1638" s="57"/>
    </row>
    <row r="1639" spans="1:6" x14ac:dyDescent="0.25">
      <c r="A1639" s="1"/>
      <c r="B1639" s="57"/>
      <c r="C1639" s="57"/>
      <c r="D1639" s="57"/>
      <c r="E1639" s="57"/>
      <c r="F1639" s="57"/>
    </row>
    <row r="1640" spans="1:6" x14ac:dyDescent="0.25">
      <c r="A1640" s="1"/>
      <c r="B1640" s="57"/>
      <c r="C1640" s="57"/>
      <c r="D1640" s="57"/>
      <c r="E1640" s="57"/>
      <c r="F1640" s="57"/>
    </row>
    <row r="1641" spans="1:6" x14ac:dyDescent="0.25">
      <c r="A1641" s="1"/>
      <c r="B1641" s="57"/>
      <c r="C1641" s="57"/>
      <c r="D1641" s="57"/>
      <c r="E1641" s="57"/>
      <c r="F1641" s="57"/>
    </row>
    <row r="1642" spans="1:6" x14ac:dyDescent="0.25">
      <c r="A1642" s="1"/>
      <c r="B1642" s="57"/>
      <c r="C1642" s="57"/>
      <c r="D1642" s="57"/>
      <c r="E1642" s="57"/>
      <c r="F1642" s="57"/>
    </row>
    <row r="1643" spans="1:6" x14ac:dyDescent="0.25">
      <c r="A1643" s="1"/>
      <c r="B1643" s="57"/>
      <c r="C1643" s="57"/>
      <c r="D1643" s="57"/>
      <c r="E1643" s="57"/>
      <c r="F1643" s="57"/>
    </row>
    <row r="1644" spans="1:6" x14ac:dyDescent="0.25">
      <c r="A1644" s="1"/>
      <c r="B1644" s="57"/>
      <c r="C1644" s="57"/>
      <c r="D1644" s="57"/>
      <c r="E1644" s="57"/>
      <c r="F1644" s="57"/>
    </row>
    <row r="1645" spans="1:6" x14ac:dyDescent="0.25">
      <c r="A1645" s="1"/>
      <c r="B1645" s="57"/>
      <c r="C1645" s="57"/>
      <c r="D1645" s="57"/>
      <c r="E1645" s="57"/>
      <c r="F1645" s="57"/>
    </row>
    <row r="1646" spans="1:6" x14ac:dyDescent="0.25">
      <c r="A1646" s="1"/>
      <c r="B1646" s="57"/>
      <c r="C1646" s="57"/>
      <c r="D1646" s="57"/>
      <c r="E1646" s="57"/>
      <c r="F1646" s="57"/>
    </row>
    <row r="1647" spans="1:6" x14ac:dyDescent="0.25">
      <c r="A1647" s="1"/>
      <c r="B1647" s="57"/>
      <c r="C1647" s="57"/>
      <c r="D1647" s="57"/>
      <c r="E1647" s="57"/>
      <c r="F1647" s="57"/>
    </row>
    <row r="1648" spans="1:6" x14ac:dyDescent="0.25">
      <c r="A1648" s="1"/>
      <c r="B1648" s="57"/>
      <c r="C1648" s="57"/>
      <c r="D1648" s="57"/>
      <c r="E1648" s="57"/>
      <c r="F1648" s="57"/>
    </row>
    <row r="1649" spans="1:6" x14ac:dyDescent="0.25">
      <c r="A1649" s="1"/>
      <c r="B1649" s="57"/>
      <c r="C1649" s="57"/>
      <c r="D1649" s="57"/>
      <c r="E1649" s="57"/>
      <c r="F1649" s="57"/>
    </row>
    <row r="1650" spans="1:6" x14ac:dyDescent="0.25">
      <c r="A1650" s="1"/>
      <c r="B1650" s="57"/>
      <c r="C1650" s="57"/>
      <c r="D1650" s="57"/>
      <c r="E1650" s="57"/>
      <c r="F1650" s="57"/>
    </row>
    <row r="1651" spans="1:6" x14ac:dyDescent="0.25">
      <c r="A1651" s="1"/>
      <c r="B1651" s="57"/>
      <c r="C1651" s="57"/>
      <c r="D1651" s="57"/>
      <c r="E1651" s="57"/>
      <c r="F1651" s="57"/>
    </row>
    <row r="1652" spans="1:6" x14ac:dyDescent="0.25">
      <c r="A1652" s="1"/>
      <c r="B1652" s="57"/>
      <c r="C1652" s="57"/>
      <c r="D1652" s="57"/>
      <c r="E1652" s="57"/>
      <c r="F1652" s="57"/>
    </row>
    <row r="1653" spans="1:6" x14ac:dyDescent="0.25">
      <c r="A1653" s="1"/>
      <c r="B1653" s="57"/>
      <c r="C1653" s="57"/>
      <c r="D1653" s="57"/>
      <c r="E1653" s="57"/>
      <c r="F1653" s="57"/>
    </row>
    <row r="1654" spans="1:6" x14ac:dyDescent="0.25">
      <c r="A1654" s="1"/>
      <c r="B1654" s="57"/>
      <c r="C1654" s="57"/>
      <c r="D1654" s="57"/>
      <c r="E1654" s="57"/>
      <c r="F1654" s="57"/>
    </row>
    <row r="1655" spans="1:6" x14ac:dyDescent="0.25">
      <c r="A1655" s="1"/>
      <c r="B1655" s="57"/>
      <c r="C1655" s="57"/>
      <c r="D1655" s="57"/>
      <c r="E1655" s="57"/>
      <c r="F1655" s="57"/>
    </row>
    <row r="1656" spans="1:6" x14ac:dyDescent="0.25">
      <c r="A1656" s="1"/>
      <c r="B1656" s="57"/>
      <c r="C1656" s="57"/>
      <c r="D1656" s="57"/>
      <c r="E1656" s="57"/>
      <c r="F1656" s="57"/>
    </row>
    <row r="1657" spans="1:6" x14ac:dyDescent="0.25">
      <c r="A1657" s="1"/>
      <c r="B1657" s="57"/>
      <c r="C1657" s="57"/>
      <c r="D1657" s="57"/>
      <c r="E1657" s="57"/>
      <c r="F1657" s="57"/>
    </row>
    <row r="1658" spans="1:6" x14ac:dyDescent="0.25">
      <c r="A1658" s="1"/>
      <c r="B1658" s="57"/>
      <c r="C1658" s="57"/>
      <c r="D1658" s="57"/>
      <c r="E1658" s="57"/>
      <c r="F1658" s="57"/>
    </row>
    <row r="1659" spans="1:6" x14ac:dyDescent="0.25">
      <c r="A1659" s="1"/>
      <c r="B1659" s="57"/>
      <c r="C1659" s="57"/>
      <c r="D1659" s="57"/>
      <c r="E1659" s="57"/>
      <c r="F1659" s="57"/>
    </row>
    <row r="1660" spans="1:6" x14ac:dyDescent="0.25">
      <c r="A1660" s="1"/>
      <c r="B1660" s="57"/>
      <c r="C1660" s="57"/>
      <c r="D1660" s="57"/>
      <c r="E1660" s="57"/>
      <c r="F1660" s="57"/>
    </row>
    <row r="1661" spans="1:6" x14ac:dyDescent="0.25">
      <c r="A1661" s="1"/>
      <c r="B1661" s="57"/>
      <c r="C1661" s="57"/>
      <c r="D1661" s="57"/>
      <c r="E1661" s="57"/>
      <c r="F1661" s="57"/>
    </row>
    <row r="1662" spans="1:6" x14ac:dyDescent="0.25">
      <c r="A1662" s="1"/>
      <c r="B1662" s="57"/>
      <c r="C1662" s="57"/>
      <c r="D1662" s="57"/>
      <c r="E1662" s="57"/>
      <c r="F1662" s="57"/>
    </row>
    <row r="1663" spans="1:6" x14ac:dyDescent="0.25">
      <c r="A1663" s="1"/>
      <c r="B1663" s="57"/>
      <c r="C1663" s="57"/>
      <c r="D1663" s="57"/>
      <c r="E1663" s="57"/>
      <c r="F1663" s="57"/>
    </row>
    <row r="1664" spans="1:6" x14ac:dyDescent="0.25">
      <c r="A1664" s="1"/>
      <c r="B1664" s="57"/>
      <c r="C1664" s="57"/>
      <c r="D1664" s="57"/>
      <c r="E1664" s="57"/>
      <c r="F1664" s="57"/>
    </row>
    <row r="1665" spans="1:6" x14ac:dyDescent="0.25">
      <c r="A1665" s="1"/>
      <c r="B1665" s="57"/>
      <c r="C1665" s="57"/>
      <c r="D1665" s="57"/>
      <c r="E1665" s="57"/>
      <c r="F1665" s="57"/>
    </row>
    <row r="1666" spans="1:6" x14ac:dyDescent="0.25">
      <c r="A1666" s="1"/>
      <c r="B1666" s="57"/>
      <c r="C1666" s="57"/>
      <c r="D1666" s="57"/>
      <c r="E1666" s="57"/>
      <c r="F1666" s="57"/>
    </row>
    <row r="1667" spans="1:6" x14ac:dyDescent="0.25">
      <c r="A1667" s="1"/>
      <c r="B1667" s="57"/>
      <c r="C1667" s="57"/>
      <c r="D1667" s="57"/>
      <c r="E1667" s="57"/>
      <c r="F1667" s="57"/>
    </row>
    <row r="1668" spans="1:6" x14ac:dyDescent="0.25">
      <c r="A1668" s="1"/>
      <c r="B1668" s="57"/>
      <c r="C1668" s="57"/>
      <c r="D1668" s="57"/>
      <c r="E1668" s="57"/>
      <c r="F1668" s="57"/>
    </row>
    <row r="1669" spans="1:6" x14ac:dyDescent="0.25">
      <c r="A1669" s="1"/>
      <c r="B1669" s="57"/>
      <c r="C1669" s="57"/>
      <c r="D1669" s="57"/>
      <c r="E1669" s="57"/>
      <c r="F1669" s="57"/>
    </row>
    <row r="1670" spans="1:6" x14ac:dyDescent="0.25">
      <c r="A1670" s="1"/>
      <c r="B1670" s="57"/>
      <c r="C1670" s="57"/>
      <c r="D1670" s="57"/>
      <c r="E1670" s="57"/>
      <c r="F1670" s="57"/>
    </row>
    <row r="1671" spans="1:6" x14ac:dyDescent="0.25">
      <c r="A1671" s="1"/>
      <c r="B1671" s="57"/>
      <c r="C1671" s="57"/>
      <c r="D1671" s="57"/>
      <c r="E1671" s="57"/>
      <c r="F1671" s="57"/>
    </row>
    <row r="1672" spans="1:6" x14ac:dyDescent="0.25">
      <c r="A1672" s="1"/>
      <c r="B1672" s="57"/>
      <c r="C1672" s="57"/>
      <c r="D1672" s="57"/>
      <c r="E1672" s="57"/>
      <c r="F1672" s="57"/>
    </row>
    <row r="1673" spans="1:6" x14ac:dyDescent="0.25">
      <c r="A1673" s="1"/>
      <c r="B1673" s="57"/>
      <c r="C1673" s="57"/>
      <c r="D1673" s="57"/>
      <c r="E1673" s="57"/>
      <c r="F1673" s="57"/>
    </row>
    <row r="1674" spans="1:6" x14ac:dyDescent="0.25">
      <c r="A1674" s="1"/>
      <c r="B1674" s="57"/>
      <c r="C1674" s="57"/>
      <c r="D1674" s="57"/>
      <c r="E1674" s="57"/>
      <c r="F1674" s="57"/>
    </row>
    <row r="1675" spans="1:6" x14ac:dyDescent="0.25">
      <c r="A1675" s="1"/>
      <c r="B1675" s="57"/>
      <c r="C1675" s="57"/>
      <c r="D1675" s="57"/>
      <c r="E1675" s="57"/>
      <c r="F1675" s="57"/>
    </row>
    <row r="1676" spans="1:6" x14ac:dyDescent="0.25">
      <c r="A1676" s="1"/>
      <c r="B1676" s="57"/>
      <c r="C1676" s="57"/>
      <c r="D1676" s="57"/>
      <c r="E1676" s="57"/>
      <c r="F1676" s="57"/>
    </row>
    <row r="1677" spans="1:6" x14ac:dyDescent="0.25">
      <c r="A1677" s="1"/>
      <c r="B1677" s="57"/>
      <c r="C1677" s="57"/>
      <c r="D1677" s="57"/>
      <c r="E1677" s="57"/>
      <c r="F1677" s="57"/>
    </row>
    <row r="1678" spans="1:6" x14ac:dyDescent="0.25">
      <c r="A1678" s="1"/>
      <c r="B1678" s="57"/>
      <c r="C1678" s="57"/>
      <c r="D1678" s="57"/>
      <c r="E1678" s="57"/>
      <c r="F1678" s="57"/>
    </row>
    <row r="1679" spans="1:6" x14ac:dyDescent="0.25">
      <c r="A1679" s="1"/>
      <c r="B1679" s="57"/>
      <c r="C1679" s="57"/>
      <c r="D1679" s="57"/>
      <c r="E1679" s="57"/>
      <c r="F1679" s="57"/>
    </row>
    <row r="1680" spans="1:6" x14ac:dyDescent="0.25">
      <c r="A1680" s="1"/>
      <c r="B1680" s="57"/>
      <c r="C1680" s="57"/>
      <c r="D1680" s="57"/>
      <c r="E1680" s="57"/>
      <c r="F1680" s="57"/>
    </row>
    <row r="1681" spans="1:6" x14ac:dyDescent="0.25">
      <c r="A1681" s="1"/>
      <c r="B1681" s="57"/>
      <c r="C1681" s="57"/>
      <c r="D1681" s="57"/>
      <c r="E1681" s="57"/>
      <c r="F1681" s="57"/>
    </row>
    <row r="1682" spans="1:6" x14ac:dyDescent="0.25">
      <c r="A1682" s="1"/>
      <c r="B1682" s="57"/>
      <c r="C1682" s="57"/>
      <c r="D1682" s="57"/>
      <c r="E1682" s="57"/>
      <c r="F1682" s="57"/>
    </row>
    <row r="1683" spans="1:6" x14ac:dyDescent="0.25">
      <c r="A1683" s="1"/>
      <c r="B1683" s="57"/>
      <c r="C1683" s="57"/>
      <c r="D1683" s="57"/>
      <c r="E1683" s="57"/>
      <c r="F1683" s="57"/>
    </row>
    <row r="1684" spans="1:6" x14ac:dyDescent="0.25">
      <c r="A1684" s="1"/>
      <c r="B1684" s="57"/>
      <c r="C1684" s="57"/>
      <c r="D1684" s="57"/>
      <c r="E1684" s="57"/>
      <c r="F1684" s="57"/>
    </row>
    <row r="1685" spans="1:6" x14ac:dyDescent="0.25">
      <c r="A1685" s="1"/>
      <c r="B1685" s="57"/>
      <c r="C1685" s="57"/>
      <c r="D1685" s="57"/>
      <c r="E1685" s="57"/>
      <c r="F1685" s="57"/>
    </row>
    <row r="1686" spans="1:6" x14ac:dyDescent="0.25">
      <c r="A1686" s="1"/>
      <c r="B1686" s="57"/>
      <c r="C1686" s="57"/>
      <c r="D1686" s="57"/>
      <c r="E1686" s="57"/>
      <c r="F1686" s="57"/>
    </row>
    <row r="1687" spans="1:6" x14ac:dyDescent="0.25">
      <c r="A1687" s="1"/>
      <c r="B1687" s="57"/>
      <c r="C1687" s="57"/>
      <c r="D1687" s="57"/>
      <c r="E1687" s="57"/>
      <c r="F1687" s="57"/>
    </row>
    <row r="1688" spans="1:6" x14ac:dyDescent="0.25">
      <c r="A1688" s="1"/>
      <c r="B1688" s="57"/>
      <c r="C1688" s="57"/>
      <c r="D1688" s="57"/>
      <c r="E1688" s="57"/>
      <c r="F1688" s="57"/>
    </row>
    <row r="1689" spans="1:6" x14ac:dyDescent="0.25">
      <c r="A1689" s="1"/>
      <c r="B1689" s="57"/>
      <c r="C1689" s="57"/>
      <c r="D1689" s="57"/>
      <c r="E1689" s="57"/>
      <c r="F1689" s="57"/>
    </row>
    <row r="1690" spans="1:6" x14ac:dyDescent="0.25">
      <c r="A1690" s="1"/>
      <c r="B1690" s="57"/>
      <c r="C1690" s="57"/>
      <c r="D1690" s="57"/>
      <c r="E1690" s="57"/>
      <c r="F1690" s="57"/>
    </row>
    <row r="1691" spans="1:6" x14ac:dyDescent="0.25">
      <c r="A1691" s="1"/>
      <c r="B1691" s="57"/>
      <c r="C1691" s="57"/>
      <c r="D1691" s="57"/>
      <c r="E1691" s="57"/>
      <c r="F1691" s="57"/>
    </row>
    <row r="1692" spans="1:6" x14ac:dyDescent="0.25">
      <c r="A1692" s="1"/>
      <c r="B1692" s="57"/>
      <c r="C1692" s="57"/>
      <c r="D1692" s="57"/>
      <c r="E1692" s="57"/>
      <c r="F1692" s="57"/>
    </row>
    <row r="1693" spans="1:6" x14ac:dyDescent="0.25">
      <c r="A1693" s="1"/>
      <c r="B1693" s="57"/>
      <c r="C1693" s="57"/>
      <c r="D1693" s="57"/>
      <c r="E1693" s="57"/>
      <c r="F1693" s="57"/>
    </row>
    <row r="1694" spans="1:6" x14ac:dyDescent="0.25">
      <c r="A1694" s="1"/>
      <c r="B1694" s="57"/>
      <c r="C1694" s="57"/>
      <c r="D1694" s="57"/>
      <c r="E1694" s="57"/>
      <c r="F1694" s="57"/>
    </row>
    <row r="1695" spans="1:6" x14ac:dyDescent="0.25">
      <c r="A1695" s="1"/>
      <c r="B1695" s="57"/>
      <c r="C1695" s="57"/>
      <c r="D1695" s="57"/>
      <c r="E1695" s="57"/>
      <c r="F1695" s="57"/>
    </row>
    <row r="1696" spans="1:6" x14ac:dyDescent="0.25">
      <c r="A1696" s="1"/>
      <c r="B1696" s="57"/>
      <c r="C1696" s="57"/>
      <c r="D1696" s="57"/>
      <c r="E1696" s="57"/>
      <c r="F1696" s="57"/>
    </row>
    <row r="1697" spans="1:6" x14ac:dyDescent="0.25">
      <c r="A1697" s="1"/>
      <c r="B1697" s="57"/>
      <c r="C1697" s="57"/>
      <c r="D1697" s="57"/>
      <c r="E1697" s="57"/>
      <c r="F1697" s="57"/>
    </row>
    <row r="1698" spans="1:6" x14ac:dyDescent="0.25">
      <c r="A1698" s="1"/>
      <c r="B1698" s="57"/>
      <c r="C1698" s="57"/>
      <c r="D1698" s="57"/>
      <c r="E1698" s="57"/>
      <c r="F1698" s="57"/>
    </row>
    <row r="1699" spans="1:6" x14ac:dyDescent="0.25">
      <c r="A1699" s="1"/>
      <c r="B1699" s="57"/>
      <c r="C1699" s="57"/>
      <c r="D1699" s="57"/>
      <c r="E1699" s="57"/>
      <c r="F1699" s="57"/>
    </row>
    <row r="1700" spans="1:6" x14ac:dyDescent="0.25">
      <c r="A1700" s="1"/>
      <c r="B1700" s="57"/>
      <c r="C1700" s="57"/>
      <c r="D1700" s="57"/>
      <c r="E1700" s="57"/>
      <c r="F1700" s="57"/>
    </row>
    <row r="1701" spans="1:6" x14ac:dyDescent="0.25">
      <c r="A1701" s="1"/>
      <c r="B1701" s="57"/>
      <c r="C1701" s="57"/>
      <c r="D1701" s="57"/>
      <c r="E1701" s="57"/>
      <c r="F1701" s="57"/>
    </row>
    <row r="1702" spans="1:6" x14ac:dyDescent="0.25">
      <c r="A1702" s="1"/>
      <c r="B1702" s="57"/>
      <c r="C1702" s="57"/>
      <c r="D1702" s="57"/>
      <c r="E1702" s="57"/>
      <c r="F1702" s="57"/>
    </row>
    <row r="1703" spans="1:6" x14ac:dyDescent="0.25">
      <c r="A1703" s="1"/>
      <c r="B1703" s="57"/>
      <c r="C1703" s="57"/>
      <c r="D1703" s="57"/>
      <c r="E1703" s="57"/>
      <c r="F1703" s="57"/>
    </row>
    <row r="1704" spans="1:6" x14ac:dyDescent="0.25">
      <c r="A1704" s="1"/>
      <c r="B1704" s="57"/>
      <c r="C1704" s="57"/>
      <c r="D1704" s="57"/>
      <c r="E1704" s="57"/>
      <c r="F1704" s="57"/>
    </row>
    <row r="1705" spans="1:6" x14ac:dyDescent="0.25">
      <c r="A1705" s="1"/>
      <c r="B1705" s="57"/>
      <c r="C1705" s="57"/>
      <c r="D1705" s="57"/>
      <c r="E1705" s="57"/>
      <c r="F1705" s="57"/>
    </row>
    <row r="1706" spans="1:6" x14ac:dyDescent="0.25">
      <c r="A1706" s="1"/>
      <c r="B1706" s="57"/>
      <c r="C1706" s="57"/>
      <c r="D1706" s="57"/>
      <c r="E1706" s="57"/>
      <c r="F1706" s="57"/>
    </row>
    <row r="1707" spans="1:6" x14ac:dyDescent="0.25">
      <c r="A1707" s="1"/>
      <c r="B1707" s="57"/>
      <c r="C1707" s="57"/>
      <c r="D1707" s="57"/>
      <c r="E1707" s="57"/>
      <c r="F1707" s="57"/>
    </row>
    <row r="1708" spans="1:6" x14ac:dyDescent="0.25">
      <c r="A1708" s="1"/>
      <c r="B1708" s="57"/>
      <c r="C1708" s="57"/>
      <c r="D1708" s="57"/>
      <c r="E1708" s="57"/>
      <c r="F1708" s="57"/>
    </row>
    <row r="1709" spans="1:6" x14ac:dyDescent="0.25">
      <c r="A1709" s="1"/>
      <c r="B1709" s="57"/>
      <c r="C1709" s="57"/>
      <c r="D1709" s="57"/>
      <c r="E1709" s="57"/>
      <c r="F1709" s="57"/>
    </row>
    <row r="1710" spans="1:6" x14ac:dyDescent="0.25">
      <c r="A1710" s="1"/>
      <c r="B1710" s="57"/>
      <c r="C1710" s="57"/>
      <c r="D1710" s="57"/>
      <c r="E1710" s="57"/>
      <c r="F1710" s="57"/>
    </row>
    <row r="1711" spans="1:6" x14ac:dyDescent="0.25">
      <c r="A1711" s="1"/>
      <c r="B1711" s="57"/>
      <c r="C1711" s="57"/>
      <c r="D1711" s="57"/>
      <c r="E1711" s="57"/>
      <c r="F1711" s="57"/>
    </row>
    <row r="1712" spans="1:6" x14ac:dyDescent="0.25">
      <c r="A1712" s="1"/>
      <c r="B1712" s="57"/>
      <c r="C1712" s="57"/>
      <c r="D1712" s="57"/>
      <c r="E1712" s="57"/>
      <c r="F1712" s="57"/>
    </row>
    <row r="1713" spans="1:6" x14ac:dyDescent="0.25">
      <c r="A1713" s="1"/>
      <c r="B1713" s="57"/>
      <c r="C1713" s="57"/>
      <c r="D1713" s="57"/>
      <c r="E1713" s="57"/>
      <c r="F1713" s="57"/>
    </row>
    <row r="1714" spans="1:6" x14ac:dyDescent="0.25">
      <c r="A1714" s="1"/>
      <c r="B1714" s="57"/>
      <c r="C1714" s="57"/>
      <c r="D1714" s="57"/>
      <c r="E1714" s="57"/>
      <c r="F1714" s="57"/>
    </row>
    <row r="1715" spans="1:6" x14ac:dyDescent="0.25">
      <c r="A1715" s="1"/>
      <c r="B1715" s="57"/>
      <c r="C1715" s="57"/>
      <c r="D1715" s="57"/>
      <c r="E1715" s="57"/>
      <c r="F1715" s="57"/>
    </row>
    <row r="1716" spans="1:6" x14ac:dyDescent="0.25">
      <c r="A1716" s="1"/>
      <c r="B1716" s="57"/>
      <c r="C1716" s="57"/>
      <c r="D1716" s="57"/>
      <c r="E1716" s="57"/>
      <c r="F1716" s="57"/>
    </row>
    <row r="1717" spans="1:6" x14ac:dyDescent="0.25">
      <c r="A1717" s="1"/>
      <c r="B1717" s="57"/>
      <c r="C1717" s="57"/>
      <c r="D1717" s="57"/>
      <c r="E1717" s="57"/>
      <c r="F1717" s="57"/>
    </row>
    <row r="1718" spans="1:6" x14ac:dyDescent="0.25">
      <c r="A1718" s="1"/>
      <c r="B1718" s="57"/>
      <c r="C1718" s="57"/>
      <c r="D1718" s="57"/>
      <c r="E1718" s="57"/>
      <c r="F1718" s="57"/>
    </row>
    <row r="1719" spans="1:6" x14ac:dyDescent="0.25">
      <c r="A1719" s="1"/>
      <c r="B1719" s="57"/>
      <c r="C1719" s="57"/>
      <c r="D1719" s="57"/>
      <c r="E1719" s="57"/>
      <c r="F1719" s="57"/>
    </row>
    <row r="1720" spans="1:6" x14ac:dyDescent="0.25">
      <c r="A1720" s="1"/>
      <c r="B1720" s="57"/>
      <c r="C1720" s="57"/>
      <c r="D1720" s="57"/>
      <c r="E1720" s="57"/>
      <c r="F1720" s="57"/>
    </row>
    <row r="1721" spans="1:6" x14ac:dyDescent="0.25">
      <c r="A1721" s="1"/>
      <c r="B1721" s="57"/>
      <c r="C1721" s="57"/>
      <c r="D1721" s="57"/>
      <c r="E1721" s="57"/>
      <c r="F1721" s="57"/>
    </row>
    <row r="1722" spans="1:6" x14ac:dyDescent="0.25">
      <c r="A1722" s="1"/>
      <c r="B1722" s="57"/>
      <c r="C1722" s="57"/>
      <c r="D1722" s="57"/>
      <c r="E1722" s="57"/>
      <c r="F1722" s="57"/>
    </row>
    <row r="1723" spans="1:6" x14ac:dyDescent="0.25">
      <c r="A1723" s="1"/>
      <c r="B1723" s="57"/>
      <c r="C1723" s="57"/>
      <c r="D1723" s="57"/>
      <c r="E1723" s="57"/>
      <c r="F1723" s="57"/>
    </row>
    <row r="1724" spans="1:6" x14ac:dyDescent="0.25">
      <c r="A1724" s="1"/>
      <c r="B1724" s="57"/>
      <c r="C1724" s="57"/>
      <c r="D1724" s="57"/>
      <c r="E1724" s="57"/>
      <c r="F1724" s="57"/>
    </row>
    <row r="1725" spans="1:6" x14ac:dyDescent="0.25">
      <c r="A1725" s="1"/>
      <c r="B1725" s="57"/>
      <c r="C1725" s="57"/>
      <c r="D1725" s="57"/>
      <c r="E1725" s="57"/>
      <c r="F1725" s="57"/>
    </row>
    <row r="1726" spans="1:6" x14ac:dyDescent="0.25">
      <c r="A1726" s="1"/>
      <c r="B1726" s="57"/>
      <c r="C1726" s="57"/>
      <c r="D1726" s="57"/>
      <c r="E1726" s="57"/>
      <c r="F1726" s="57"/>
    </row>
    <row r="1727" spans="1:6" x14ac:dyDescent="0.25">
      <c r="A1727" s="1"/>
      <c r="B1727" s="57"/>
      <c r="C1727" s="57"/>
      <c r="D1727" s="57"/>
      <c r="E1727" s="57"/>
      <c r="F1727" s="57"/>
    </row>
    <row r="1728" spans="1:6" x14ac:dyDescent="0.25">
      <c r="A1728" s="1"/>
      <c r="B1728" s="57"/>
      <c r="C1728" s="57"/>
      <c r="D1728" s="57"/>
      <c r="E1728" s="57"/>
      <c r="F1728" s="57"/>
    </row>
    <row r="1729" spans="1:6" x14ac:dyDescent="0.25">
      <c r="A1729" s="1"/>
      <c r="B1729" s="57"/>
      <c r="C1729" s="57"/>
      <c r="D1729" s="57"/>
      <c r="E1729" s="57"/>
      <c r="F1729" s="57"/>
    </row>
    <row r="1730" spans="1:6" x14ac:dyDescent="0.25">
      <c r="A1730" s="1"/>
      <c r="B1730" s="57"/>
      <c r="C1730" s="57"/>
      <c r="D1730" s="57"/>
      <c r="E1730" s="57"/>
      <c r="F1730" s="57"/>
    </row>
    <row r="1731" spans="1:6" x14ac:dyDescent="0.25">
      <c r="A1731" s="1"/>
      <c r="B1731" s="57"/>
      <c r="C1731" s="57"/>
      <c r="D1731" s="57"/>
      <c r="E1731" s="57"/>
      <c r="F1731" s="57"/>
    </row>
    <row r="1732" spans="1:6" x14ac:dyDescent="0.25">
      <c r="A1732" s="1"/>
      <c r="B1732" s="57"/>
      <c r="C1732" s="57"/>
      <c r="D1732" s="57"/>
      <c r="E1732" s="57"/>
      <c r="F1732" s="57"/>
    </row>
    <row r="1733" spans="1:6" x14ac:dyDescent="0.25">
      <c r="A1733" s="1"/>
      <c r="B1733" s="57"/>
      <c r="C1733" s="57"/>
      <c r="D1733" s="57"/>
      <c r="E1733" s="57"/>
      <c r="F1733" s="57"/>
    </row>
    <row r="1734" spans="1:6" x14ac:dyDescent="0.25">
      <c r="A1734" s="1"/>
      <c r="B1734" s="57"/>
      <c r="C1734" s="57"/>
      <c r="D1734" s="57"/>
      <c r="E1734" s="57"/>
      <c r="F1734" s="57"/>
    </row>
    <row r="1735" spans="1:6" x14ac:dyDescent="0.25">
      <c r="A1735" s="1"/>
      <c r="B1735" s="57"/>
      <c r="C1735" s="57"/>
      <c r="D1735" s="57"/>
      <c r="E1735" s="57"/>
      <c r="F1735" s="57"/>
    </row>
    <row r="1736" spans="1:6" x14ac:dyDescent="0.25">
      <c r="A1736" s="1"/>
      <c r="B1736" s="57"/>
      <c r="C1736" s="57"/>
      <c r="D1736" s="57"/>
      <c r="E1736" s="57"/>
      <c r="F1736" s="57"/>
    </row>
    <row r="1737" spans="1:6" x14ac:dyDescent="0.25">
      <c r="A1737" s="1"/>
      <c r="B1737" s="57"/>
      <c r="C1737" s="57"/>
      <c r="D1737" s="57"/>
      <c r="E1737" s="57"/>
      <c r="F1737" s="57"/>
    </row>
    <row r="1738" spans="1:6" x14ac:dyDescent="0.25">
      <c r="A1738" s="1"/>
      <c r="B1738" s="57"/>
      <c r="C1738" s="57"/>
      <c r="D1738" s="57"/>
      <c r="E1738" s="57"/>
      <c r="F1738" s="57"/>
    </row>
    <row r="1739" spans="1:6" x14ac:dyDescent="0.25">
      <c r="A1739" s="1"/>
      <c r="B1739" s="57"/>
      <c r="C1739" s="57"/>
      <c r="D1739" s="57"/>
      <c r="E1739" s="57"/>
      <c r="F1739" s="57"/>
    </row>
    <row r="1740" spans="1:6" x14ac:dyDescent="0.25">
      <c r="A1740" s="1"/>
      <c r="B1740" s="57"/>
      <c r="C1740" s="57"/>
      <c r="D1740" s="57"/>
      <c r="E1740" s="57"/>
      <c r="F1740" s="57"/>
    </row>
    <row r="1741" spans="1:6" x14ac:dyDescent="0.25">
      <c r="A1741" s="1"/>
      <c r="B1741" s="57"/>
      <c r="C1741" s="57"/>
      <c r="D1741" s="57"/>
      <c r="E1741" s="57"/>
      <c r="F1741" s="57"/>
    </row>
    <row r="1742" spans="1:6" x14ac:dyDescent="0.25">
      <c r="A1742" s="1"/>
      <c r="B1742" s="57"/>
      <c r="C1742" s="57"/>
      <c r="D1742" s="57"/>
      <c r="E1742" s="57"/>
      <c r="F1742" s="57"/>
    </row>
    <row r="1743" spans="1:6" x14ac:dyDescent="0.25">
      <c r="A1743" s="1"/>
      <c r="B1743" s="57"/>
      <c r="C1743" s="57"/>
      <c r="D1743" s="57"/>
      <c r="E1743" s="57"/>
      <c r="F1743" s="57"/>
    </row>
    <row r="1744" spans="1:6" x14ac:dyDescent="0.25">
      <c r="A1744" s="1"/>
      <c r="B1744" s="57"/>
      <c r="C1744" s="57"/>
      <c r="D1744" s="57"/>
      <c r="E1744" s="57"/>
      <c r="F1744" s="57"/>
    </row>
    <row r="1745" spans="1:6" x14ac:dyDescent="0.25">
      <c r="A1745" s="1"/>
      <c r="B1745" s="57"/>
      <c r="C1745" s="57"/>
      <c r="D1745" s="57"/>
      <c r="E1745" s="57"/>
      <c r="F1745" s="57"/>
    </row>
    <row r="1746" spans="1:6" x14ac:dyDescent="0.25">
      <c r="A1746" s="1"/>
      <c r="B1746" s="57"/>
      <c r="C1746" s="57"/>
      <c r="D1746" s="57"/>
      <c r="E1746" s="57"/>
      <c r="F1746" s="57"/>
    </row>
    <row r="1747" spans="1:6" x14ac:dyDescent="0.25">
      <c r="A1747" s="1"/>
      <c r="B1747" s="57"/>
      <c r="C1747" s="57"/>
      <c r="D1747" s="57"/>
      <c r="E1747" s="57"/>
      <c r="F1747" s="57"/>
    </row>
    <row r="1748" spans="1:6" x14ac:dyDescent="0.25">
      <c r="A1748" s="1"/>
      <c r="B1748" s="57"/>
      <c r="C1748" s="57"/>
      <c r="D1748" s="57"/>
      <c r="E1748" s="57"/>
      <c r="F1748" s="57"/>
    </row>
    <row r="1749" spans="1:6" x14ac:dyDescent="0.25">
      <c r="A1749" s="1"/>
      <c r="B1749" s="57"/>
      <c r="C1749" s="57"/>
      <c r="D1749" s="57"/>
      <c r="E1749" s="57"/>
      <c r="F1749" s="57"/>
    </row>
    <row r="1750" spans="1:6" x14ac:dyDescent="0.25">
      <c r="A1750" s="1"/>
      <c r="B1750" s="57"/>
      <c r="C1750" s="57"/>
      <c r="D1750" s="57"/>
      <c r="E1750" s="57"/>
      <c r="F1750" s="57"/>
    </row>
    <row r="1751" spans="1:6" x14ac:dyDescent="0.25">
      <c r="A1751" s="1"/>
      <c r="B1751" s="57"/>
      <c r="C1751" s="57"/>
      <c r="D1751" s="57"/>
      <c r="E1751" s="57"/>
      <c r="F1751" s="57"/>
    </row>
    <row r="1752" spans="1:6" x14ac:dyDescent="0.25">
      <c r="A1752" s="1"/>
      <c r="B1752" s="57"/>
      <c r="C1752" s="57"/>
      <c r="D1752" s="57"/>
      <c r="E1752" s="57"/>
      <c r="F1752" s="57"/>
    </row>
    <row r="1753" spans="1:6" x14ac:dyDescent="0.25">
      <c r="A1753" s="1"/>
      <c r="B1753" s="57"/>
      <c r="C1753" s="57"/>
      <c r="D1753" s="57"/>
      <c r="E1753" s="57"/>
      <c r="F1753" s="57"/>
    </row>
    <row r="1754" spans="1:6" x14ac:dyDescent="0.25">
      <c r="A1754" s="1"/>
      <c r="B1754" s="57"/>
      <c r="C1754" s="57"/>
      <c r="D1754" s="57"/>
      <c r="E1754" s="57"/>
      <c r="F1754" s="57"/>
    </row>
    <row r="1755" spans="1:6" x14ac:dyDescent="0.25">
      <c r="A1755" s="1"/>
      <c r="B1755" s="57"/>
      <c r="C1755" s="57"/>
      <c r="D1755" s="57"/>
      <c r="E1755" s="57"/>
      <c r="F1755" s="57"/>
    </row>
    <row r="1756" spans="1:6" x14ac:dyDescent="0.25">
      <c r="A1756" s="1"/>
      <c r="B1756" s="57"/>
      <c r="C1756" s="57"/>
      <c r="D1756" s="57"/>
      <c r="E1756" s="57"/>
      <c r="F1756" s="57"/>
    </row>
    <row r="1757" spans="1:6" x14ac:dyDescent="0.25">
      <c r="A1757" s="1"/>
      <c r="B1757" s="57"/>
      <c r="C1757" s="57"/>
      <c r="D1757" s="57"/>
      <c r="E1757" s="57"/>
      <c r="F1757" s="57"/>
    </row>
    <row r="1758" spans="1:6" x14ac:dyDescent="0.25">
      <c r="A1758" s="1"/>
      <c r="B1758" s="57"/>
      <c r="C1758" s="57"/>
      <c r="D1758" s="57"/>
      <c r="E1758" s="57"/>
      <c r="F1758" s="57"/>
    </row>
    <row r="1759" spans="1:6" x14ac:dyDescent="0.25">
      <c r="A1759" s="1"/>
      <c r="B1759" s="57"/>
      <c r="C1759" s="57"/>
      <c r="D1759" s="57"/>
      <c r="E1759" s="57"/>
      <c r="F1759" s="57"/>
    </row>
    <row r="1760" spans="1:6" x14ac:dyDescent="0.25">
      <c r="A1760" s="1"/>
      <c r="B1760" s="57"/>
      <c r="C1760" s="57"/>
      <c r="D1760" s="57"/>
      <c r="E1760" s="57"/>
      <c r="F1760" s="57"/>
    </row>
    <row r="1761" spans="1:6" x14ac:dyDescent="0.25">
      <c r="A1761" s="1"/>
      <c r="B1761" s="57"/>
      <c r="C1761" s="57"/>
      <c r="D1761" s="57"/>
      <c r="E1761" s="57"/>
      <c r="F1761" s="57"/>
    </row>
    <row r="1762" spans="1:6" x14ac:dyDescent="0.25">
      <c r="A1762" s="1"/>
      <c r="B1762" s="57"/>
      <c r="C1762" s="57"/>
      <c r="D1762" s="57"/>
      <c r="E1762" s="57"/>
      <c r="F1762" s="57"/>
    </row>
    <row r="1763" spans="1:6" x14ac:dyDescent="0.25">
      <c r="A1763" s="1"/>
      <c r="B1763" s="57"/>
      <c r="C1763" s="57"/>
      <c r="D1763" s="57"/>
      <c r="E1763" s="57"/>
      <c r="F1763" s="57"/>
    </row>
    <row r="1764" spans="1:6" x14ac:dyDescent="0.25">
      <c r="A1764" s="1"/>
      <c r="B1764" s="57"/>
      <c r="C1764" s="57"/>
      <c r="D1764" s="57"/>
      <c r="E1764" s="57"/>
      <c r="F1764" s="57"/>
    </row>
    <row r="1765" spans="1:6" x14ac:dyDescent="0.25">
      <c r="A1765" s="1"/>
      <c r="B1765" s="57"/>
      <c r="C1765" s="57"/>
      <c r="D1765" s="57"/>
      <c r="E1765" s="57"/>
      <c r="F1765" s="57"/>
    </row>
    <row r="1766" spans="1:6" x14ac:dyDescent="0.25">
      <c r="A1766" s="1"/>
      <c r="B1766" s="57"/>
      <c r="C1766" s="57"/>
      <c r="D1766" s="57"/>
      <c r="E1766" s="57"/>
      <c r="F1766" s="57"/>
    </row>
    <row r="1767" spans="1:6" x14ac:dyDescent="0.25">
      <c r="A1767" s="1"/>
      <c r="B1767" s="57"/>
      <c r="C1767" s="57"/>
      <c r="D1767" s="57"/>
      <c r="E1767" s="57"/>
      <c r="F1767" s="57"/>
    </row>
    <row r="1768" spans="1:6" x14ac:dyDescent="0.25">
      <c r="A1768" s="1"/>
      <c r="B1768" s="57"/>
      <c r="C1768" s="57"/>
      <c r="D1768" s="57"/>
      <c r="E1768" s="57"/>
      <c r="F1768" s="57"/>
    </row>
    <row r="1769" spans="1:6" x14ac:dyDescent="0.25">
      <c r="A1769" s="1"/>
      <c r="B1769" s="57"/>
      <c r="C1769" s="57"/>
      <c r="D1769" s="57"/>
      <c r="E1769" s="57"/>
      <c r="F1769" s="57"/>
    </row>
    <row r="1770" spans="1:6" x14ac:dyDescent="0.25">
      <c r="A1770" s="1"/>
      <c r="B1770" s="57"/>
      <c r="C1770" s="57"/>
      <c r="D1770" s="57"/>
      <c r="E1770" s="57"/>
      <c r="F1770" s="57"/>
    </row>
    <row r="1771" spans="1:6" x14ac:dyDescent="0.25">
      <c r="A1771" s="1"/>
      <c r="B1771" s="57"/>
      <c r="C1771" s="57"/>
      <c r="D1771" s="57"/>
      <c r="E1771" s="57"/>
      <c r="F1771" s="57"/>
    </row>
    <row r="1772" spans="1:6" x14ac:dyDescent="0.25">
      <c r="A1772" s="1"/>
      <c r="B1772" s="57"/>
      <c r="C1772" s="57"/>
      <c r="D1772" s="57"/>
      <c r="E1772" s="57"/>
      <c r="F1772" s="57"/>
    </row>
    <row r="1773" spans="1:6" x14ac:dyDescent="0.25">
      <c r="A1773" s="1"/>
      <c r="B1773" s="57"/>
      <c r="C1773" s="57"/>
      <c r="D1773" s="57"/>
      <c r="E1773" s="57"/>
      <c r="F1773" s="57"/>
    </row>
    <row r="1774" spans="1:6" x14ac:dyDescent="0.25">
      <c r="A1774" s="1"/>
      <c r="B1774" s="57"/>
      <c r="C1774" s="57"/>
      <c r="D1774" s="57"/>
      <c r="E1774" s="57"/>
      <c r="F1774" s="57"/>
    </row>
    <row r="1775" spans="1:6" x14ac:dyDescent="0.25">
      <c r="A1775" s="1"/>
      <c r="B1775" s="57"/>
      <c r="C1775" s="57"/>
      <c r="D1775" s="57"/>
      <c r="E1775" s="57"/>
      <c r="F1775" s="57"/>
    </row>
    <row r="1776" spans="1:6" x14ac:dyDescent="0.25">
      <c r="A1776" s="1"/>
      <c r="B1776" s="57"/>
      <c r="C1776" s="57"/>
      <c r="D1776" s="57"/>
      <c r="E1776" s="57"/>
      <c r="F1776" s="57"/>
    </row>
    <row r="1777" spans="1:6" x14ac:dyDescent="0.25">
      <c r="A1777" s="1"/>
      <c r="B1777" s="57"/>
      <c r="C1777" s="57"/>
      <c r="D1777" s="57"/>
      <c r="E1777" s="57"/>
      <c r="F1777" s="57"/>
    </row>
    <row r="1778" spans="1:6" x14ac:dyDescent="0.25">
      <c r="A1778" s="1"/>
      <c r="B1778" s="57"/>
      <c r="C1778" s="57"/>
      <c r="D1778" s="57"/>
      <c r="E1778" s="57"/>
      <c r="F1778" s="57"/>
    </row>
    <row r="1779" spans="1:6" x14ac:dyDescent="0.25">
      <c r="A1779" s="1"/>
      <c r="B1779" s="57"/>
      <c r="C1779" s="57"/>
      <c r="D1779" s="57"/>
      <c r="E1779" s="57"/>
      <c r="F1779" s="57"/>
    </row>
    <row r="1780" spans="1:6" x14ac:dyDescent="0.25">
      <c r="A1780" s="1"/>
      <c r="B1780" s="57"/>
      <c r="C1780" s="57"/>
      <c r="D1780" s="57"/>
      <c r="E1780" s="57"/>
      <c r="F1780" s="57"/>
    </row>
    <row r="1781" spans="1:6" x14ac:dyDescent="0.25">
      <c r="A1781" s="1"/>
      <c r="B1781" s="57"/>
      <c r="C1781" s="57"/>
      <c r="D1781" s="57"/>
      <c r="E1781" s="57"/>
      <c r="F1781" s="57"/>
    </row>
    <row r="1782" spans="1:6" x14ac:dyDescent="0.25">
      <c r="A1782" s="1"/>
      <c r="B1782" s="57"/>
      <c r="C1782" s="57"/>
      <c r="D1782" s="57"/>
      <c r="E1782" s="57"/>
      <c r="F1782" s="57"/>
    </row>
    <row r="1783" spans="1:6" x14ac:dyDescent="0.25">
      <c r="A1783" s="1"/>
      <c r="B1783" s="57"/>
      <c r="C1783" s="57"/>
      <c r="D1783" s="57"/>
      <c r="E1783" s="57"/>
      <c r="F1783" s="57"/>
    </row>
    <row r="1784" spans="1:6" x14ac:dyDescent="0.25">
      <c r="A1784" s="1"/>
      <c r="B1784" s="57"/>
      <c r="C1784" s="57"/>
      <c r="D1784" s="57"/>
      <c r="E1784" s="57"/>
      <c r="F1784" s="57"/>
    </row>
    <row r="1785" spans="1:6" x14ac:dyDescent="0.25">
      <c r="A1785" s="1"/>
      <c r="B1785" s="57"/>
      <c r="C1785" s="57"/>
      <c r="D1785" s="57"/>
      <c r="E1785" s="57"/>
      <c r="F1785" s="57"/>
    </row>
    <row r="1786" spans="1:6" x14ac:dyDescent="0.25">
      <c r="A1786" s="1"/>
      <c r="B1786" s="57"/>
      <c r="C1786" s="57"/>
      <c r="D1786" s="57"/>
      <c r="E1786" s="57"/>
      <c r="F1786" s="57"/>
    </row>
    <row r="1787" spans="1:6" x14ac:dyDescent="0.25">
      <c r="A1787" s="1"/>
      <c r="B1787" s="57"/>
      <c r="C1787" s="57"/>
      <c r="D1787" s="57"/>
      <c r="E1787" s="57"/>
      <c r="F1787" s="57"/>
    </row>
    <row r="1788" spans="1:6" x14ac:dyDescent="0.25">
      <c r="A1788" s="1"/>
      <c r="B1788" s="57"/>
      <c r="C1788" s="57"/>
      <c r="D1788" s="57"/>
      <c r="E1788" s="57"/>
      <c r="F1788" s="57"/>
    </row>
    <row r="1789" spans="1:6" x14ac:dyDescent="0.25">
      <c r="A1789" s="1"/>
      <c r="B1789" s="57"/>
      <c r="C1789" s="57"/>
      <c r="D1789" s="57"/>
      <c r="E1789" s="57"/>
      <c r="F1789" s="57"/>
    </row>
    <row r="1790" spans="1:6" x14ac:dyDescent="0.25">
      <c r="A1790" s="1"/>
      <c r="B1790" s="57"/>
      <c r="C1790" s="57"/>
      <c r="D1790" s="57"/>
      <c r="E1790" s="57"/>
      <c r="F1790" s="57"/>
    </row>
    <row r="1791" spans="1:6" x14ac:dyDescent="0.25">
      <c r="A1791" s="1"/>
      <c r="B1791" s="57"/>
      <c r="C1791" s="57"/>
      <c r="D1791" s="57"/>
      <c r="E1791" s="57"/>
      <c r="F1791" s="57"/>
    </row>
    <row r="1792" spans="1:6" x14ac:dyDescent="0.25">
      <c r="A1792" s="1"/>
      <c r="B1792" s="57"/>
      <c r="C1792" s="57"/>
      <c r="D1792" s="57"/>
      <c r="E1792" s="57"/>
      <c r="F1792" s="57"/>
    </row>
    <row r="1793" spans="1:6" x14ac:dyDescent="0.25">
      <c r="A1793" s="1"/>
      <c r="B1793" s="57"/>
      <c r="C1793" s="57"/>
      <c r="D1793" s="57"/>
      <c r="E1793" s="57"/>
      <c r="F1793" s="57"/>
    </row>
    <row r="1794" spans="1:6" x14ac:dyDescent="0.25">
      <c r="A1794" s="1"/>
      <c r="B1794" s="57"/>
      <c r="C1794" s="57"/>
      <c r="D1794" s="57"/>
      <c r="E1794" s="57"/>
      <c r="F1794" s="57"/>
    </row>
    <row r="1795" spans="1:6" x14ac:dyDescent="0.25">
      <c r="A1795" s="1"/>
      <c r="B1795" s="57"/>
      <c r="C1795" s="57"/>
      <c r="D1795" s="57"/>
      <c r="E1795" s="57"/>
      <c r="F1795" s="57"/>
    </row>
    <row r="1796" spans="1:6" x14ac:dyDescent="0.25">
      <c r="A1796" s="1"/>
      <c r="B1796" s="57"/>
      <c r="C1796" s="57"/>
      <c r="D1796" s="57"/>
      <c r="E1796" s="57"/>
      <c r="F1796" s="57"/>
    </row>
    <row r="1797" spans="1:6" x14ac:dyDescent="0.25">
      <c r="A1797" s="1"/>
      <c r="B1797" s="57"/>
      <c r="C1797" s="57"/>
      <c r="D1797" s="57"/>
      <c r="E1797" s="57"/>
      <c r="F1797" s="57"/>
    </row>
    <row r="1798" spans="1:6" x14ac:dyDescent="0.25">
      <c r="A1798" s="1"/>
      <c r="B1798" s="57"/>
      <c r="C1798" s="57"/>
      <c r="D1798" s="57"/>
      <c r="E1798" s="57"/>
      <c r="F1798" s="57"/>
    </row>
    <row r="1799" spans="1:6" x14ac:dyDescent="0.25">
      <c r="A1799" s="1"/>
      <c r="B1799" s="57"/>
      <c r="C1799" s="57"/>
      <c r="D1799" s="57"/>
      <c r="E1799" s="57"/>
      <c r="F1799" s="57"/>
    </row>
    <row r="1800" spans="1:6" x14ac:dyDescent="0.25">
      <c r="A1800" s="1"/>
      <c r="B1800" s="57"/>
      <c r="C1800" s="57"/>
      <c r="D1800" s="57"/>
      <c r="E1800" s="57"/>
      <c r="F1800" s="57"/>
    </row>
    <row r="1801" spans="1:6" x14ac:dyDescent="0.25">
      <c r="A1801" s="1"/>
      <c r="B1801" s="57"/>
      <c r="C1801" s="57"/>
      <c r="D1801" s="57"/>
      <c r="E1801" s="57"/>
      <c r="F1801" s="57"/>
    </row>
    <row r="1802" spans="1:6" x14ac:dyDescent="0.25">
      <c r="A1802" s="1"/>
      <c r="B1802" s="57"/>
      <c r="C1802" s="57"/>
      <c r="D1802" s="57"/>
      <c r="E1802" s="57"/>
      <c r="F1802" s="57"/>
    </row>
    <row r="1803" spans="1:6" x14ac:dyDescent="0.25">
      <c r="A1803" s="1"/>
      <c r="B1803" s="57"/>
      <c r="C1803" s="57"/>
      <c r="D1803" s="57"/>
      <c r="E1803" s="57"/>
      <c r="F1803" s="57"/>
    </row>
    <row r="1804" spans="1:6" x14ac:dyDescent="0.25">
      <c r="A1804" s="1"/>
      <c r="B1804" s="57"/>
      <c r="C1804" s="57"/>
      <c r="D1804" s="57"/>
      <c r="E1804" s="57"/>
      <c r="F1804" s="57"/>
    </row>
    <row r="1805" spans="1:6" x14ac:dyDescent="0.25">
      <c r="A1805" s="1"/>
      <c r="B1805" s="57"/>
      <c r="C1805" s="57"/>
      <c r="D1805" s="57"/>
      <c r="E1805" s="57"/>
      <c r="F1805" s="57"/>
    </row>
    <row r="1806" spans="1:6" x14ac:dyDescent="0.25">
      <c r="A1806" s="1"/>
      <c r="B1806" s="57"/>
      <c r="C1806" s="57"/>
      <c r="D1806" s="57"/>
      <c r="E1806" s="57"/>
      <c r="F1806" s="57"/>
    </row>
    <row r="1807" spans="1:6" x14ac:dyDescent="0.25">
      <c r="A1807" s="1"/>
      <c r="B1807" s="57"/>
      <c r="C1807" s="57"/>
      <c r="D1807" s="57"/>
      <c r="E1807" s="57"/>
      <c r="F1807" s="57"/>
    </row>
    <row r="1808" spans="1:6" x14ac:dyDescent="0.25">
      <c r="A1808" s="1"/>
      <c r="B1808" s="57"/>
      <c r="C1808" s="57"/>
      <c r="D1808" s="57"/>
      <c r="E1808" s="57"/>
      <c r="F1808" s="57"/>
    </row>
    <row r="1809" spans="1:6" x14ac:dyDescent="0.25">
      <c r="A1809" s="1"/>
      <c r="B1809" s="57"/>
      <c r="C1809" s="57"/>
      <c r="D1809" s="57"/>
      <c r="E1809" s="57"/>
      <c r="F1809" s="57"/>
    </row>
    <row r="1810" spans="1:6" x14ac:dyDescent="0.25">
      <c r="A1810" s="1"/>
      <c r="B1810" s="57"/>
      <c r="C1810" s="57"/>
      <c r="D1810" s="57"/>
      <c r="E1810" s="57"/>
      <c r="F1810" s="57"/>
    </row>
    <row r="1811" spans="1:6" x14ac:dyDescent="0.25">
      <c r="A1811" s="1"/>
      <c r="B1811" s="57"/>
      <c r="C1811" s="57"/>
      <c r="D1811" s="57"/>
      <c r="E1811" s="57"/>
      <c r="F1811" s="57"/>
    </row>
    <row r="1812" spans="1:6" x14ac:dyDescent="0.25">
      <c r="A1812" s="1"/>
      <c r="B1812" s="57"/>
      <c r="C1812" s="57"/>
      <c r="D1812" s="57"/>
      <c r="E1812" s="57"/>
      <c r="F1812" s="57"/>
    </row>
    <row r="1813" spans="1:6" x14ac:dyDescent="0.25">
      <c r="A1813" s="1"/>
      <c r="B1813" s="57"/>
      <c r="C1813" s="57"/>
      <c r="D1813" s="57"/>
      <c r="E1813" s="57"/>
      <c r="F1813" s="57"/>
    </row>
    <row r="1814" spans="1:6" x14ac:dyDescent="0.25">
      <c r="A1814" s="1"/>
      <c r="B1814" s="57"/>
      <c r="C1814" s="57"/>
      <c r="D1814" s="57"/>
      <c r="E1814" s="57"/>
      <c r="F1814" s="57"/>
    </row>
    <row r="1815" spans="1:6" x14ac:dyDescent="0.25">
      <c r="A1815" s="1"/>
      <c r="B1815" s="57"/>
      <c r="C1815" s="57"/>
      <c r="D1815" s="57"/>
      <c r="E1815" s="57"/>
      <c r="F1815" s="57"/>
    </row>
    <row r="1816" spans="1:6" x14ac:dyDescent="0.25">
      <c r="A1816" s="1"/>
      <c r="B1816" s="57"/>
      <c r="C1816" s="57"/>
      <c r="D1816" s="57"/>
      <c r="E1816" s="57"/>
      <c r="F1816" s="57"/>
    </row>
    <row r="1817" spans="1:6" x14ac:dyDescent="0.25">
      <c r="A1817" s="1"/>
      <c r="B1817" s="57"/>
      <c r="C1817" s="57"/>
      <c r="D1817" s="57"/>
      <c r="E1817" s="57"/>
      <c r="F1817" s="57"/>
    </row>
    <row r="1818" spans="1:6" x14ac:dyDescent="0.25">
      <c r="A1818" s="1"/>
      <c r="B1818" s="57"/>
      <c r="C1818" s="57"/>
      <c r="D1818" s="57"/>
      <c r="E1818" s="57"/>
      <c r="F1818" s="57"/>
    </row>
    <row r="1819" spans="1:6" x14ac:dyDescent="0.25">
      <c r="A1819" s="1"/>
      <c r="B1819" s="57"/>
      <c r="C1819" s="57"/>
      <c r="D1819" s="57"/>
      <c r="E1819" s="57"/>
      <c r="F1819" s="57"/>
    </row>
    <row r="1820" spans="1:6" x14ac:dyDescent="0.25">
      <c r="A1820" s="1"/>
      <c r="B1820" s="57"/>
      <c r="C1820" s="57"/>
      <c r="D1820" s="57"/>
      <c r="E1820" s="57"/>
      <c r="F1820" s="57"/>
    </row>
    <row r="1821" spans="1:6" x14ac:dyDescent="0.25">
      <c r="A1821" s="1"/>
      <c r="B1821" s="57"/>
      <c r="C1821" s="57"/>
      <c r="D1821" s="57"/>
      <c r="E1821" s="57"/>
      <c r="F1821" s="57"/>
    </row>
    <row r="1822" spans="1:6" x14ac:dyDescent="0.25">
      <c r="A1822" s="1"/>
      <c r="B1822" s="57"/>
      <c r="C1822" s="57"/>
      <c r="D1822" s="57"/>
      <c r="E1822" s="57"/>
      <c r="F1822" s="57"/>
    </row>
    <row r="1823" spans="1:6" x14ac:dyDescent="0.25">
      <c r="A1823" s="1"/>
      <c r="B1823" s="57"/>
      <c r="C1823" s="57"/>
      <c r="D1823" s="57"/>
      <c r="E1823" s="57"/>
      <c r="F1823" s="57"/>
    </row>
    <row r="1824" spans="1:6" x14ac:dyDescent="0.25">
      <c r="A1824" s="1"/>
      <c r="B1824" s="57"/>
      <c r="C1824" s="57"/>
      <c r="D1824" s="57"/>
      <c r="E1824" s="57"/>
      <c r="F1824" s="57"/>
    </row>
    <row r="1825" spans="1:6" x14ac:dyDescent="0.25">
      <c r="A1825" s="1"/>
      <c r="B1825" s="57"/>
      <c r="C1825" s="57"/>
      <c r="D1825" s="57"/>
      <c r="E1825" s="57"/>
      <c r="F1825" s="57"/>
    </row>
    <row r="1826" spans="1:6" x14ac:dyDescent="0.25">
      <c r="A1826" s="1"/>
      <c r="B1826" s="57"/>
      <c r="C1826" s="57"/>
      <c r="D1826" s="57"/>
      <c r="E1826" s="57"/>
      <c r="F1826" s="57"/>
    </row>
    <row r="1827" spans="1:6" x14ac:dyDescent="0.25">
      <c r="A1827" s="1"/>
      <c r="B1827" s="57"/>
      <c r="C1827" s="57"/>
      <c r="D1827" s="57"/>
      <c r="E1827" s="57"/>
      <c r="F1827" s="57"/>
    </row>
    <row r="1828" spans="1:6" x14ac:dyDescent="0.25">
      <c r="A1828" s="1"/>
      <c r="B1828" s="57"/>
      <c r="C1828" s="57"/>
      <c r="D1828" s="57"/>
      <c r="E1828" s="57"/>
      <c r="F1828" s="57"/>
    </row>
    <row r="1829" spans="1:6" x14ac:dyDescent="0.25">
      <c r="A1829" s="1"/>
      <c r="B1829" s="57"/>
      <c r="C1829" s="57"/>
      <c r="D1829" s="57"/>
      <c r="E1829" s="57"/>
      <c r="F1829" s="57"/>
    </row>
    <row r="1830" spans="1:6" x14ac:dyDescent="0.25">
      <c r="A1830" s="1"/>
      <c r="B1830" s="57"/>
      <c r="C1830" s="57"/>
      <c r="D1830" s="57"/>
      <c r="E1830" s="57"/>
      <c r="F1830" s="57"/>
    </row>
    <row r="1831" spans="1:6" x14ac:dyDescent="0.25">
      <c r="A1831" s="1"/>
      <c r="B1831" s="57"/>
      <c r="C1831" s="57"/>
      <c r="D1831" s="57"/>
      <c r="E1831" s="57"/>
      <c r="F1831" s="57"/>
    </row>
    <row r="1832" spans="1:6" x14ac:dyDescent="0.25">
      <c r="A1832" s="1"/>
      <c r="B1832" s="57"/>
      <c r="C1832" s="57"/>
      <c r="D1832" s="57"/>
      <c r="E1832" s="57"/>
      <c r="F1832" s="57"/>
    </row>
    <row r="1833" spans="1:6" x14ac:dyDescent="0.25">
      <c r="A1833" s="1"/>
      <c r="B1833" s="57"/>
      <c r="C1833" s="57"/>
      <c r="D1833" s="57"/>
      <c r="E1833" s="57"/>
      <c r="F1833" s="57"/>
    </row>
    <row r="1834" spans="1:6" x14ac:dyDescent="0.25">
      <c r="A1834" s="1"/>
      <c r="B1834" s="57"/>
      <c r="C1834" s="57"/>
      <c r="D1834" s="57"/>
      <c r="E1834" s="57"/>
      <c r="F1834" s="57"/>
    </row>
    <row r="1835" spans="1:6" x14ac:dyDescent="0.25">
      <c r="A1835" s="1"/>
      <c r="B1835" s="57"/>
      <c r="C1835" s="57"/>
      <c r="D1835" s="57"/>
      <c r="E1835" s="57"/>
      <c r="F1835" s="57"/>
    </row>
    <row r="1836" spans="1:6" x14ac:dyDescent="0.25">
      <c r="A1836" s="1"/>
      <c r="B1836" s="57"/>
      <c r="C1836" s="57"/>
      <c r="D1836" s="57"/>
      <c r="E1836" s="57"/>
      <c r="F1836" s="57"/>
    </row>
    <row r="1837" spans="1:6" x14ac:dyDescent="0.25">
      <c r="A1837" s="1"/>
      <c r="B1837" s="57"/>
      <c r="C1837" s="57"/>
      <c r="D1837" s="57"/>
      <c r="E1837" s="57"/>
      <c r="F1837" s="57"/>
    </row>
    <row r="1838" spans="1:6" x14ac:dyDescent="0.25">
      <c r="A1838" s="1"/>
      <c r="B1838" s="57"/>
      <c r="C1838" s="57"/>
      <c r="D1838" s="57"/>
      <c r="E1838" s="57"/>
      <c r="F1838" s="57"/>
    </row>
    <row r="1839" spans="1:6" x14ac:dyDescent="0.25">
      <c r="A1839" s="1"/>
      <c r="B1839" s="57"/>
      <c r="C1839" s="57"/>
      <c r="D1839" s="57"/>
      <c r="E1839" s="57"/>
      <c r="F1839" s="57"/>
    </row>
    <row r="1840" spans="1:6" x14ac:dyDescent="0.25">
      <c r="A1840" s="1"/>
      <c r="B1840" s="57"/>
      <c r="C1840" s="57"/>
      <c r="D1840" s="57"/>
      <c r="E1840" s="57"/>
      <c r="F1840" s="57"/>
    </row>
    <row r="1841" spans="1:6" x14ac:dyDescent="0.25">
      <c r="A1841" s="1"/>
      <c r="B1841" s="57"/>
      <c r="C1841" s="57"/>
      <c r="D1841" s="57"/>
      <c r="E1841" s="57"/>
      <c r="F1841" s="57"/>
    </row>
    <row r="1842" spans="1:6" x14ac:dyDescent="0.25">
      <c r="A1842" s="1"/>
      <c r="B1842" s="57"/>
      <c r="C1842" s="57"/>
      <c r="D1842" s="57"/>
      <c r="E1842" s="57"/>
      <c r="F1842" s="57"/>
    </row>
    <row r="1843" spans="1:6" x14ac:dyDescent="0.25">
      <c r="A1843" s="1"/>
      <c r="B1843" s="57"/>
      <c r="C1843" s="57"/>
      <c r="D1843" s="57"/>
      <c r="E1843" s="57"/>
      <c r="F1843" s="57"/>
    </row>
    <row r="1844" spans="1:6" x14ac:dyDescent="0.25">
      <c r="A1844" s="1"/>
      <c r="B1844" s="57"/>
      <c r="C1844" s="57"/>
      <c r="D1844" s="57"/>
      <c r="E1844" s="57"/>
      <c r="F1844" s="57"/>
    </row>
    <row r="1845" spans="1:6" x14ac:dyDescent="0.25">
      <c r="A1845" s="1"/>
      <c r="B1845" s="57"/>
      <c r="C1845" s="57"/>
      <c r="D1845" s="57"/>
      <c r="E1845" s="57"/>
      <c r="F1845" s="57"/>
    </row>
    <row r="1846" spans="1:6" x14ac:dyDescent="0.25">
      <c r="A1846" s="1"/>
      <c r="B1846" s="57"/>
      <c r="C1846" s="57"/>
      <c r="D1846" s="57"/>
      <c r="E1846" s="57"/>
      <c r="F1846" s="57"/>
    </row>
    <row r="1847" spans="1:6" x14ac:dyDescent="0.25">
      <c r="A1847" s="1"/>
      <c r="B1847" s="57"/>
      <c r="C1847" s="57"/>
      <c r="D1847" s="57"/>
      <c r="E1847" s="57"/>
      <c r="F1847" s="57"/>
    </row>
    <row r="1848" spans="1:6" x14ac:dyDescent="0.25">
      <c r="A1848" s="1"/>
      <c r="B1848" s="57"/>
      <c r="C1848" s="57"/>
      <c r="D1848" s="57"/>
      <c r="E1848" s="57"/>
      <c r="F1848" s="57"/>
    </row>
    <row r="1849" spans="1:6" x14ac:dyDescent="0.25">
      <c r="A1849" s="1"/>
      <c r="B1849" s="57"/>
      <c r="C1849" s="57"/>
      <c r="D1849" s="57"/>
      <c r="E1849" s="57"/>
      <c r="F1849" s="57"/>
    </row>
    <row r="1850" spans="1:6" x14ac:dyDescent="0.25">
      <c r="A1850" s="1"/>
      <c r="B1850" s="57"/>
      <c r="C1850" s="57"/>
      <c r="D1850" s="57"/>
      <c r="E1850" s="57"/>
      <c r="F1850" s="57"/>
    </row>
    <row r="1851" spans="1:6" x14ac:dyDescent="0.25">
      <c r="A1851" s="1"/>
      <c r="B1851" s="57"/>
      <c r="C1851" s="57"/>
      <c r="D1851" s="57"/>
      <c r="E1851" s="57"/>
      <c r="F1851" s="57"/>
    </row>
    <row r="1852" spans="1:6" x14ac:dyDescent="0.25">
      <c r="A1852" s="1"/>
      <c r="B1852" s="57"/>
      <c r="C1852" s="57"/>
      <c r="D1852" s="57"/>
      <c r="E1852" s="57"/>
      <c r="F1852" s="57"/>
    </row>
    <row r="1853" spans="1:6" x14ac:dyDescent="0.25">
      <c r="A1853" s="1"/>
      <c r="B1853" s="57"/>
      <c r="C1853" s="57"/>
      <c r="D1853" s="57"/>
      <c r="E1853" s="57"/>
      <c r="F1853" s="57"/>
    </row>
    <row r="1854" spans="1:6" x14ac:dyDescent="0.25">
      <c r="A1854" s="1"/>
      <c r="B1854" s="57"/>
      <c r="C1854" s="57"/>
      <c r="D1854" s="57"/>
      <c r="E1854" s="57"/>
      <c r="F1854" s="57"/>
    </row>
    <row r="1855" spans="1:6" x14ac:dyDescent="0.25">
      <c r="A1855" s="1"/>
      <c r="B1855" s="57"/>
      <c r="C1855" s="57"/>
      <c r="D1855" s="57"/>
      <c r="E1855" s="57"/>
      <c r="F1855" s="57"/>
    </row>
    <row r="1856" spans="1:6" x14ac:dyDescent="0.25">
      <c r="A1856" s="1"/>
      <c r="B1856" s="57"/>
      <c r="C1856" s="57"/>
      <c r="D1856" s="57"/>
      <c r="E1856" s="57"/>
      <c r="F1856" s="57"/>
    </row>
    <row r="1857" spans="1:6" x14ac:dyDescent="0.25">
      <c r="A1857" s="1"/>
      <c r="B1857" s="57"/>
      <c r="C1857" s="57"/>
      <c r="D1857" s="57"/>
      <c r="E1857" s="57"/>
      <c r="F1857" s="57"/>
    </row>
    <row r="1858" spans="1:6" x14ac:dyDescent="0.25">
      <c r="A1858" s="1"/>
      <c r="B1858" s="57"/>
      <c r="C1858" s="57"/>
      <c r="D1858" s="57"/>
      <c r="E1858" s="57"/>
      <c r="F1858" s="57"/>
    </row>
    <row r="1859" spans="1:6" x14ac:dyDescent="0.25">
      <c r="A1859" s="1"/>
      <c r="B1859" s="57"/>
      <c r="C1859" s="57"/>
      <c r="D1859" s="57"/>
      <c r="E1859" s="57"/>
      <c r="F1859" s="57"/>
    </row>
    <row r="1860" spans="1:6" x14ac:dyDescent="0.25">
      <c r="A1860" s="1"/>
      <c r="B1860" s="57"/>
      <c r="C1860" s="57"/>
      <c r="D1860" s="57"/>
      <c r="E1860" s="57"/>
      <c r="F1860" s="57"/>
    </row>
    <row r="1861" spans="1:6" x14ac:dyDescent="0.25">
      <c r="A1861" s="1"/>
      <c r="B1861" s="57"/>
      <c r="C1861" s="57"/>
      <c r="D1861" s="57"/>
      <c r="E1861" s="57"/>
      <c r="F1861" s="57"/>
    </row>
    <row r="1862" spans="1:6" x14ac:dyDescent="0.25">
      <c r="A1862" s="1"/>
      <c r="B1862" s="57"/>
      <c r="C1862" s="57"/>
      <c r="D1862" s="57"/>
      <c r="E1862" s="57"/>
      <c r="F1862" s="57"/>
    </row>
    <row r="1863" spans="1:6" x14ac:dyDescent="0.25">
      <c r="A1863" s="1"/>
      <c r="B1863" s="57"/>
      <c r="C1863" s="57"/>
      <c r="D1863" s="57"/>
      <c r="E1863" s="57"/>
      <c r="F1863" s="57"/>
    </row>
    <row r="1864" spans="1:6" x14ac:dyDescent="0.25">
      <c r="A1864" s="1"/>
      <c r="B1864" s="57"/>
      <c r="C1864" s="57"/>
      <c r="D1864" s="57"/>
      <c r="E1864" s="57"/>
      <c r="F1864" s="57"/>
    </row>
    <row r="1865" spans="1:6" x14ac:dyDescent="0.25">
      <c r="A1865" s="1"/>
      <c r="B1865" s="57"/>
      <c r="C1865" s="57"/>
      <c r="D1865" s="57"/>
      <c r="E1865" s="57"/>
      <c r="F1865" s="57"/>
    </row>
    <row r="1866" spans="1:6" x14ac:dyDescent="0.25">
      <c r="A1866" s="1"/>
      <c r="B1866" s="57"/>
      <c r="C1866" s="57"/>
      <c r="D1866" s="57"/>
      <c r="E1866" s="57"/>
      <c r="F1866" s="57"/>
    </row>
    <row r="1867" spans="1:6" x14ac:dyDescent="0.25">
      <c r="A1867" s="1"/>
      <c r="B1867" s="57"/>
      <c r="C1867" s="57"/>
      <c r="D1867" s="57"/>
      <c r="E1867" s="57"/>
      <c r="F1867" s="57"/>
    </row>
    <row r="1868" spans="1:6" x14ac:dyDescent="0.25">
      <c r="A1868" s="1"/>
      <c r="B1868" s="57"/>
      <c r="C1868" s="57"/>
      <c r="D1868" s="57"/>
      <c r="E1868" s="57"/>
      <c r="F1868" s="57"/>
    </row>
    <row r="1869" spans="1:6" x14ac:dyDescent="0.25">
      <c r="A1869" s="1"/>
      <c r="B1869" s="57"/>
      <c r="C1869" s="57"/>
      <c r="D1869" s="57"/>
      <c r="E1869" s="57"/>
      <c r="F1869" s="57"/>
    </row>
    <row r="1870" spans="1:6" x14ac:dyDescent="0.25">
      <c r="A1870" s="1"/>
      <c r="B1870" s="57"/>
      <c r="C1870" s="57"/>
      <c r="D1870" s="57"/>
      <c r="E1870" s="57"/>
      <c r="F1870" s="57"/>
    </row>
    <row r="1871" spans="1:6" x14ac:dyDescent="0.25">
      <c r="A1871" s="1"/>
      <c r="B1871" s="57"/>
      <c r="C1871" s="57"/>
      <c r="D1871" s="57"/>
      <c r="E1871" s="57"/>
      <c r="F1871" s="57"/>
    </row>
    <row r="1872" spans="1:6" x14ac:dyDescent="0.25">
      <c r="A1872" s="1"/>
      <c r="B1872" s="57"/>
      <c r="C1872" s="57"/>
      <c r="D1872" s="57"/>
      <c r="E1872" s="57"/>
      <c r="F1872" s="57"/>
    </row>
    <row r="1873" spans="1:6" x14ac:dyDescent="0.25">
      <c r="A1873" s="1"/>
      <c r="B1873" s="57"/>
      <c r="C1873" s="57"/>
      <c r="D1873" s="57"/>
      <c r="E1873" s="57"/>
      <c r="F1873" s="57"/>
    </row>
    <row r="1874" spans="1:6" x14ac:dyDescent="0.25">
      <c r="A1874" s="1"/>
      <c r="B1874" s="57"/>
      <c r="C1874" s="57"/>
      <c r="D1874" s="57"/>
      <c r="E1874" s="57"/>
      <c r="F1874" s="57"/>
    </row>
    <row r="1875" spans="1:6" x14ac:dyDescent="0.25">
      <c r="A1875" s="1"/>
      <c r="B1875" s="57"/>
      <c r="C1875" s="57"/>
      <c r="D1875" s="57"/>
      <c r="E1875" s="57"/>
      <c r="F1875" s="57"/>
    </row>
    <row r="1876" spans="1:6" x14ac:dyDescent="0.25">
      <c r="A1876" s="1"/>
      <c r="B1876" s="57"/>
      <c r="C1876" s="57"/>
      <c r="D1876" s="57"/>
      <c r="E1876" s="57"/>
      <c r="F1876" s="57"/>
    </row>
    <row r="1877" spans="1:6" x14ac:dyDescent="0.25">
      <c r="A1877" s="1"/>
      <c r="B1877" s="57"/>
      <c r="C1877" s="57"/>
      <c r="D1877" s="57"/>
      <c r="E1877" s="57"/>
      <c r="F1877" s="57"/>
    </row>
    <row r="1878" spans="1:6" x14ac:dyDescent="0.25">
      <c r="A1878" s="1"/>
      <c r="B1878" s="57"/>
      <c r="C1878" s="57"/>
      <c r="D1878" s="57"/>
      <c r="E1878" s="57"/>
      <c r="F1878" s="57"/>
    </row>
    <row r="1879" spans="1:6" x14ac:dyDescent="0.25">
      <c r="A1879" s="1"/>
      <c r="B1879" s="57"/>
      <c r="C1879" s="57"/>
      <c r="D1879" s="57"/>
      <c r="E1879" s="57"/>
      <c r="F1879" s="57"/>
    </row>
    <row r="1880" spans="1:6" x14ac:dyDescent="0.25">
      <c r="A1880" s="1"/>
      <c r="B1880" s="57"/>
      <c r="C1880" s="57"/>
      <c r="D1880" s="57"/>
      <c r="E1880" s="57"/>
      <c r="F1880" s="57"/>
    </row>
    <row r="1881" spans="1:6" x14ac:dyDescent="0.25">
      <c r="A1881" s="1"/>
      <c r="B1881" s="57"/>
      <c r="C1881" s="57"/>
      <c r="D1881" s="57"/>
      <c r="E1881" s="57"/>
      <c r="F1881" s="57"/>
    </row>
    <row r="1882" spans="1:6" x14ac:dyDescent="0.25">
      <c r="A1882" s="1"/>
      <c r="B1882" s="57"/>
      <c r="C1882" s="57"/>
      <c r="D1882" s="57"/>
      <c r="E1882" s="57"/>
      <c r="F1882" s="57"/>
    </row>
    <row r="1883" spans="1:6" x14ac:dyDescent="0.25">
      <c r="A1883" s="1"/>
      <c r="B1883" s="57"/>
      <c r="C1883" s="57"/>
      <c r="D1883" s="57"/>
      <c r="E1883" s="57"/>
      <c r="F1883" s="57"/>
    </row>
    <row r="1884" spans="1:6" x14ac:dyDescent="0.25">
      <c r="A1884" s="1"/>
      <c r="B1884" s="57"/>
      <c r="C1884" s="57"/>
      <c r="D1884" s="57"/>
      <c r="E1884" s="57"/>
      <c r="F1884" s="57"/>
    </row>
    <row r="1885" spans="1:6" x14ac:dyDescent="0.25">
      <c r="A1885" s="1"/>
      <c r="B1885" s="57"/>
      <c r="C1885" s="57"/>
      <c r="D1885" s="57"/>
      <c r="E1885" s="57"/>
      <c r="F1885" s="57"/>
    </row>
    <row r="1886" spans="1:6" x14ac:dyDescent="0.25">
      <c r="A1886" s="1"/>
      <c r="B1886" s="57"/>
      <c r="C1886" s="57"/>
      <c r="D1886" s="57"/>
      <c r="E1886" s="57"/>
      <c r="F1886" s="57"/>
    </row>
    <row r="1887" spans="1:6" x14ac:dyDescent="0.25">
      <c r="A1887" s="1"/>
      <c r="B1887" s="57"/>
      <c r="C1887" s="57"/>
      <c r="D1887" s="57"/>
      <c r="E1887" s="57"/>
      <c r="F1887" s="57"/>
    </row>
    <row r="1888" spans="1:6" x14ac:dyDescent="0.25">
      <c r="A1888" s="1"/>
      <c r="B1888" s="57"/>
      <c r="C1888" s="57"/>
      <c r="D1888" s="57"/>
      <c r="E1888" s="57"/>
      <c r="F1888" s="57"/>
    </row>
    <row r="1889" spans="1:6" x14ac:dyDescent="0.25">
      <c r="A1889" s="1"/>
      <c r="B1889" s="57"/>
      <c r="C1889" s="57"/>
      <c r="D1889" s="57"/>
      <c r="E1889" s="57"/>
      <c r="F1889" s="57"/>
    </row>
    <row r="1890" spans="1:6" x14ac:dyDescent="0.25">
      <c r="A1890" s="1"/>
      <c r="B1890" s="57"/>
      <c r="C1890" s="57"/>
      <c r="D1890" s="57"/>
      <c r="E1890" s="57"/>
      <c r="F1890" s="57"/>
    </row>
    <row r="1891" spans="1:6" x14ac:dyDescent="0.25">
      <c r="A1891" s="1"/>
      <c r="B1891" s="57"/>
      <c r="C1891" s="57"/>
      <c r="D1891" s="57"/>
      <c r="E1891" s="57"/>
      <c r="F1891" s="57"/>
    </row>
    <row r="1892" spans="1:6" x14ac:dyDescent="0.25">
      <c r="A1892" s="1"/>
      <c r="B1892" s="57"/>
      <c r="C1892" s="57"/>
      <c r="D1892" s="57"/>
      <c r="E1892" s="57"/>
      <c r="F1892" s="57"/>
    </row>
    <row r="1893" spans="1:6" x14ac:dyDescent="0.25">
      <c r="A1893" s="1"/>
      <c r="B1893" s="57"/>
      <c r="C1893" s="57"/>
      <c r="D1893" s="57"/>
      <c r="E1893" s="57"/>
      <c r="F1893" s="57"/>
    </row>
    <row r="1894" spans="1:6" x14ac:dyDescent="0.25">
      <c r="A1894" s="1"/>
      <c r="B1894" s="57"/>
      <c r="C1894" s="57"/>
      <c r="D1894" s="57"/>
      <c r="E1894" s="57"/>
      <c r="F1894" s="57"/>
    </row>
    <row r="1895" spans="1:6" x14ac:dyDescent="0.25">
      <c r="A1895" s="1"/>
      <c r="B1895" s="57"/>
      <c r="C1895" s="57"/>
      <c r="D1895" s="57"/>
      <c r="E1895" s="57"/>
      <c r="F1895" s="57"/>
    </row>
    <row r="1896" spans="1:6" x14ac:dyDescent="0.25">
      <c r="A1896" s="1"/>
      <c r="B1896" s="57"/>
      <c r="C1896" s="57"/>
      <c r="D1896" s="57"/>
      <c r="E1896" s="57"/>
      <c r="F1896" s="57"/>
    </row>
    <row r="1897" spans="1:6" x14ac:dyDescent="0.25">
      <c r="A1897" s="1"/>
      <c r="B1897" s="57"/>
      <c r="C1897" s="57"/>
      <c r="D1897" s="57"/>
      <c r="E1897" s="57"/>
      <c r="F1897" s="57"/>
    </row>
    <row r="1898" spans="1:6" x14ac:dyDescent="0.25">
      <c r="A1898" s="1"/>
      <c r="B1898" s="57"/>
      <c r="C1898" s="57"/>
      <c r="D1898" s="57"/>
      <c r="E1898" s="57"/>
      <c r="F1898" s="57"/>
    </row>
    <row r="1899" spans="1:6" x14ac:dyDescent="0.25">
      <c r="A1899" s="1"/>
      <c r="B1899" s="57"/>
      <c r="C1899" s="57"/>
      <c r="D1899" s="57"/>
      <c r="E1899" s="57"/>
      <c r="F1899" s="57"/>
    </row>
    <row r="1900" spans="1:6" x14ac:dyDescent="0.25">
      <c r="A1900" s="1"/>
      <c r="B1900" s="57"/>
      <c r="C1900" s="57"/>
      <c r="D1900" s="57"/>
      <c r="E1900" s="57"/>
      <c r="F1900" s="57"/>
    </row>
    <row r="1901" spans="1:6" x14ac:dyDescent="0.25">
      <c r="A1901" s="1"/>
      <c r="B1901" s="57"/>
      <c r="C1901" s="57"/>
      <c r="D1901" s="57"/>
      <c r="E1901" s="57"/>
      <c r="F1901" s="57"/>
    </row>
    <row r="1902" spans="1:6" x14ac:dyDescent="0.25">
      <c r="A1902" s="1"/>
      <c r="B1902" s="57"/>
      <c r="C1902" s="57"/>
      <c r="D1902" s="57"/>
      <c r="E1902" s="57"/>
      <c r="F1902" s="57"/>
    </row>
    <row r="1903" spans="1:6" x14ac:dyDescent="0.25">
      <c r="A1903" s="1"/>
      <c r="B1903" s="57"/>
      <c r="C1903" s="57"/>
      <c r="D1903" s="57"/>
      <c r="E1903" s="57"/>
      <c r="F1903" s="57"/>
    </row>
    <row r="1904" spans="1:6" x14ac:dyDescent="0.25">
      <c r="A1904" s="1"/>
      <c r="B1904" s="57"/>
      <c r="C1904" s="57"/>
      <c r="D1904" s="57"/>
      <c r="E1904" s="57"/>
      <c r="F1904" s="57"/>
    </row>
    <row r="1905" spans="1:6" x14ac:dyDescent="0.25">
      <c r="A1905" s="1"/>
      <c r="B1905" s="57"/>
      <c r="C1905" s="57"/>
      <c r="D1905" s="57"/>
      <c r="E1905" s="57"/>
      <c r="F1905" s="57"/>
    </row>
    <row r="1906" spans="1:6" x14ac:dyDescent="0.25">
      <c r="A1906" s="1"/>
      <c r="B1906" s="57"/>
      <c r="C1906" s="57"/>
      <c r="D1906" s="57"/>
      <c r="E1906" s="57"/>
      <c r="F1906" s="57"/>
    </row>
    <row r="1907" spans="1:6" x14ac:dyDescent="0.25">
      <c r="A1907" s="1"/>
      <c r="B1907" s="57"/>
      <c r="C1907" s="57"/>
      <c r="D1907" s="57"/>
      <c r="E1907" s="57"/>
      <c r="F1907" s="57"/>
    </row>
    <row r="1908" spans="1:6" x14ac:dyDescent="0.25">
      <c r="A1908" s="1"/>
      <c r="B1908" s="57"/>
      <c r="C1908" s="57"/>
      <c r="D1908" s="57"/>
      <c r="E1908" s="57"/>
      <c r="F1908" s="57"/>
    </row>
    <row r="1909" spans="1:6" x14ac:dyDescent="0.25">
      <c r="A1909" s="1"/>
      <c r="B1909" s="57"/>
      <c r="C1909" s="57"/>
      <c r="D1909" s="57"/>
      <c r="E1909" s="57"/>
      <c r="F1909" s="57"/>
    </row>
    <row r="1910" spans="1:6" x14ac:dyDescent="0.25">
      <c r="A1910" s="1"/>
      <c r="B1910" s="57"/>
      <c r="C1910" s="57"/>
      <c r="D1910" s="57"/>
      <c r="E1910" s="57"/>
      <c r="F1910" s="57"/>
    </row>
    <row r="1911" spans="1:6" x14ac:dyDescent="0.25">
      <c r="A1911" s="1"/>
      <c r="B1911" s="57"/>
      <c r="C1911" s="57"/>
      <c r="D1911" s="57"/>
      <c r="E1911" s="57"/>
      <c r="F1911" s="57"/>
    </row>
    <row r="1912" spans="1:6" x14ac:dyDescent="0.25">
      <c r="A1912" s="1"/>
      <c r="B1912" s="57"/>
      <c r="C1912" s="57"/>
      <c r="D1912" s="57"/>
      <c r="E1912" s="57"/>
      <c r="F1912" s="57"/>
    </row>
    <row r="1913" spans="1:6" x14ac:dyDescent="0.25">
      <c r="A1913" s="1"/>
      <c r="B1913" s="57"/>
      <c r="C1913" s="57"/>
      <c r="D1913" s="57"/>
      <c r="E1913" s="57"/>
      <c r="F1913" s="57"/>
    </row>
    <row r="1914" spans="1:6" x14ac:dyDescent="0.25">
      <c r="A1914" s="1"/>
      <c r="B1914" s="57"/>
      <c r="C1914" s="57"/>
      <c r="D1914" s="57"/>
      <c r="E1914" s="57"/>
      <c r="F1914" s="57"/>
    </row>
    <row r="1915" spans="1:6" x14ac:dyDescent="0.25">
      <c r="A1915" s="1"/>
      <c r="B1915" s="57"/>
      <c r="C1915" s="57"/>
      <c r="D1915" s="57"/>
      <c r="E1915" s="57"/>
      <c r="F1915" s="57"/>
    </row>
    <row r="1916" spans="1:6" x14ac:dyDescent="0.25">
      <c r="A1916" s="1"/>
      <c r="B1916" s="57"/>
      <c r="C1916" s="57"/>
      <c r="D1916" s="57"/>
      <c r="E1916" s="57"/>
      <c r="F1916" s="57"/>
    </row>
    <row r="1917" spans="1:6" x14ac:dyDescent="0.25">
      <c r="A1917" s="1"/>
      <c r="B1917" s="57"/>
      <c r="C1917" s="57"/>
      <c r="D1917" s="57"/>
      <c r="E1917" s="57"/>
      <c r="F1917" s="57"/>
    </row>
    <row r="1918" spans="1:6" x14ac:dyDescent="0.25">
      <c r="A1918" s="1"/>
      <c r="B1918" s="57"/>
      <c r="C1918" s="57"/>
      <c r="D1918" s="57"/>
      <c r="E1918" s="57"/>
      <c r="F1918" s="57"/>
    </row>
    <row r="1919" spans="1:6" x14ac:dyDescent="0.25">
      <c r="A1919" s="1"/>
      <c r="B1919" s="57"/>
      <c r="C1919" s="57"/>
      <c r="D1919" s="57"/>
      <c r="E1919" s="57"/>
      <c r="F1919" s="57"/>
    </row>
    <row r="1920" spans="1:6" x14ac:dyDescent="0.25">
      <c r="A1920" s="1"/>
      <c r="B1920" s="57"/>
      <c r="C1920" s="57"/>
      <c r="D1920" s="57"/>
      <c r="E1920" s="57"/>
      <c r="F1920" s="57"/>
    </row>
    <row r="1921" spans="1:6" x14ac:dyDescent="0.25">
      <c r="A1921" s="1"/>
      <c r="B1921" s="57"/>
      <c r="C1921" s="57"/>
      <c r="D1921" s="57"/>
      <c r="E1921" s="57"/>
      <c r="F1921" s="57"/>
    </row>
    <row r="1922" spans="1:6" x14ac:dyDescent="0.25">
      <c r="A1922" s="1"/>
      <c r="B1922" s="57"/>
      <c r="C1922" s="57"/>
      <c r="D1922" s="57"/>
      <c r="E1922" s="57"/>
      <c r="F1922" s="57"/>
    </row>
    <row r="1923" spans="1:6" x14ac:dyDescent="0.25">
      <c r="A1923" s="1"/>
      <c r="B1923" s="57"/>
      <c r="C1923" s="57"/>
      <c r="D1923" s="57"/>
      <c r="E1923" s="57"/>
      <c r="F1923" s="57"/>
    </row>
    <row r="1924" spans="1:6" x14ac:dyDescent="0.25">
      <c r="A1924" s="1"/>
      <c r="B1924" s="57"/>
      <c r="C1924" s="57"/>
      <c r="D1924" s="57"/>
      <c r="E1924" s="57"/>
      <c r="F1924" s="57"/>
    </row>
    <row r="1925" spans="1:6" x14ac:dyDescent="0.25">
      <c r="A1925" s="1"/>
      <c r="B1925" s="57"/>
      <c r="C1925" s="57"/>
      <c r="D1925" s="57"/>
      <c r="E1925" s="57"/>
      <c r="F1925" s="57"/>
    </row>
    <row r="1926" spans="1:6" x14ac:dyDescent="0.25">
      <c r="A1926" s="1"/>
      <c r="B1926" s="57"/>
      <c r="C1926" s="57"/>
      <c r="D1926" s="57"/>
      <c r="E1926" s="57"/>
      <c r="F1926" s="57"/>
    </row>
    <row r="1927" spans="1:6" x14ac:dyDescent="0.25">
      <c r="A1927" s="1"/>
      <c r="B1927" s="57"/>
      <c r="C1927" s="57"/>
      <c r="D1927" s="57"/>
      <c r="E1927" s="57"/>
      <c r="F1927" s="57"/>
    </row>
    <row r="1928" spans="1:6" x14ac:dyDescent="0.25">
      <c r="A1928" s="1"/>
      <c r="B1928" s="57"/>
      <c r="C1928" s="57"/>
      <c r="D1928" s="57"/>
      <c r="E1928" s="57"/>
      <c r="F1928" s="57"/>
    </row>
    <row r="1929" spans="1:6" x14ac:dyDescent="0.25">
      <c r="A1929" s="1"/>
      <c r="B1929" s="57"/>
      <c r="C1929" s="57"/>
      <c r="D1929" s="57"/>
      <c r="E1929" s="57"/>
      <c r="F1929" s="57"/>
    </row>
    <row r="1930" spans="1:6" x14ac:dyDescent="0.25">
      <c r="A1930" s="1"/>
      <c r="B1930" s="57"/>
      <c r="C1930" s="57"/>
      <c r="D1930" s="57"/>
      <c r="E1930" s="57"/>
      <c r="F1930" s="57"/>
    </row>
    <row r="1931" spans="1:6" x14ac:dyDescent="0.25">
      <c r="A1931" s="1"/>
      <c r="B1931" s="57"/>
      <c r="C1931" s="57"/>
      <c r="D1931" s="57"/>
      <c r="E1931" s="57"/>
      <c r="F1931" s="57"/>
    </row>
    <row r="1932" spans="1:6" x14ac:dyDescent="0.25">
      <c r="A1932" s="1"/>
      <c r="B1932" s="57"/>
      <c r="C1932" s="57"/>
      <c r="D1932" s="57"/>
      <c r="E1932" s="57"/>
      <c r="F1932" s="57"/>
    </row>
    <row r="1933" spans="1:6" x14ac:dyDescent="0.25">
      <c r="A1933" s="1"/>
      <c r="B1933" s="57"/>
      <c r="C1933" s="57"/>
      <c r="D1933" s="57"/>
      <c r="E1933" s="57"/>
      <c r="F1933" s="57"/>
    </row>
    <row r="1934" spans="1:6" x14ac:dyDescent="0.25">
      <c r="A1934" s="1"/>
      <c r="B1934" s="57"/>
      <c r="C1934" s="57"/>
      <c r="D1934" s="57"/>
      <c r="E1934" s="57"/>
      <c r="F1934" s="57"/>
    </row>
    <row r="1935" spans="1:6" x14ac:dyDescent="0.25">
      <c r="A1935" s="1"/>
      <c r="B1935" s="57"/>
      <c r="C1935" s="57"/>
      <c r="D1935" s="57"/>
      <c r="E1935" s="57"/>
      <c r="F1935" s="57"/>
    </row>
    <row r="1936" spans="1:6" x14ac:dyDescent="0.25">
      <c r="A1936" s="1"/>
      <c r="B1936" s="57"/>
      <c r="C1936" s="57"/>
      <c r="D1936" s="57"/>
      <c r="E1936" s="57"/>
      <c r="F1936" s="57"/>
    </row>
    <row r="1937" spans="1:6" x14ac:dyDescent="0.25">
      <c r="A1937" s="1"/>
      <c r="B1937" s="57"/>
      <c r="C1937" s="57"/>
      <c r="D1937" s="57"/>
      <c r="E1937" s="57"/>
      <c r="F1937" s="57"/>
    </row>
    <row r="1938" spans="1:6" x14ac:dyDescent="0.25">
      <c r="A1938" s="1"/>
      <c r="B1938" s="57"/>
      <c r="C1938" s="57"/>
      <c r="D1938" s="57"/>
      <c r="E1938" s="57"/>
      <c r="F1938" s="57"/>
    </row>
    <row r="1939" spans="1:6" x14ac:dyDescent="0.25">
      <c r="A1939" s="1"/>
      <c r="B1939" s="57"/>
      <c r="C1939" s="57"/>
      <c r="D1939" s="57"/>
      <c r="E1939" s="57"/>
      <c r="F1939" s="57"/>
    </row>
    <row r="1940" spans="1:6" x14ac:dyDescent="0.25">
      <c r="A1940" s="1"/>
      <c r="B1940" s="57"/>
      <c r="C1940" s="57"/>
      <c r="D1940" s="57"/>
      <c r="E1940" s="57"/>
      <c r="F1940" s="57"/>
    </row>
    <row r="1941" spans="1:6" x14ac:dyDescent="0.25">
      <c r="A1941" s="1"/>
      <c r="B1941" s="57"/>
      <c r="C1941" s="57"/>
      <c r="D1941" s="57"/>
      <c r="E1941" s="57"/>
      <c r="F1941" s="57"/>
    </row>
    <row r="1942" spans="1:6" x14ac:dyDescent="0.25">
      <c r="A1942" s="1"/>
      <c r="B1942" s="57"/>
      <c r="C1942" s="57"/>
      <c r="D1942" s="57"/>
      <c r="E1942" s="57"/>
      <c r="F1942" s="57"/>
    </row>
    <row r="1943" spans="1:6" x14ac:dyDescent="0.25">
      <c r="A1943" s="1"/>
      <c r="B1943" s="57"/>
      <c r="C1943" s="57"/>
      <c r="D1943" s="57"/>
      <c r="E1943" s="57"/>
      <c r="F1943" s="57"/>
    </row>
    <row r="1944" spans="1:6" x14ac:dyDescent="0.25">
      <c r="A1944" s="1"/>
      <c r="B1944" s="57"/>
      <c r="C1944" s="57"/>
      <c r="D1944" s="57"/>
      <c r="E1944" s="57"/>
      <c r="F1944" s="57"/>
    </row>
    <row r="1945" spans="1:6" x14ac:dyDescent="0.25">
      <c r="A1945" s="1"/>
      <c r="B1945" s="57"/>
      <c r="C1945" s="57"/>
      <c r="D1945" s="57"/>
      <c r="E1945" s="57"/>
      <c r="F1945" s="57"/>
    </row>
    <row r="1946" spans="1:6" x14ac:dyDescent="0.25">
      <c r="A1946" s="1"/>
      <c r="B1946" s="57"/>
      <c r="C1946" s="57"/>
      <c r="D1946" s="57"/>
      <c r="E1946" s="57"/>
      <c r="F1946" s="57"/>
    </row>
    <row r="1947" spans="1:6" x14ac:dyDescent="0.25">
      <c r="A1947" s="1"/>
      <c r="B1947" s="57"/>
      <c r="C1947" s="57"/>
      <c r="D1947" s="57"/>
      <c r="E1947" s="57"/>
      <c r="F1947" s="57"/>
    </row>
    <row r="1948" spans="1:6" x14ac:dyDescent="0.25">
      <c r="A1948" s="1"/>
      <c r="B1948" s="57"/>
      <c r="C1948" s="57"/>
      <c r="D1948" s="57"/>
      <c r="E1948" s="57"/>
      <c r="F1948" s="57"/>
    </row>
    <row r="1949" spans="1:6" x14ac:dyDescent="0.25">
      <c r="A1949" s="1"/>
      <c r="B1949" s="57"/>
      <c r="C1949" s="57"/>
      <c r="D1949" s="57"/>
      <c r="E1949" s="57"/>
      <c r="F1949" s="57"/>
    </row>
    <row r="1950" spans="1:6" x14ac:dyDescent="0.25">
      <c r="A1950" s="1"/>
      <c r="B1950" s="57"/>
      <c r="C1950" s="57"/>
      <c r="D1950" s="57"/>
      <c r="E1950" s="57"/>
      <c r="F1950" s="57"/>
    </row>
    <row r="1951" spans="1:6" x14ac:dyDescent="0.25">
      <c r="A1951" s="1"/>
      <c r="B1951" s="57"/>
      <c r="C1951" s="57"/>
      <c r="D1951" s="57"/>
      <c r="E1951" s="57"/>
      <c r="F1951" s="57"/>
    </row>
    <row r="1952" spans="1:6" x14ac:dyDescent="0.25">
      <c r="A1952" s="1"/>
      <c r="B1952" s="57"/>
      <c r="C1952" s="57"/>
      <c r="D1952" s="57"/>
      <c r="E1952" s="57"/>
      <c r="F1952" s="57"/>
    </row>
    <row r="1953" spans="1:6" x14ac:dyDescent="0.25">
      <c r="A1953" s="1"/>
      <c r="B1953" s="57"/>
      <c r="C1953" s="57"/>
      <c r="D1953" s="57"/>
      <c r="E1953" s="57"/>
      <c r="F1953" s="57"/>
    </row>
    <row r="1954" spans="1:6" x14ac:dyDescent="0.25">
      <c r="A1954" s="1"/>
      <c r="B1954" s="57"/>
      <c r="C1954" s="57"/>
      <c r="D1954" s="57"/>
      <c r="E1954" s="57"/>
      <c r="F1954" s="57"/>
    </row>
    <row r="1955" spans="1:6" x14ac:dyDescent="0.25">
      <c r="A1955" s="1"/>
      <c r="B1955" s="57"/>
      <c r="C1955" s="57"/>
      <c r="D1955" s="57"/>
      <c r="E1955" s="57"/>
      <c r="F1955" s="57"/>
    </row>
    <row r="1956" spans="1:6" x14ac:dyDescent="0.25">
      <c r="A1956" s="1"/>
      <c r="B1956" s="57"/>
      <c r="C1956" s="57"/>
      <c r="D1956" s="57"/>
      <c r="E1956" s="57"/>
      <c r="F1956" s="57"/>
    </row>
    <row r="1957" spans="1:6" x14ac:dyDescent="0.25">
      <c r="A1957" s="1"/>
      <c r="B1957" s="57"/>
      <c r="C1957" s="57"/>
      <c r="D1957" s="57"/>
      <c r="E1957" s="57"/>
      <c r="F1957" s="57"/>
    </row>
    <row r="1958" spans="1:6" x14ac:dyDescent="0.25">
      <c r="A1958" s="1"/>
      <c r="B1958" s="57"/>
      <c r="C1958" s="57"/>
      <c r="D1958" s="57"/>
      <c r="E1958" s="57"/>
      <c r="F1958" s="57"/>
    </row>
    <row r="1959" spans="1:6" x14ac:dyDescent="0.25">
      <c r="A1959" s="1"/>
      <c r="B1959" s="57"/>
      <c r="C1959" s="57"/>
      <c r="D1959" s="57"/>
      <c r="E1959" s="57"/>
      <c r="F1959" s="57"/>
    </row>
    <row r="1960" spans="1:6" x14ac:dyDescent="0.25">
      <c r="A1960" s="1"/>
      <c r="B1960" s="57"/>
      <c r="C1960" s="57"/>
      <c r="D1960" s="57"/>
      <c r="E1960" s="57"/>
      <c r="F1960" s="57"/>
    </row>
    <row r="1961" spans="1:6" x14ac:dyDescent="0.25">
      <c r="A1961" s="1"/>
      <c r="B1961" s="57"/>
      <c r="C1961" s="57"/>
      <c r="D1961" s="57"/>
      <c r="E1961" s="57"/>
      <c r="F1961" s="57"/>
    </row>
    <row r="1962" spans="1:6" x14ac:dyDescent="0.25">
      <c r="A1962" s="1"/>
      <c r="B1962" s="57"/>
      <c r="C1962" s="57"/>
      <c r="D1962" s="57"/>
      <c r="E1962" s="57"/>
      <c r="F1962" s="57"/>
    </row>
    <row r="1963" spans="1:6" x14ac:dyDescent="0.25">
      <c r="A1963" s="1"/>
      <c r="B1963" s="57"/>
      <c r="C1963" s="57"/>
      <c r="D1963" s="57"/>
      <c r="E1963" s="57"/>
      <c r="F1963" s="57"/>
    </row>
    <row r="1964" spans="1:6" x14ac:dyDescent="0.25">
      <c r="A1964" s="1"/>
      <c r="B1964" s="57"/>
      <c r="C1964" s="57"/>
      <c r="D1964" s="57"/>
      <c r="E1964" s="57"/>
      <c r="F1964" s="57"/>
    </row>
    <row r="1965" spans="1:6" x14ac:dyDescent="0.25">
      <c r="A1965" s="1"/>
      <c r="B1965" s="57"/>
      <c r="C1965" s="57"/>
      <c r="D1965" s="57"/>
      <c r="E1965" s="57"/>
      <c r="F1965" s="57"/>
    </row>
    <row r="1966" spans="1:6" x14ac:dyDescent="0.25">
      <c r="A1966" s="1"/>
      <c r="B1966" s="57"/>
      <c r="C1966" s="57"/>
      <c r="D1966" s="57"/>
      <c r="E1966" s="57"/>
      <c r="F1966" s="57"/>
    </row>
    <row r="1967" spans="1:6" x14ac:dyDescent="0.25">
      <c r="A1967" s="1"/>
      <c r="B1967" s="57"/>
      <c r="C1967" s="57"/>
      <c r="D1967" s="57"/>
      <c r="E1967" s="57"/>
      <c r="F1967" s="57"/>
    </row>
    <row r="1968" spans="1:6" x14ac:dyDescent="0.25">
      <c r="A1968" s="1"/>
      <c r="B1968" s="57"/>
      <c r="C1968" s="57"/>
      <c r="D1968" s="57"/>
      <c r="E1968" s="57"/>
      <c r="F1968" s="57"/>
    </row>
    <row r="1969" spans="1:6" x14ac:dyDescent="0.25">
      <c r="A1969" s="1"/>
      <c r="B1969" s="57"/>
      <c r="C1969" s="57"/>
      <c r="D1969" s="57"/>
      <c r="E1969" s="57"/>
      <c r="F1969" s="57"/>
    </row>
    <row r="1970" spans="1:6" x14ac:dyDescent="0.25">
      <c r="A1970" s="1"/>
      <c r="B1970" s="57"/>
      <c r="C1970" s="57"/>
      <c r="D1970" s="57"/>
      <c r="E1970" s="57"/>
      <c r="F1970" s="57"/>
    </row>
    <row r="1971" spans="1:6" x14ac:dyDescent="0.25">
      <c r="A1971" s="1"/>
      <c r="B1971" s="57"/>
      <c r="C1971" s="57"/>
      <c r="D1971" s="57"/>
      <c r="E1971" s="57"/>
      <c r="F1971" s="57"/>
    </row>
    <row r="1972" spans="1:6" x14ac:dyDescent="0.25">
      <c r="A1972" s="1"/>
      <c r="B1972" s="57"/>
      <c r="C1972" s="57"/>
      <c r="D1972" s="57"/>
      <c r="E1972" s="57"/>
      <c r="F1972" s="57"/>
    </row>
    <row r="1973" spans="1:6" x14ac:dyDescent="0.25">
      <c r="A1973" s="1"/>
      <c r="B1973" s="57"/>
      <c r="C1973" s="57"/>
      <c r="D1973" s="57"/>
      <c r="E1973" s="57"/>
      <c r="F1973" s="57"/>
    </row>
    <row r="1974" spans="1:6" x14ac:dyDescent="0.25">
      <c r="A1974" s="1"/>
      <c r="B1974" s="57"/>
      <c r="C1974" s="57"/>
      <c r="D1974" s="57"/>
      <c r="E1974" s="57"/>
      <c r="F1974" s="57"/>
    </row>
    <row r="1975" spans="1:6" x14ac:dyDescent="0.25">
      <c r="A1975" s="1"/>
      <c r="B1975" s="57"/>
      <c r="C1975" s="57"/>
      <c r="D1975" s="57"/>
      <c r="E1975" s="57"/>
      <c r="F1975" s="57"/>
    </row>
    <row r="1976" spans="1:6" x14ac:dyDescent="0.25">
      <c r="A1976" s="1"/>
      <c r="B1976" s="57"/>
      <c r="C1976" s="57"/>
      <c r="D1976" s="57"/>
      <c r="E1976" s="57"/>
      <c r="F1976" s="57"/>
    </row>
    <row r="1977" spans="1:6" x14ac:dyDescent="0.25">
      <c r="A1977" s="1"/>
      <c r="B1977" s="57"/>
      <c r="C1977" s="57"/>
      <c r="D1977" s="57"/>
      <c r="E1977" s="57"/>
      <c r="F1977" s="57"/>
    </row>
    <row r="1978" spans="1:6" x14ac:dyDescent="0.25">
      <c r="A1978" s="1"/>
      <c r="B1978" s="57"/>
      <c r="C1978" s="57"/>
      <c r="D1978" s="57"/>
      <c r="E1978" s="57"/>
      <c r="F1978" s="57"/>
    </row>
    <row r="1979" spans="1:6" x14ac:dyDescent="0.25">
      <c r="A1979" s="1"/>
      <c r="B1979" s="57"/>
      <c r="C1979" s="57"/>
      <c r="D1979" s="57"/>
      <c r="E1979" s="57"/>
      <c r="F1979" s="57"/>
    </row>
    <row r="1980" spans="1:6" x14ac:dyDescent="0.25">
      <c r="A1980" s="1"/>
      <c r="B1980" s="57"/>
      <c r="C1980" s="57"/>
      <c r="D1980" s="57"/>
      <c r="E1980" s="57"/>
      <c r="F1980" s="57"/>
    </row>
    <row r="1981" spans="1:6" x14ac:dyDescent="0.25">
      <c r="A1981" s="1"/>
      <c r="B1981" s="57"/>
      <c r="C1981" s="57"/>
      <c r="D1981" s="57"/>
      <c r="E1981" s="57"/>
      <c r="F1981" s="57"/>
    </row>
    <row r="1982" spans="1:6" x14ac:dyDescent="0.25">
      <c r="A1982" s="1"/>
      <c r="B1982" s="57"/>
      <c r="C1982" s="57"/>
      <c r="D1982" s="57"/>
      <c r="E1982" s="57"/>
      <c r="F1982" s="57"/>
    </row>
    <row r="1983" spans="1:6" x14ac:dyDescent="0.25">
      <c r="A1983" s="1"/>
      <c r="B1983" s="57"/>
      <c r="C1983" s="57"/>
      <c r="D1983" s="57"/>
      <c r="E1983" s="57"/>
      <c r="F1983" s="57"/>
    </row>
    <row r="1984" spans="1:6" x14ac:dyDescent="0.25">
      <c r="A1984" s="1"/>
      <c r="B1984" s="57"/>
      <c r="C1984" s="57"/>
      <c r="D1984" s="57"/>
      <c r="E1984" s="57"/>
      <c r="F1984" s="57"/>
    </row>
    <row r="1985" spans="1:6" x14ac:dyDescent="0.25">
      <c r="A1985" s="1"/>
      <c r="B1985" s="57"/>
      <c r="C1985" s="57"/>
      <c r="D1985" s="57"/>
      <c r="E1985" s="57"/>
      <c r="F1985" s="57"/>
    </row>
    <row r="1986" spans="1:6" x14ac:dyDescent="0.25">
      <c r="A1986" s="1"/>
      <c r="B1986" s="57"/>
      <c r="C1986" s="57"/>
      <c r="D1986" s="57"/>
      <c r="E1986" s="57"/>
      <c r="F1986" s="57"/>
    </row>
    <row r="1987" spans="1:6" x14ac:dyDescent="0.25">
      <c r="A1987" s="1"/>
      <c r="B1987" s="57"/>
      <c r="C1987" s="57"/>
      <c r="D1987" s="57"/>
      <c r="E1987" s="57"/>
      <c r="F1987" s="57"/>
    </row>
    <row r="1988" spans="1:6" x14ac:dyDescent="0.25">
      <c r="A1988" s="1"/>
      <c r="B1988" s="57"/>
      <c r="C1988" s="57"/>
      <c r="D1988" s="57"/>
      <c r="E1988" s="57"/>
      <c r="F1988" s="57"/>
    </row>
    <row r="1989" spans="1:6" x14ac:dyDescent="0.25">
      <c r="A1989" s="1"/>
      <c r="B1989" s="57"/>
      <c r="C1989" s="57"/>
      <c r="D1989" s="57"/>
      <c r="E1989" s="57"/>
      <c r="F1989" s="57"/>
    </row>
    <row r="1990" spans="1:6" x14ac:dyDescent="0.25">
      <c r="A1990" s="1"/>
      <c r="B1990" s="57"/>
      <c r="C1990" s="57"/>
      <c r="D1990" s="57"/>
      <c r="E1990" s="57"/>
      <c r="F1990" s="57"/>
    </row>
    <row r="1991" spans="1:6" x14ac:dyDescent="0.25">
      <c r="A1991" s="1"/>
      <c r="B1991" s="57"/>
      <c r="C1991" s="57"/>
      <c r="D1991" s="57"/>
      <c r="E1991" s="57"/>
      <c r="F1991" s="57"/>
    </row>
    <row r="1992" spans="1:6" x14ac:dyDescent="0.25">
      <c r="A1992" s="1"/>
      <c r="B1992" s="57"/>
      <c r="C1992" s="57"/>
      <c r="D1992" s="57"/>
      <c r="E1992" s="57"/>
      <c r="F1992" s="57"/>
    </row>
    <row r="1993" spans="1:6" x14ac:dyDescent="0.25">
      <c r="A1993" s="1"/>
      <c r="B1993" s="57"/>
      <c r="C1993" s="57"/>
      <c r="D1993" s="57"/>
      <c r="E1993" s="57"/>
      <c r="F1993" s="57"/>
    </row>
    <row r="1994" spans="1:6" x14ac:dyDescent="0.25">
      <c r="A1994" s="1"/>
      <c r="B1994" s="57"/>
      <c r="C1994" s="57"/>
      <c r="D1994" s="57"/>
      <c r="E1994" s="57"/>
      <c r="F1994" s="57"/>
    </row>
    <row r="1995" spans="1:6" x14ac:dyDescent="0.25">
      <c r="A1995" s="1"/>
      <c r="B1995" s="57"/>
      <c r="C1995" s="57"/>
      <c r="D1995" s="57"/>
      <c r="E1995" s="57"/>
      <c r="F1995" s="57"/>
    </row>
    <row r="1996" spans="1:6" x14ac:dyDescent="0.25">
      <c r="A1996" s="1"/>
      <c r="B1996" s="57"/>
      <c r="C1996" s="57"/>
      <c r="D1996" s="57"/>
      <c r="E1996" s="57"/>
      <c r="F1996" s="57"/>
    </row>
    <row r="1997" spans="1:6" x14ac:dyDescent="0.25">
      <c r="A1997" s="1"/>
      <c r="B1997" s="57"/>
      <c r="C1997" s="57"/>
      <c r="D1997" s="57"/>
      <c r="E1997" s="57"/>
      <c r="F1997" s="57"/>
    </row>
    <row r="1998" spans="1:6" x14ac:dyDescent="0.25">
      <c r="A1998" s="1"/>
      <c r="B1998" s="57"/>
      <c r="C1998" s="57"/>
      <c r="D1998" s="57"/>
      <c r="E1998" s="57"/>
      <c r="F1998" s="57"/>
    </row>
    <row r="1999" spans="1:6" x14ac:dyDescent="0.25">
      <c r="A1999" s="1"/>
      <c r="B1999" s="57"/>
      <c r="C1999" s="57"/>
      <c r="D1999" s="57"/>
      <c r="E1999" s="57"/>
      <c r="F1999" s="57"/>
    </row>
    <row r="2000" spans="1:6" x14ac:dyDescent="0.25">
      <c r="A2000" s="1"/>
      <c r="B2000" s="57"/>
      <c r="C2000" s="57"/>
      <c r="D2000" s="57"/>
      <c r="E2000" s="57"/>
      <c r="F2000" s="57"/>
    </row>
    <row r="2001" spans="1:6" x14ac:dyDescent="0.25">
      <c r="A2001" s="1"/>
      <c r="B2001" s="57"/>
      <c r="C2001" s="57"/>
      <c r="D2001" s="57"/>
      <c r="E2001" s="57"/>
      <c r="F2001" s="57"/>
    </row>
    <row r="2002" spans="1:6" x14ac:dyDescent="0.25">
      <c r="A2002" s="1"/>
      <c r="B2002" s="57"/>
      <c r="C2002" s="57"/>
      <c r="D2002" s="57"/>
      <c r="E2002" s="57"/>
      <c r="F2002" s="57"/>
    </row>
    <row r="2003" spans="1:6" x14ac:dyDescent="0.25">
      <c r="A2003" s="1"/>
      <c r="B2003" s="57"/>
      <c r="C2003" s="57"/>
      <c r="D2003" s="57"/>
      <c r="E2003" s="57"/>
      <c r="F2003" s="57"/>
    </row>
    <row r="2004" spans="1:6" x14ac:dyDescent="0.25">
      <c r="A2004" s="1"/>
      <c r="B2004" s="57"/>
      <c r="C2004" s="57"/>
      <c r="D2004" s="57"/>
      <c r="E2004" s="57"/>
      <c r="F2004" s="57"/>
    </row>
    <row r="2005" spans="1:6" x14ac:dyDescent="0.25">
      <c r="A2005" s="1"/>
      <c r="B2005" s="57"/>
      <c r="C2005" s="57"/>
      <c r="D2005" s="57"/>
      <c r="E2005" s="57"/>
      <c r="F2005" s="57"/>
    </row>
    <row r="2006" spans="1:6" x14ac:dyDescent="0.25">
      <c r="A2006" s="1"/>
      <c r="B2006" s="57"/>
      <c r="C2006" s="57"/>
      <c r="D2006" s="57"/>
      <c r="E2006" s="57"/>
      <c r="F2006" s="57"/>
    </row>
    <row r="2007" spans="1:6" x14ac:dyDescent="0.25">
      <c r="A2007" s="1"/>
      <c r="B2007" s="57"/>
      <c r="C2007" s="57"/>
      <c r="D2007" s="57"/>
      <c r="E2007" s="57"/>
      <c r="F2007" s="57"/>
    </row>
    <row r="2008" spans="1:6" x14ac:dyDescent="0.25">
      <c r="A2008" s="1"/>
      <c r="B2008" s="57"/>
      <c r="C2008" s="57"/>
      <c r="D2008" s="57"/>
      <c r="E2008" s="57"/>
      <c r="F2008" s="57"/>
    </row>
    <row r="2009" spans="1:6" x14ac:dyDescent="0.25">
      <c r="A2009" s="1"/>
      <c r="B2009" s="57"/>
      <c r="C2009" s="57"/>
      <c r="D2009" s="57"/>
      <c r="E2009" s="57"/>
      <c r="F2009" s="57"/>
    </row>
    <row r="2010" spans="1:6" x14ac:dyDescent="0.25">
      <c r="A2010" s="1"/>
      <c r="B2010" s="57"/>
      <c r="C2010" s="57"/>
      <c r="D2010" s="57"/>
      <c r="E2010" s="57"/>
      <c r="F2010" s="57"/>
    </row>
    <row r="2011" spans="1:6" x14ac:dyDescent="0.25">
      <c r="A2011" s="1"/>
      <c r="B2011" s="57"/>
      <c r="C2011" s="57"/>
      <c r="D2011" s="57"/>
      <c r="E2011" s="57"/>
      <c r="F2011" s="57"/>
    </row>
    <row r="2012" spans="1:6" x14ac:dyDescent="0.25">
      <c r="A2012" s="1"/>
      <c r="B2012" s="57"/>
      <c r="C2012" s="57"/>
      <c r="D2012" s="57"/>
      <c r="E2012" s="57"/>
      <c r="F2012" s="57"/>
    </row>
    <row r="2013" spans="1:6" x14ac:dyDescent="0.25">
      <c r="A2013" s="1"/>
      <c r="B2013" s="57"/>
      <c r="C2013" s="57"/>
      <c r="D2013" s="57"/>
      <c r="E2013" s="57"/>
      <c r="F2013" s="57"/>
    </row>
    <row r="2014" spans="1:6" x14ac:dyDescent="0.25">
      <c r="A2014" s="1"/>
      <c r="B2014" s="57"/>
      <c r="C2014" s="57"/>
      <c r="D2014" s="57"/>
      <c r="E2014" s="57"/>
      <c r="F2014" s="57"/>
    </row>
    <row r="2015" spans="1:6" x14ac:dyDescent="0.25">
      <c r="A2015" s="1"/>
      <c r="B2015" s="57"/>
      <c r="C2015" s="57"/>
      <c r="D2015" s="57"/>
      <c r="E2015" s="57"/>
      <c r="F2015" s="57"/>
    </row>
    <row r="2016" spans="1:6" x14ac:dyDescent="0.25">
      <c r="A2016" s="1"/>
      <c r="B2016" s="57"/>
      <c r="C2016" s="57"/>
      <c r="D2016" s="57"/>
      <c r="E2016" s="57"/>
      <c r="F2016" s="57"/>
    </row>
    <row r="2017" spans="1:6" x14ac:dyDescent="0.25">
      <c r="A2017" s="1"/>
      <c r="B2017" s="57"/>
      <c r="C2017" s="57"/>
      <c r="D2017" s="57"/>
      <c r="E2017" s="57"/>
      <c r="F2017" s="57"/>
    </row>
    <row r="2018" spans="1:6" x14ac:dyDescent="0.25">
      <c r="A2018" s="1"/>
      <c r="B2018" s="57"/>
      <c r="C2018" s="57"/>
      <c r="D2018" s="57"/>
      <c r="E2018" s="57"/>
      <c r="F2018" s="57"/>
    </row>
    <row r="2019" spans="1:6" x14ac:dyDescent="0.25">
      <c r="A2019" s="1"/>
      <c r="B2019" s="57"/>
      <c r="C2019" s="57"/>
      <c r="D2019" s="57"/>
      <c r="E2019" s="57"/>
      <c r="F2019" s="57"/>
    </row>
    <row r="2020" spans="1:6" x14ac:dyDescent="0.25">
      <c r="A2020" s="1"/>
      <c r="B2020" s="57"/>
      <c r="C2020" s="57"/>
      <c r="D2020" s="57"/>
      <c r="E2020" s="57"/>
      <c r="F2020" s="57"/>
    </row>
    <row r="2021" spans="1:6" x14ac:dyDescent="0.25">
      <c r="A2021" s="1"/>
      <c r="B2021" s="57"/>
      <c r="C2021" s="57"/>
      <c r="D2021" s="57"/>
      <c r="E2021" s="57"/>
      <c r="F2021" s="57"/>
    </row>
    <row r="2022" spans="1:6" x14ac:dyDescent="0.25">
      <c r="A2022" s="1"/>
      <c r="B2022" s="57"/>
      <c r="C2022" s="57"/>
      <c r="D2022" s="57"/>
      <c r="E2022" s="57"/>
      <c r="F2022" s="57"/>
    </row>
    <row r="2023" spans="1:6" x14ac:dyDescent="0.25">
      <c r="A2023" s="1"/>
      <c r="B2023" s="57"/>
      <c r="C2023" s="57"/>
      <c r="D2023" s="57"/>
      <c r="E2023" s="57"/>
      <c r="F2023" s="57"/>
    </row>
    <row r="2024" spans="1:6" x14ac:dyDescent="0.25">
      <c r="A2024" s="1"/>
      <c r="B2024" s="57"/>
      <c r="C2024" s="57"/>
      <c r="D2024" s="57"/>
      <c r="E2024" s="57"/>
      <c r="F2024" s="57"/>
    </row>
    <row r="2025" spans="1:6" x14ac:dyDescent="0.25">
      <c r="A2025" s="1"/>
      <c r="B2025" s="57"/>
      <c r="C2025" s="57"/>
      <c r="D2025" s="57"/>
      <c r="E2025" s="57"/>
      <c r="F2025" s="57"/>
    </row>
    <row r="2026" spans="1:6" x14ac:dyDescent="0.25">
      <c r="A2026" s="1"/>
      <c r="B2026" s="57"/>
      <c r="C2026" s="57"/>
      <c r="D2026" s="57"/>
      <c r="E2026" s="57"/>
      <c r="F2026" s="57"/>
    </row>
    <row r="2027" spans="1:6" x14ac:dyDescent="0.25">
      <c r="A2027" s="1"/>
      <c r="B2027" s="57"/>
      <c r="C2027" s="57"/>
      <c r="D2027" s="57"/>
      <c r="E2027" s="57"/>
      <c r="F2027" s="57"/>
    </row>
    <row r="2028" spans="1:6" x14ac:dyDescent="0.25">
      <c r="A2028" s="1"/>
      <c r="B2028" s="57"/>
      <c r="C2028" s="57"/>
      <c r="D2028" s="57"/>
      <c r="E2028" s="57"/>
      <c r="F2028" s="57"/>
    </row>
    <row r="2029" spans="1:6" x14ac:dyDescent="0.25">
      <c r="A2029" s="1"/>
      <c r="B2029" s="57"/>
      <c r="C2029" s="57"/>
      <c r="D2029" s="57"/>
      <c r="E2029" s="57"/>
      <c r="F2029" s="57"/>
    </row>
    <row r="2030" spans="1:6" x14ac:dyDescent="0.25">
      <c r="A2030" s="1"/>
      <c r="B2030" s="57"/>
      <c r="C2030" s="57"/>
      <c r="D2030" s="57"/>
      <c r="E2030" s="57"/>
      <c r="F2030" s="57"/>
    </row>
    <row r="2031" spans="1:6" x14ac:dyDescent="0.25">
      <c r="A2031" s="1"/>
      <c r="B2031" s="57"/>
      <c r="C2031" s="57"/>
      <c r="D2031" s="57"/>
      <c r="E2031" s="57"/>
      <c r="F2031" s="57"/>
    </row>
    <row r="2032" spans="1:6" x14ac:dyDescent="0.25">
      <c r="A2032" s="1"/>
      <c r="B2032" s="57"/>
      <c r="C2032" s="57"/>
      <c r="D2032" s="57"/>
      <c r="E2032" s="57"/>
      <c r="F2032" s="57"/>
    </row>
    <row r="2033" spans="1:6" x14ac:dyDescent="0.25">
      <c r="A2033" s="1"/>
      <c r="B2033" s="57"/>
      <c r="C2033" s="57"/>
      <c r="D2033" s="57"/>
      <c r="E2033" s="57"/>
      <c r="F2033" s="57"/>
    </row>
    <row r="2034" spans="1:6" x14ac:dyDescent="0.25">
      <c r="A2034" s="1"/>
      <c r="B2034" s="57"/>
      <c r="C2034" s="57"/>
      <c r="D2034" s="57"/>
      <c r="E2034" s="57"/>
      <c r="F2034" s="57"/>
    </row>
    <row r="2035" spans="1:6" x14ac:dyDescent="0.25">
      <c r="A2035" s="1"/>
      <c r="B2035" s="57"/>
      <c r="C2035" s="57"/>
      <c r="D2035" s="57"/>
      <c r="E2035" s="57"/>
      <c r="F2035" s="57"/>
    </row>
    <row r="2036" spans="1:6" x14ac:dyDescent="0.25">
      <c r="A2036" s="1"/>
      <c r="B2036" s="57"/>
      <c r="C2036" s="57"/>
      <c r="D2036" s="57"/>
      <c r="E2036" s="57"/>
      <c r="F2036" s="57"/>
    </row>
    <row r="2037" spans="1:6" x14ac:dyDescent="0.25">
      <c r="A2037" s="1"/>
      <c r="B2037" s="57"/>
      <c r="C2037" s="57"/>
      <c r="D2037" s="57"/>
      <c r="E2037" s="57"/>
      <c r="F2037" s="57"/>
    </row>
    <row r="2038" spans="1:6" x14ac:dyDescent="0.25">
      <c r="A2038" s="1"/>
      <c r="B2038" s="57"/>
      <c r="C2038" s="57"/>
      <c r="D2038" s="57"/>
      <c r="E2038" s="57"/>
      <c r="F2038" s="57"/>
    </row>
    <row r="2039" spans="1:6" x14ac:dyDescent="0.25">
      <c r="A2039" s="1"/>
      <c r="B2039" s="57"/>
      <c r="C2039" s="57"/>
      <c r="D2039" s="57"/>
      <c r="E2039" s="57"/>
      <c r="F2039" s="57"/>
    </row>
    <row r="2040" spans="1:6" x14ac:dyDescent="0.25">
      <c r="A2040" s="1"/>
      <c r="B2040" s="57"/>
      <c r="C2040" s="57"/>
      <c r="D2040" s="57"/>
      <c r="E2040" s="57"/>
      <c r="F2040" s="57"/>
    </row>
    <row r="2041" spans="1:6" x14ac:dyDescent="0.25">
      <c r="A2041" s="1"/>
      <c r="B2041" s="57"/>
      <c r="C2041" s="57"/>
      <c r="D2041" s="57"/>
      <c r="E2041" s="57"/>
      <c r="F2041" s="57"/>
    </row>
    <row r="2042" spans="1:6" x14ac:dyDescent="0.25">
      <c r="A2042" s="1"/>
      <c r="B2042" s="57"/>
      <c r="C2042" s="57"/>
      <c r="D2042" s="57"/>
      <c r="E2042" s="57"/>
      <c r="F2042" s="57"/>
    </row>
    <row r="2043" spans="1:6" x14ac:dyDescent="0.25">
      <c r="A2043" s="1"/>
      <c r="B2043" s="57"/>
      <c r="C2043" s="57"/>
      <c r="D2043" s="57"/>
      <c r="E2043" s="57"/>
      <c r="F2043" s="57"/>
    </row>
    <row r="2044" spans="1:6" x14ac:dyDescent="0.25">
      <c r="A2044" s="1"/>
      <c r="B2044" s="57"/>
      <c r="C2044" s="57"/>
      <c r="D2044" s="57"/>
      <c r="E2044" s="57"/>
      <c r="F2044" s="57"/>
    </row>
    <row r="2045" spans="1:6" x14ac:dyDescent="0.25">
      <c r="A2045" s="1"/>
      <c r="B2045" s="57"/>
      <c r="C2045" s="57"/>
      <c r="D2045" s="57"/>
      <c r="E2045" s="57"/>
      <c r="F2045" s="57"/>
    </row>
    <row r="2046" spans="1:6" x14ac:dyDescent="0.25">
      <c r="A2046" s="1"/>
      <c r="B2046" s="57"/>
      <c r="C2046" s="57"/>
      <c r="D2046" s="57"/>
      <c r="E2046" s="57"/>
      <c r="F2046" s="57"/>
    </row>
    <row r="2047" spans="1:6" x14ac:dyDescent="0.25">
      <c r="A2047" s="1"/>
      <c r="B2047" s="57"/>
      <c r="C2047" s="57"/>
      <c r="D2047" s="57"/>
      <c r="E2047" s="57"/>
      <c r="F2047" s="57"/>
    </row>
    <row r="2048" spans="1:6" x14ac:dyDescent="0.25">
      <c r="A2048" s="1"/>
      <c r="B2048" s="57"/>
      <c r="C2048" s="57"/>
      <c r="D2048" s="57"/>
      <c r="E2048" s="57"/>
      <c r="F2048" s="57"/>
    </row>
    <row r="2049" spans="1:6" x14ac:dyDescent="0.25">
      <c r="A2049" s="1"/>
      <c r="B2049" s="57"/>
      <c r="C2049" s="57"/>
      <c r="D2049" s="57"/>
      <c r="E2049" s="57"/>
      <c r="F2049" s="57"/>
    </row>
    <row r="2050" spans="1:6" x14ac:dyDescent="0.25">
      <c r="A2050" s="1"/>
      <c r="B2050" s="57"/>
      <c r="C2050" s="57"/>
      <c r="D2050" s="57"/>
      <c r="E2050" s="57"/>
      <c r="F2050" s="57"/>
    </row>
    <row r="2051" spans="1:6" x14ac:dyDescent="0.25">
      <c r="A2051" s="1"/>
      <c r="B2051" s="57"/>
      <c r="C2051" s="57"/>
      <c r="D2051" s="57"/>
      <c r="E2051" s="57"/>
      <c r="F2051" s="57"/>
    </row>
    <row r="2052" spans="1:6" x14ac:dyDescent="0.25">
      <c r="A2052" s="1"/>
      <c r="B2052" s="57"/>
      <c r="C2052" s="57"/>
      <c r="D2052" s="57"/>
      <c r="E2052" s="57"/>
      <c r="F2052" s="57"/>
    </row>
    <row r="2053" spans="1:6" x14ac:dyDescent="0.25">
      <c r="A2053" s="1"/>
      <c r="B2053" s="57"/>
      <c r="C2053" s="57"/>
      <c r="D2053" s="57"/>
      <c r="E2053" s="57"/>
      <c r="F2053" s="5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O3" sqref="O3"/>
    </sheetView>
  </sheetViews>
  <sheetFormatPr defaultRowHeight="15" x14ac:dyDescent="0.25"/>
  <cols>
    <col min="1" max="1" width="30.7109375" bestFit="1" customWidth="1"/>
    <col min="2" max="2" width="11.85546875" style="66" bestFit="1" customWidth="1"/>
    <col min="3" max="3" width="9.85546875" bestFit="1" customWidth="1"/>
    <col min="8" max="8" width="9.85546875" bestFit="1" customWidth="1"/>
    <col min="14" max="14" width="30.7109375" bestFit="1" customWidth="1"/>
    <col min="15" max="15" width="11.5703125" bestFit="1" customWidth="1"/>
    <col min="16" max="16" width="10.5703125" bestFit="1" customWidth="1"/>
    <col min="21" max="21" width="9.85546875" bestFit="1" customWidth="1"/>
  </cols>
  <sheetData>
    <row r="1" spans="1:18" x14ac:dyDescent="0.25">
      <c r="A1" t="s">
        <v>146</v>
      </c>
      <c r="B1" s="66">
        <v>70000</v>
      </c>
      <c r="N1" t="s">
        <v>146</v>
      </c>
      <c r="O1" s="66">
        <v>0</v>
      </c>
    </row>
    <row r="2" spans="1:18" x14ac:dyDescent="0.25">
      <c r="A2" t="s">
        <v>147</v>
      </c>
      <c r="B2" s="66">
        <v>100000</v>
      </c>
      <c r="N2" t="s">
        <v>147</v>
      </c>
      <c r="O2" s="66">
        <v>60000</v>
      </c>
    </row>
    <row r="3" spans="1:18" x14ac:dyDescent="0.25">
      <c r="A3" t="s">
        <v>151</v>
      </c>
      <c r="B3" s="66">
        <f>SUM(B1:B2)</f>
        <v>170000</v>
      </c>
      <c r="N3" t="s">
        <v>151</v>
      </c>
      <c r="O3" s="66">
        <f>SUM(O1:O2)</f>
        <v>60000</v>
      </c>
    </row>
    <row r="4" spans="1:18" x14ac:dyDescent="0.25">
      <c r="O4" s="66"/>
    </row>
    <row r="5" spans="1:18" x14ac:dyDescent="0.25">
      <c r="A5" t="s">
        <v>148</v>
      </c>
      <c r="B5" s="66">
        <v>18000</v>
      </c>
      <c r="N5" t="s">
        <v>148</v>
      </c>
      <c r="O5" s="66">
        <v>18000</v>
      </c>
    </row>
    <row r="6" spans="1:18" x14ac:dyDescent="0.25">
      <c r="B6" s="66">
        <v>18000</v>
      </c>
      <c r="O6" s="66">
        <v>0</v>
      </c>
    </row>
    <row r="7" spans="1:18" x14ac:dyDescent="0.25">
      <c r="A7" t="s">
        <v>149</v>
      </c>
      <c r="B7" s="66">
        <v>5500</v>
      </c>
      <c r="N7" t="s">
        <v>149</v>
      </c>
      <c r="O7" s="66">
        <v>5500</v>
      </c>
    </row>
    <row r="8" spans="1:18" x14ac:dyDescent="0.25">
      <c r="B8" s="66">
        <v>5500</v>
      </c>
      <c r="O8" s="66">
        <v>0</v>
      </c>
    </row>
    <row r="9" spans="1:18" x14ac:dyDescent="0.25">
      <c r="A9" t="s">
        <v>150</v>
      </c>
      <c r="B9" s="66">
        <v>3450</v>
      </c>
      <c r="N9" t="s">
        <v>150</v>
      </c>
      <c r="O9" s="66">
        <v>0</v>
      </c>
    </row>
    <row r="10" spans="1:18" x14ac:dyDescent="0.25">
      <c r="O10" s="66"/>
    </row>
    <row r="11" spans="1:18" x14ac:dyDescent="0.25">
      <c r="A11" t="s">
        <v>152</v>
      </c>
      <c r="B11" s="66">
        <f>B3-SUM(B5:B9)</f>
        <v>119550</v>
      </c>
      <c r="E11" s="62">
        <v>0.22</v>
      </c>
      <c r="N11" t="s">
        <v>152</v>
      </c>
      <c r="O11" s="66">
        <f>O3-SUM(O5:O9)</f>
        <v>36500</v>
      </c>
      <c r="R11" s="62">
        <v>0.12</v>
      </c>
    </row>
    <row r="12" spans="1:18" x14ac:dyDescent="0.25">
      <c r="A12" t="s">
        <v>187</v>
      </c>
      <c r="B12" s="66">
        <f>8907 + E11*(B11-77400)</f>
        <v>18180</v>
      </c>
      <c r="E12" t="s">
        <v>153</v>
      </c>
      <c r="N12" t="s">
        <v>187</v>
      </c>
      <c r="O12" s="66">
        <f>1905 + R11*(O11-19050)</f>
        <v>3999</v>
      </c>
      <c r="R12" s="62"/>
    </row>
    <row r="13" spans="1:18" x14ac:dyDescent="0.25">
      <c r="A13" t="s">
        <v>154</v>
      </c>
      <c r="B13" s="66">
        <f>B11-B12</f>
        <v>101370</v>
      </c>
      <c r="N13" t="s">
        <v>154</v>
      </c>
      <c r="O13" s="66">
        <f>O11-O12</f>
        <v>32501</v>
      </c>
    </row>
    <row r="14" spans="1:18" x14ac:dyDescent="0.25">
      <c r="O14" s="66"/>
      <c r="P14" t="s">
        <v>195</v>
      </c>
    </row>
    <row r="15" spans="1:18" x14ac:dyDescent="0.25">
      <c r="A15" t="s">
        <v>155</v>
      </c>
      <c r="B15" s="66">
        <v>60000</v>
      </c>
      <c r="N15" t="s">
        <v>155</v>
      </c>
      <c r="O15" s="66">
        <v>60000</v>
      </c>
    </row>
    <row r="16" spans="1:18" x14ac:dyDescent="0.25">
      <c r="A16" t="s">
        <v>156</v>
      </c>
      <c r="B16" s="66">
        <f>B13-B15</f>
        <v>41370</v>
      </c>
      <c r="N16" t="s">
        <v>156</v>
      </c>
      <c r="O16" s="66">
        <f>O13-O15</f>
        <v>-27499</v>
      </c>
      <c r="P16" s="66">
        <f>O16/12</f>
        <v>-2291.5833333333335</v>
      </c>
    </row>
    <row r="17" spans="1:16" x14ac:dyDescent="0.25">
      <c r="C17" t="s">
        <v>195</v>
      </c>
      <c r="O17" s="66"/>
    </row>
    <row r="18" spans="1:16" x14ac:dyDescent="0.25">
      <c r="A18" t="s">
        <v>189</v>
      </c>
      <c r="B18" s="66">
        <f>2800*12</f>
        <v>33600</v>
      </c>
      <c r="C18" s="66">
        <f>B18/12</f>
        <v>2800</v>
      </c>
      <c r="O18" s="66"/>
      <c r="P18" s="66"/>
    </row>
    <row r="19" spans="1:16" x14ac:dyDescent="0.25">
      <c r="A19" t="s">
        <v>190</v>
      </c>
      <c r="B19" s="66">
        <f>1500*12</f>
        <v>18000</v>
      </c>
      <c r="C19" s="66">
        <f>B19/12</f>
        <v>1500</v>
      </c>
      <c r="O19" s="66"/>
      <c r="P19" s="66"/>
    </row>
    <row r="20" spans="1:16" x14ac:dyDescent="0.25">
      <c r="C20" s="66"/>
      <c r="O20" s="66"/>
      <c r="P20" s="66"/>
    </row>
    <row r="21" spans="1:16" x14ac:dyDescent="0.25">
      <c r="A21" t="s">
        <v>196</v>
      </c>
      <c r="C21" s="66"/>
      <c r="O21" s="66"/>
      <c r="P21" s="66"/>
    </row>
    <row r="22" spans="1:16" x14ac:dyDescent="0.25">
      <c r="A22" t="s">
        <v>197</v>
      </c>
      <c r="B22" s="66">
        <f>B16-B18</f>
        <v>7770</v>
      </c>
      <c r="C22" s="66">
        <f>B22/12</f>
        <v>647.5</v>
      </c>
      <c r="O22" s="66"/>
      <c r="P22" s="66"/>
    </row>
    <row r="23" spans="1:16" x14ac:dyDescent="0.25">
      <c r="A23" t="s">
        <v>198</v>
      </c>
      <c r="B23" s="66">
        <f>B16-B19</f>
        <v>23370</v>
      </c>
      <c r="C23" s="66">
        <f>B23/12</f>
        <v>1947.5</v>
      </c>
      <c r="O23" s="66"/>
      <c r="P23" s="66"/>
    </row>
    <row r="24" spans="1:16" x14ac:dyDescent="0.25">
      <c r="O24" s="66"/>
    </row>
    <row r="25" spans="1:16" ht="30" x14ac:dyDescent="0.25">
      <c r="A25" s="46" t="s">
        <v>188</v>
      </c>
      <c r="B25" s="66">
        <f>SUM(B5:B9) + B13</f>
        <v>151820</v>
      </c>
      <c r="N25" s="46" t="s">
        <v>188</v>
      </c>
      <c r="O25" s="66">
        <f>SUM(O5:O9) + O13</f>
        <v>56001</v>
      </c>
    </row>
    <row r="26" spans="1:16" x14ac:dyDescent="0.25">
      <c r="O26" s="66"/>
    </row>
    <row r="27" spans="1:16" x14ac:dyDescent="0.25">
      <c r="O27" s="66"/>
    </row>
    <row r="28" spans="1:16" x14ac:dyDescent="0.25">
      <c r="A28" t="s">
        <v>191</v>
      </c>
      <c r="N28" t="s">
        <v>191</v>
      </c>
      <c r="O28" s="66"/>
    </row>
    <row r="29" spans="1:16" x14ac:dyDescent="0.25">
      <c r="A29" t="s">
        <v>192</v>
      </c>
      <c r="B29" s="62">
        <f>(B25-B15-B18)/B25</f>
        <v>0.38348043736003162</v>
      </c>
      <c r="N29" t="s">
        <v>192</v>
      </c>
      <c r="O29" s="62">
        <f>(O25-O15-O18)/O25</f>
        <v>-7.1409439117158621E-2</v>
      </c>
    </row>
    <row r="30" spans="1:16" x14ac:dyDescent="0.25">
      <c r="A30" t="s">
        <v>193</v>
      </c>
      <c r="B30" s="62">
        <f>(B25-B15-B19)/B25</f>
        <v>0.48623369780002634</v>
      </c>
      <c r="N30" t="s">
        <v>193</v>
      </c>
      <c r="O30" s="62">
        <f>(O25-O15-O19)/O25</f>
        <v>-7.1409439117158621E-2</v>
      </c>
    </row>
    <row r="31" spans="1:16" x14ac:dyDescent="0.25">
      <c r="A31" t="s">
        <v>194</v>
      </c>
      <c r="B31" s="62">
        <f>(B25-B15)/B25</f>
        <v>0.60479515215386637</v>
      </c>
      <c r="N31" t="s">
        <v>194</v>
      </c>
      <c r="O31" s="62">
        <f>(O25-O15)/O25</f>
        <v>-7.1409439117158621E-2</v>
      </c>
    </row>
  </sheetData>
  <conditionalFormatting sqref="A2:A27 B27:E27 D7:E26 K16:L24 K25:M25 K26:L27 I10:L11 I13:L14 I12:M12 I15:M15 I9:M9 I16:J27 I7:L8 B9:B20 B22:B26 Q7:U27 P18:P26 P14:P16">
    <cfRule type="expression" dxfId="14" priority="15">
      <formula>#REF!&gt;0</formula>
    </cfRule>
  </conditionalFormatting>
  <conditionalFormatting sqref="B7:B8">
    <cfRule type="expression" dxfId="13" priority="14">
      <formula>#REF!&gt;0</formula>
    </cfRule>
  </conditionalFormatting>
  <conditionalFormatting sqref="M26:M27">
    <cfRule type="expression" dxfId="12" priority="4">
      <formula>#REF!&gt;0</formula>
    </cfRule>
  </conditionalFormatting>
  <conditionalFormatting sqref="B3:C4 C5:C26 B5:B6">
    <cfRule type="expression" dxfId="11" priority="13">
      <formula>#REF!&gt;0</formula>
    </cfRule>
  </conditionalFormatting>
  <conditionalFormatting sqref="M7:M8">
    <cfRule type="expression" dxfId="10" priority="8">
      <formula>#REF!&gt;0</formula>
    </cfRule>
  </conditionalFormatting>
  <conditionalFormatting sqref="M10:M11">
    <cfRule type="expression" dxfId="9" priority="7">
      <formula>#REF!&gt;0</formula>
    </cfRule>
  </conditionalFormatting>
  <conditionalFormatting sqref="M3:M5">
    <cfRule type="expression" dxfId="8" priority="9">
      <formula>#REF!&gt;0</formula>
    </cfRule>
  </conditionalFormatting>
  <conditionalFormatting sqref="M13:M14">
    <cfRule type="expression" dxfId="7" priority="6">
      <formula>#REF!&gt;0</formula>
    </cfRule>
  </conditionalFormatting>
  <conditionalFormatting sqref="M16:M24">
    <cfRule type="expression" dxfId="6" priority="5">
      <formula>#REF!&gt;0</formula>
    </cfRule>
  </conditionalFormatting>
  <conditionalFormatting sqref="N2:N27 O27:P27 O9:O20 O22:O26">
    <cfRule type="expression" dxfId="5" priority="3">
      <formula>#REF!&gt;0</formula>
    </cfRule>
  </conditionalFormatting>
  <conditionalFormatting sqref="O7:O8">
    <cfRule type="expression" dxfId="4" priority="2">
      <formula>#REF!&gt;0</formula>
    </cfRule>
  </conditionalFormatting>
  <conditionalFormatting sqref="O3:P4 P5:P13 O5:O6">
    <cfRule type="expression" dxfId="3" priority="1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M387"/>
  <sheetViews>
    <sheetView topLeftCell="A22" zoomScale="84" zoomScaleNormal="84" workbookViewId="0">
      <selection activeCell="P78" sqref="P78"/>
    </sheetView>
  </sheetViews>
  <sheetFormatPr defaultRowHeight="15" x14ac:dyDescent="0.25"/>
  <cols>
    <col min="1" max="1" width="9.7109375" bestFit="1" customWidth="1"/>
    <col min="11" max="11" width="11.140625" style="57" bestFit="1" customWidth="1"/>
    <col min="12" max="12" width="22.42578125" bestFit="1" customWidth="1"/>
    <col min="13" max="14" width="9.140625" customWidth="1"/>
    <col min="15" max="16" width="9.85546875" customWidth="1"/>
    <col min="18" max="18" width="11.85546875" customWidth="1"/>
    <col min="19" max="19" width="12.42578125" customWidth="1"/>
    <col min="20" max="20" width="11.5703125" bestFit="1" customWidth="1"/>
    <col min="21" max="21" width="11.28515625" bestFit="1" customWidth="1"/>
    <col min="23" max="23" width="15" bestFit="1" customWidth="1"/>
    <col min="24" max="24" width="22.7109375" bestFit="1" customWidth="1"/>
    <col min="30" max="31" width="10.7109375" bestFit="1" customWidth="1"/>
    <col min="32" max="32" width="11.5703125" bestFit="1" customWidth="1"/>
    <col min="34" max="34" width="15" bestFit="1" customWidth="1"/>
    <col min="43" max="43" width="11.5703125" bestFit="1" customWidth="1"/>
    <col min="45" max="45" width="10.28515625" customWidth="1"/>
    <col min="54" max="54" width="11.5703125" bestFit="1" customWidth="1"/>
    <col min="56" max="56" width="10.28515625" bestFit="1" customWidth="1"/>
    <col min="65" max="65" width="11.5703125" bestFit="1" customWidth="1"/>
  </cols>
  <sheetData>
    <row r="4" spans="1:65" x14ac:dyDescent="0.25">
      <c r="K4" s="57" t="s">
        <v>134</v>
      </c>
      <c r="W4" t="s">
        <v>136</v>
      </c>
      <c r="AH4" t="s">
        <v>177</v>
      </c>
      <c r="AS4" t="s">
        <v>20</v>
      </c>
      <c r="BD4" t="s">
        <v>21</v>
      </c>
    </row>
    <row r="5" spans="1:65" x14ac:dyDescent="0.25">
      <c r="K5" s="57">
        <v>180000</v>
      </c>
      <c r="L5" t="s">
        <v>158</v>
      </c>
      <c r="W5" s="57"/>
      <c r="AH5" s="57"/>
      <c r="AS5" s="57"/>
      <c r="BD5" s="57"/>
    </row>
    <row r="6" spans="1:65" x14ac:dyDescent="0.25">
      <c r="K6" s="57">
        <v>30000</v>
      </c>
      <c r="L6" t="s">
        <v>157</v>
      </c>
      <c r="M6" s="62">
        <f>K6/K5</f>
        <v>0.16666666666666666</v>
      </c>
      <c r="W6" s="57"/>
      <c r="Y6" s="62"/>
      <c r="AH6" s="57"/>
      <c r="AJ6" s="62"/>
      <c r="AS6" s="57"/>
      <c r="AU6" s="62"/>
      <c r="BD6" s="57"/>
      <c r="BF6" s="62"/>
    </row>
    <row r="7" spans="1:65" x14ac:dyDescent="0.25">
      <c r="K7" s="57">
        <f>K5-K6</f>
        <v>150000</v>
      </c>
      <c r="L7" t="s">
        <v>159</v>
      </c>
      <c r="W7" s="57">
        <f>Data!AH58</f>
        <v>50636.527741334197</v>
      </c>
      <c r="X7" t="s">
        <v>159</v>
      </c>
      <c r="AH7" s="57">
        <f>Data!AI58</f>
        <v>16756.93908474296</v>
      </c>
      <c r="AI7" t="s">
        <v>159</v>
      </c>
      <c r="AS7" s="57">
        <f>Data!AJ58</f>
        <v>18019.127031748772</v>
      </c>
      <c r="AT7" t="s">
        <v>159</v>
      </c>
      <c r="BD7" s="57">
        <f>Data!AK58</f>
        <v>19077.99565761011</v>
      </c>
      <c r="BE7" t="s">
        <v>159</v>
      </c>
    </row>
    <row r="8" spans="1:65" x14ac:dyDescent="0.25">
      <c r="K8" s="23">
        <v>4.1300000000000003E-2</v>
      </c>
      <c r="L8" t="s">
        <v>160</v>
      </c>
      <c r="W8" s="23">
        <v>5.3100000000000001E-2</v>
      </c>
      <c r="X8" t="s">
        <v>160</v>
      </c>
      <c r="AH8" s="23">
        <v>0.06</v>
      </c>
      <c r="AI8" t="s">
        <v>160</v>
      </c>
      <c r="AS8" s="23">
        <v>6.5000000000000002E-2</v>
      </c>
      <c r="AT8" t="s">
        <v>160</v>
      </c>
      <c r="BD8" s="23">
        <v>7.0000000000000007E-2</v>
      </c>
      <c r="BE8" t="s">
        <v>160</v>
      </c>
    </row>
    <row r="9" spans="1:65" x14ac:dyDescent="0.25">
      <c r="K9" s="67">
        <v>30</v>
      </c>
      <c r="L9" t="s">
        <v>161</v>
      </c>
      <c r="W9" s="67">
        <v>10</v>
      </c>
      <c r="X9" t="s">
        <v>161</v>
      </c>
      <c r="AH9" s="67">
        <v>10</v>
      </c>
      <c r="AI9" t="s">
        <v>161</v>
      </c>
      <c r="AS9" s="67">
        <v>10</v>
      </c>
      <c r="AT9" t="s">
        <v>161</v>
      </c>
      <c r="BD9" s="67">
        <v>10</v>
      </c>
      <c r="BE9" t="s">
        <v>161</v>
      </c>
    </row>
    <row r="10" spans="1:65" x14ac:dyDescent="0.25">
      <c r="K10" s="68">
        <f>K9*12</f>
        <v>360</v>
      </c>
      <c r="L10" t="s">
        <v>162</v>
      </c>
      <c r="W10" s="68">
        <f>W9*12</f>
        <v>120</v>
      </c>
      <c r="X10" t="s">
        <v>162</v>
      </c>
      <c r="AH10" s="68">
        <f>AH9*12</f>
        <v>120</v>
      </c>
      <c r="AI10" t="s">
        <v>162</v>
      </c>
      <c r="AS10" s="68">
        <f>AS9*12</f>
        <v>120</v>
      </c>
      <c r="AT10" t="s">
        <v>162</v>
      </c>
      <c r="BD10" s="68">
        <f>BD9*12</f>
        <v>120</v>
      </c>
      <c r="BE10" t="s">
        <v>162</v>
      </c>
    </row>
    <row r="11" spans="1:65" x14ac:dyDescent="0.25">
      <c r="K11" s="57">
        <f>ROUND(PMT(K$8/12,K$10,-K$7,0),2)</f>
        <v>727.41</v>
      </c>
      <c r="L11" t="s">
        <v>163</v>
      </c>
      <c r="W11" s="57">
        <f>ROUND(PMT(W$8/12,W$10,-W$7,0),2)</f>
        <v>544.78</v>
      </c>
      <c r="X11" t="s">
        <v>163</v>
      </c>
      <c r="AH11" s="57">
        <f>ROUND(PMT(AH$8/12,AH$10,-AH$7,0),2)</f>
        <v>186.04</v>
      </c>
      <c r="AI11" t="s">
        <v>163</v>
      </c>
      <c r="AS11" s="57">
        <f>ROUND(PMT(AS$8/12,AS$10,-AS$7,0),2)</f>
        <v>204.6</v>
      </c>
      <c r="AT11" t="s">
        <v>163</v>
      </c>
      <c r="BD11" s="57">
        <f>ROUND(PMT(BD$8/12,BD$10,-BD$7,0),2)</f>
        <v>221.51</v>
      </c>
      <c r="BE11" t="s">
        <v>163</v>
      </c>
    </row>
    <row r="12" spans="1:65" x14ac:dyDescent="0.25">
      <c r="K12" s="57">
        <f>K13-K11</f>
        <v>0</v>
      </c>
      <c r="L12" t="s">
        <v>164</v>
      </c>
      <c r="W12" s="57">
        <f>W13-W11</f>
        <v>0</v>
      </c>
      <c r="X12" t="s">
        <v>164</v>
      </c>
      <c r="AH12" s="57">
        <f>AH13-AH11</f>
        <v>0</v>
      </c>
      <c r="AI12" t="s">
        <v>164</v>
      </c>
      <c r="AS12" s="57">
        <f>AS13-AS11</f>
        <v>0</v>
      </c>
      <c r="AT12" t="s">
        <v>164</v>
      </c>
      <c r="BD12" s="57">
        <f>BD13-BD11</f>
        <v>0</v>
      </c>
      <c r="BE12" t="s">
        <v>164</v>
      </c>
    </row>
    <row r="13" spans="1:65" x14ac:dyDescent="0.25">
      <c r="K13" s="57">
        <f>K11</f>
        <v>727.41</v>
      </c>
      <c r="L13" t="s">
        <v>165</v>
      </c>
      <c r="W13" s="57">
        <f>W11</f>
        <v>544.78</v>
      </c>
      <c r="X13" t="s">
        <v>165</v>
      </c>
      <c r="AH13" s="57">
        <f>AH11</f>
        <v>186.04</v>
      </c>
      <c r="AI13" t="s">
        <v>165</v>
      </c>
      <c r="AS13" s="57">
        <f>AS11</f>
        <v>204.6</v>
      </c>
      <c r="AT13" t="s">
        <v>165</v>
      </c>
      <c r="BD13" s="57">
        <f>BD11</f>
        <v>221.51</v>
      </c>
      <c r="BE13" t="s">
        <v>165</v>
      </c>
    </row>
    <row r="14" spans="1:65" x14ac:dyDescent="0.25">
      <c r="B14" t="s">
        <v>178</v>
      </c>
      <c r="W14" s="57"/>
      <c r="AH14" s="57"/>
      <c r="AS14" s="57"/>
      <c r="BD14" s="57"/>
    </row>
    <row r="15" spans="1:65" s="65" customFormat="1" ht="30" customHeight="1" x14ac:dyDescent="0.25">
      <c r="B15" s="65" t="s">
        <v>134</v>
      </c>
      <c r="C15" s="65" t="s">
        <v>179</v>
      </c>
      <c r="D15" s="65" t="s">
        <v>180</v>
      </c>
      <c r="E15" s="65" t="s">
        <v>181</v>
      </c>
      <c r="F15" s="65" t="s">
        <v>182</v>
      </c>
      <c r="G15" s="65" t="s">
        <v>183</v>
      </c>
      <c r="J15" s="65" t="s">
        <v>166</v>
      </c>
      <c r="K15" s="69"/>
      <c r="L15" s="65" t="s">
        <v>167</v>
      </c>
      <c r="M15" s="65" t="s">
        <v>168</v>
      </c>
      <c r="N15" s="65" t="s">
        <v>169</v>
      </c>
      <c r="O15" s="65" t="s">
        <v>170</v>
      </c>
      <c r="P15" s="65" t="s">
        <v>171</v>
      </c>
      <c r="Q15" s="65" t="s">
        <v>175</v>
      </c>
      <c r="R15" s="65" t="s">
        <v>172</v>
      </c>
      <c r="S15" s="65" t="s">
        <v>173</v>
      </c>
      <c r="T15" s="65" t="s">
        <v>174</v>
      </c>
      <c r="U15" s="65" t="s">
        <v>176</v>
      </c>
      <c r="W15" s="69"/>
      <c r="X15" s="65" t="s">
        <v>167</v>
      </c>
      <c r="Y15" s="65" t="s">
        <v>168</v>
      </c>
      <c r="Z15" s="65" t="s">
        <v>169</v>
      </c>
      <c r="AA15" s="65" t="s">
        <v>170</v>
      </c>
      <c r="AB15" s="65" t="s">
        <v>171</v>
      </c>
      <c r="AC15" s="65" t="s">
        <v>175</v>
      </c>
      <c r="AD15" s="65" t="s">
        <v>172</v>
      </c>
      <c r="AE15" s="65" t="s">
        <v>173</v>
      </c>
      <c r="AF15" s="65" t="s">
        <v>174</v>
      </c>
      <c r="AH15" s="69"/>
      <c r="AI15" s="65" t="s">
        <v>167</v>
      </c>
      <c r="AJ15" s="65" t="s">
        <v>168</v>
      </c>
      <c r="AK15" s="65" t="s">
        <v>169</v>
      </c>
      <c r="AL15" s="65" t="s">
        <v>170</v>
      </c>
      <c r="AM15" s="65" t="s">
        <v>171</v>
      </c>
      <c r="AN15" s="65" t="s">
        <v>175</v>
      </c>
      <c r="AO15" s="65" t="s">
        <v>172</v>
      </c>
      <c r="AP15" s="65" t="s">
        <v>173</v>
      </c>
      <c r="AQ15" s="65" t="s">
        <v>174</v>
      </c>
      <c r="AS15" s="69"/>
      <c r="AT15" s="65" t="s">
        <v>167</v>
      </c>
      <c r="AU15" s="65" t="s">
        <v>168</v>
      </c>
      <c r="AV15" s="65" t="s">
        <v>169</v>
      </c>
      <c r="AW15" s="65" t="s">
        <v>170</v>
      </c>
      <c r="AX15" s="65" t="s">
        <v>171</v>
      </c>
      <c r="AY15" s="65" t="s">
        <v>175</v>
      </c>
      <c r="AZ15" s="65" t="s">
        <v>172</v>
      </c>
      <c r="BA15" s="65" t="s">
        <v>173</v>
      </c>
      <c r="BB15" s="65" t="s">
        <v>174</v>
      </c>
      <c r="BD15" s="69"/>
      <c r="BE15" s="65" t="s">
        <v>167</v>
      </c>
      <c r="BF15" s="65" t="s">
        <v>168</v>
      </c>
      <c r="BG15" s="65" t="s">
        <v>169</v>
      </c>
      <c r="BH15" s="65" t="s">
        <v>170</v>
      </c>
      <c r="BI15" s="65" t="s">
        <v>171</v>
      </c>
      <c r="BJ15" s="65" t="s">
        <v>175</v>
      </c>
      <c r="BK15" s="65" t="s">
        <v>172</v>
      </c>
      <c r="BL15" s="65" t="s">
        <v>173</v>
      </c>
      <c r="BM15" s="65" t="s">
        <v>174</v>
      </c>
    </row>
    <row r="16" spans="1:65" x14ac:dyDescent="0.25">
      <c r="A16" s="70">
        <v>43831</v>
      </c>
      <c r="B16" s="55">
        <f>Q16</f>
        <v>727.41</v>
      </c>
      <c r="C16">
        <v>0</v>
      </c>
      <c r="D16">
        <v>0</v>
      </c>
      <c r="E16">
        <v>0</v>
      </c>
      <c r="F16">
        <v>0</v>
      </c>
      <c r="G16" s="55">
        <f t="shared" ref="G16:G47" si="0">SUM(B16:F16)</f>
        <v>727.41</v>
      </c>
      <c r="J16">
        <v>1</v>
      </c>
      <c r="K16" s="70">
        <v>43831</v>
      </c>
      <c r="L16" s="55">
        <f>K$7</f>
        <v>150000</v>
      </c>
      <c r="M16" s="55">
        <f>K$11</f>
        <v>727.41</v>
      </c>
      <c r="N16" s="55">
        <f>M16-O16</f>
        <v>211.15999999999997</v>
      </c>
      <c r="O16" s="55">
        <f>ROUND(L16*K$8/12,2)</f>
        <v>516.25</v>
      </c>
      <c r="P16" s="71">
        <v>0</v>
      </c>
      <c r="Q16" s="55">
        <f>M16+P16</f>
        <v>727.41</v>
      </c>
      <c r="R16" s="55">
        <f>N16 +P16</f>
        <v>211.15999999999997</v>
      </c>
      <c r="S16" s="55">
        <f>O16</f>
        <v>516.25</v>
      </c>
      <c r="T16" s="55">
        <f>L16-N16-P16</f>
        <v>149788.84</v>
      </c>
      <c r="U16" s="57">
        <f>K$6+R16</f>
        <v>30211.16</v>
      </c>
      <c r="W16" s="70">
        <v>44013</v>
      </c>
      <c r="X16" s="55">
        <f>W$7</f>
        <v>50636.527741334197</v>
      </c>
      <c r="Y16" s="55">
        <f>W$11</f>
        <v>544.78</v>
      </c>
      <c r="Z16" s="55">
        <f>Y16-AA16</f>
        <v>320.70999999999998</v>
      </c>
      <c r="AA16" s="55">
        <f>ROUND(X16*W$8/12,2)</f>
        <v>224.07</v>
      </c>
      <c r="AB16" s="71">
        <v>0</v>
      </c>
      <c r="AC16" s="55">
        <f>Y16+AB16</f>
        <v>544.78</v>
      </c>
      <c r="AD16" s="55">
        <f>Z16 +AB16</f>
        <v>320.70999999999998</v>
      </c>
      <c r="AE16" s="55">
        <f>AA16</f>
        <v>224.07</v>
      </c>
      <c r="AF16" s="55">
        <f>X16-Z16-AB16</f>
        <v>50315.817741334198</v>
      </c>
      <c r="AH16" s="70">
        <v>44013</v>
      </c>
      <c r="AI16" s="55">
        <f>AH$7</f>
        <v>16756.93908474296</v>
      </c>
      <c r="AJ16" s="55">
        <f>AH$11</f>
        <v>186.04</v>
      </c>
      <c r="AK16" s="55">
        <f>AJ16-AL16</f>
        <v>102.25999999999999</v>
      </c>
      <c r="AL16" s="55">
        <f>ROUND(AI16*AH$8/12,2)</f>
        <v>83.78</v>
      </c>
      <c r="AM16" s="71">
        <v>0</v>
      </c>
      <c r="AN16" s="55">
        <f>AJ16+AM16</f>
        <v>186.04</v>
      </c>
      <c r="AO16" s="55">
        <f>AK16 +AM16</f>
        <v>102.25999999999999</v>
      </c>
      <c r="AP16" s="55">
        <f>AL16</f>
        <v>83.78</v>
      </c>
      <c r="AQ16" s="55">
        <f>AI16-AK16-AM16</f>
        <v>16654.679084742962</v>
      </c>
      <c r="AS16" s="70">
        <v>44013</v>
      </c>
      <c r="AT16" s="55">
        <f>AS$7</f>
        <v>18019.127031748772</v>
      </c>
      <c r="AU16" s="55">
        <f>AS$11</f>
        <v>204.6</v>
      </c>
      <c r="AV16" s="55">
        <f>AU16-AW16</f>
        <v>107</v>
      </c>
      <c r="AW16" s="55">
        <f>ROUND(AT16*AS$8/12,2)</f>
        <v>97.6</v>
      </c>
      <c r="AX16" s="71">
        <v>0</v>
      </c>
      <c r="AY16" s="55">
        <f>AU16+AX16</f>
        <v>204.6</v>
      </c>
      <c r="AZ16" s="55">
        <f>AV16 +AX16</f>
        <v>107</v>
      </c>
      <c r="BA16" s="55">
        <f>AW16</f>
        <v>97.6</v>
      </c>
      <c r="BB16" s="55">
        <f>AT16-AV16-AX16</f>
        <v>17912.127031748772</v>
      </c>
      <c r="BD16" s="70">
        <v>44013</v>
      </c>
      <c r="BE16" s="55">
        <f>BD$7</f>
        <v>19077.99565761011</v>
      </c>
      <c r="BF16" s="55">
        <f>BD$11</f>
        <v>221.51</v>
      </c>
      <c r="BG16" s="55">
        <f>BF16-BH16</f>
        <v>110.21999999999998</v>
      </c>
      <c r="BH16" s="55">
        <f>ROUND(BE16*BD$8/12,2)</f>
        <v>111.29</v>
      </c>
      <c r="BI16" s="71">
        <v>1000</v>
      </c>
      <c r="BJ16" s="55">
        <f>BF16+BI16</f>
        <v>1221.51</v>
      </c>
      <c r="BK16" s="55">
        <f>BG16 +BI16</f>
        <v>1110.22</v>
      </c>
      <c r="BL16" s="55">
        <f>BH16</f>
        <v>111.29</v>
      </c>
      <c r="BM16" s="55">
        <f>BE16-BG16-BI16</f>
        <v>17967.775657610109</v>
      </c>
    </row>
    <row r="17" spans="1:65" x14ac:dyDescent="0.25">
      <c r="A17" s="70">
        <v>43862</v>
      </c>
      <c r="B17" s="55">
        <f t="shared" ref="B17:B20" si="1">Q17</f>
        <v>727.41</v>
      </c>
      <c r="C17">
        <v>0</v>
      </c>
      <c r="D17">
        <v>0</v>
      </c>
      <c r="E17">
        <v>0</v>
      </c>
      <c r="F17">
        <v>0</v>
      </c>
      <c r="G17" s="55">
        <f t="shared" si="0"/>
        <v>727.41</v>
      </c>
      <c r="J17">
        <v>1</v>
      </c>
      <c r="K17" s="70">
        <v>43862</v>
      </c>
      <c r="L17" s="55">
        <f>T16</f>
        <v>149788.84</v>
      </c>
      <c r="M17" s="55">
        <f>K$11</f>
        <v>727.41</v>
      </c>
      <c r="N17" s="55">
        <f>M17-O17</f>
        <v>211.89</v>
      </c>
      <c r="O17" s="55">
        <f>ROUND(L17*K$8/12,2)</f>
        <v>515.52</v>
      </c>
      <c r="P17" s="71">
        <v>0</v>
      </c>
      <c r="Q17" s="55">
        <f>IF(T16&lt;100,0,M17+P17)</f>
        <v>727.41</v>
      </c>
      <c r="R17" s="55">
        <f>N17+P17+R16</f>
        <v>423.04999999999995</v>
      </c>
      <c r="S17" s="55">
        <f>O17+S16</f>
        <v>1031.77</v>
      </c>
      <c r="T17" s="55">
        <f>IF(T16&lt;100,0,L17-N17-P17)</f>
        <v>149576.94999999998</v>
      </c>
      <c r="U17" s="57">
        <f>IF(U16&gt;=180000,180000,K$6+R17)</f>
        <v>30423.05</v>
      </c>
      <c r="W17" s="70">
        <v>44044</v>
      </c>
      <c r="X17" s="55">
        <f>AF16</f>
        <v>50315.817741334198</v>
      </c>
      <c r="Y17" s="55">
        <f>W$11</f>
        <v>544.78</v>
      </c>
      <c r="Z17" s="55">
        <f>Y17-AA17</f>
        <v>322.13</v>
      </c>
      <c r="AA17" s="55">
        <f>ROUND(X17*W$8/12,2)</f>
        <v>222.65</v>
      </c>
      <c r="AB17" s="71">
        <v>0</v>
      </c>
      <c r="AC17" s="55">
        <f>IF(AF16&lt;100,0,Y17+AB17)</f>
        <v>544.78</v>
      </c>
      <c r="AD17" s="55">
        <f>Z17+AB17+AD16</f>
        <v>642.83999999999992</v>
      </c>
      <c r="AE17" s="55">
        <f>AA17+AE16</f>
        <v>446.72</v>
      </c>
      <c r="AF17" s="55">
        <f>IF(AF16&lt;100,0,X17-Z17-AB17)</f>
        <v>49993.687741334201</v>
      </c>
      <c r="AH17" s="70">
        <v>44044</v>
      </c>
      <c r="AI17" s="55">
        <f>AQ16</f>
        <v>16654.679084742962</v>
      </c>
      <c r="AJ17" s="55">
        <f>AH$11</f>
        <v>186.04</v>
      </c>
      <c r="AK17" s="55">
        <f>AJ17-AL17</f>
        <v>102.77</v>
      </c>
      <c r="AL17" s="55">
        <f>ROUND(AI17*AH$8/12,2)</f>
        <v>83.27</v>
      </c>
      <c r="AM17" s="71">
        <v>0</v>
      </c>
      <c r="AN17" s="55">
        <f>IF(AQ16&lt;100,0,AJ17+AM17)</f>
        <v>186.04</v>
      </c>
      <c r="AO17" s="55">
        <f>AK17+AM17+AO16</f>
        <v>205.02999999999997</v>
      </c>
      <c r="AP17" s="55">
        <f>AL17+AP16</f>
        <v>167.05</v>
      </c>
      <c r="AQ17" s="55">
        <f>IF(AQ16&lt;100,0,AI17-AK17-AM17)</f>
        <v>16551.909084742962</v>
      </c>
      <c r="AS17" s="70">
        <v>44044</v>
      </c>
      <c r="AT17" s="55">
        <f>BB16</f>
        <v>17912.127031748772</v>
      </c>
      <c r="AU17" s="55">
        <f>AS$11</f>
        <v>204.6</v>
      </c>
      <c r="AV17" s="55">
        <f>AU17-AW17</f>
        <v>107.58</v>
      </c>
      <c r="AW17" s="55">
        <f>ROUND(AT17*AS$8/12,2)</f>
        <v>97.02</v>
      </c>
      <c r="AX17" s="71">
        <v>0</v>
      </c>
      <c r="AY17" s="55">
        <f>IF(BB16&lt;100,0,AU17+AX17)</f>
        <v>204.6</v>
      </c>
      <c r="AZ17" s="55">
        <f>AV17+AX17+AZ16</f>
        <v>214.57999999999998</v>
      </c>
      <c r="BA17" s="55">
        <f>AW17+BA16</f>
        <v>194.62</v>
      </c>
      <c r="BB17" s="55">
        <f>IF(BB16&lt;100,0,AT17-AV17-AX17)</f>
        <v>17804.547031748771</v>
      </c>
      <c r="BD17" s="70">
        <v>44044</v>
      </c>
      <c r="BE17" s="55">
        <f>BM16</f>
        <v>17967.775657610109</v>
      </c>
      <c r="BF17" s="55">
        <f>BD$11</f>
        <v>221.51</v>
      </c>
      <c r="BG17" s="55">
        <f>BF17-BH17</f>
        <v>116.69999999999999</v>
      </c>
      <c r="BH17" s="55">
        <f>ROUND(BE17*BD$8/12,2)</f>
        <v>104.81</v>
      </c>
      <c r="BI17" s="71">
        <v>1000</v>
      </c>
      <c r="BJ17" s="55">
        <f>IF(BM16&lt;100,0,BF17+BI17)</f>
        <v>1221.51</v>
      </c>
      <c r="BK17" s="55">
        <f>BG17+BI17+BK16</f>
        <v>2226.92</v>
      </c>
      <c r="BL17" s="55">
        <f>BH17+BL16</f>
        <v>216.10000000000002</v>
      </c>
      <c r="BM17" s="55">
        <f>IF(BM16&lt;100,0,BE17-BG17-BI17)</f>
        <v>16851.075657610108</v>
      </c>
    </row>
    <row r="18" spans="1:65" x14ac:dyDescent="0.25">
      <c r="A18" s="70">
        <v>43891</v>
      </c>
      <c r="B18" s="55">
        <f t="shared" si="1"/>
        <v>727.41</v>
      </c>
      <c r="C18">
        <v>0</v>
      </c>
      <c r="D18">
        <v>0</v>
      </c>
      <c r="E18">
        <v>0</v>
      </c>
      <c r="F18">
        <v>0</v>
      </c>
      <c r="G18" s="55">
        <f t="shared" si="0"/>
        <v>727.41</v>
      </c>
      <c r="J18">
        <v>1</v>
      </c>
      <c r="K18" s="70">
        <v>43891</v>
      </c>
      <c r="L18" s="55">
        <f t="shared" ref="L18:L81" si="2">$T17</f>
        <v>149576.94999999998</v>
      </c>
      <c r="M18" s="55">
        <f t="shared" ref="M18:M81" si="3">$K$11</f>
        <v>727.41</v>
      </c>
      <c r="N18" s="55">
        <f t="shared" ref="N18:N81" si="4">M18-O18</f>
        <v>212.62</v>
      </c>
      <c r="O18" s="55">
        <f t="shared" ref="O18:O81" si="5">ROUND($L18*$K$8/12,2)</f>
        <v>514.79</v>
      </c>
      <c r="P18" s="71">
        <v>0</v>
      </c>
      <c r="Q18" s="55">
        <f t="shared" ref="Q18:Q81" si="6">IF(T17&lt;100,0,M18+P18)</f>
        <v>727.41</v>
      </c>
      <c r="R18" s="55">
        <f t="shared" ref="R18:R81" si="7">N18+P18+R17</f>
        <v>635.66999999999996</v>
      </c>
      <c r="S18" s="55">
        <f t="shared" ref="S18:S81" si="8">O18+S17</f>
        <v>1546.56</v>
      </c>
      <c r="T18" s="55">
        <f t="shared" ref="T18:T81" si="9">IF(T17&lt;100,0,L18-N18-P18)</f>
        <v>149364.32999999999</v>
      </c>
      <c r="U18" s="57">
        <f t="shared" ref="U18:U81" si="10">IF(U17&gt;=180000,180000,K$6+R18)</f>
        <v>30635.67</v>
      </c>
      <c r="W18" s="70">
        <v>44075</v>
      </c>
      <c r="X18" s="55">
        <f t="shared" ref="X18:X30" si="11">AF17</f>
        <v>49993.687741334201</v>
      </c>
      <c r="Y18" s="55">
        <f t="shared" ref="Y18:Y30" si="12">W$11</f>
        <v>544.78</v>
      </c>
      <c r="Z18" s="55">
        <f t="shared" ref="Z18:Z81" si="13">Y18-AA18</f>
        <v>323.55999999999995</v>
      </c>
      <c r="AA18" s="55">
        <f t="shared" ref="AA18:AA30" si="14">ROUND(X18*W$8/12,2)</f>
        <v>221.22</v>
      </c>
      <c r="AB18" s="71">
        <v>0</v>
      </c>
      <c r="AC18" s="55">
        <f t="shared" ref="AC18:AC81" si="15">IF(AF17&lt;100,0,Y18+AB18)</f>
        <v>544.78</v>
      </c>
      <c r="AD18" s="55">
        <f t="shared" ref="AD18:AD30" si="16">Z18+AB18+AD17</f>
        <v>966.39999999999986</v>
      </c>
      <c r="AE18" s="55">
        <f t="shared" ref="AE18:AE30" si="17">AA18+AE17</f>
        <v>667.94</v>
      </c>
      <c r="AF18" s="55">
        <f t="shared" ref="AF18:AF81" si="18">IF(AF17&lt;100,0,X18-Z18-AB18)</f>
        <v>49670.127741334203</v>
      </c>
      <c r="AH18" s="70">
        <v>44075</v>
      </c>
      <c r="AI18" s="55">
        <f t="shared" ref="AI18:AI30" si="19">AQ17</f>
        <v>16551.909084742962</v>
      </c>
      <c r="AJ18" s="55">
        <f t="shared" ref="AJ18:AJ30" si="20">AH$11</f>
        <v>186.04</v>
      </c>
      <c r="AK18" s="55">
        <f t="shared" ref="AK18:AK81" si="21">AJ18-AL18</f>
        <v>103.27999999999999</v>
      </c>
      <c r="AL18" s="55">
        <f t="shared" ref="AL18:AL30" si="22">ROUND(AI18*AH$8/12,2)</f>
        <v>82.76</v>
      </c>
      <c r="AM18" s="71">
        <v>0</v>
      </c>
      <c r="AN18" s="55">
        <f t="shared" ref="AN18:AN81" si="23">IF(AQ17&lt;100,0,AJ18+AM18)</f>
        <v>186.04</v>
      </c>
      <c r="AO18" s="55">
        <f t="shared" ref="AO18:AO30" si="24">AK18+AM18+AO17</f>
        <v>308.30999999999995</v>
      </c>
      <c r="AP18" s="55">
        <f t="shared" ref="AP18:AP30" si="25">AL18+AP17</f>
        <v>249.81</v>
      </c>
      <c r="AQ18" s="55">
        <f t="shared" ref="AQ18:AQ81" si="26">IF(AQ17&lt;100,0,AI18-AK18-AM18)</f>
        <v>16448.629084742963</v>
      </c>
      <c r="AS18" s="70">
        <v>44075</v>
      </c>
      <c r="AT18" s="55">
        <f t="shared" ref="AT18:AT30" si="27">BB17</f>
        <v>17804.547031748771</v>
      </c>
      <c r="AU18" s="55">
        <f t="shared" ref="AU18:AU30" si="28">AS$11</f>
        <v>204.6</v>
      </c>
      <c r="AV18" s="55">
        <f t="shared" ref="AV18:AV81" si="29">AU18-AW18</f>
        <v>108.16</v>
      </c>
      <c r="AW18" s="55">
        <f t="shared" ref="AW18:AW30" si="30">ROUND(AT18*AS$8/12,2)</f>
        <v>96.44</v>
      </c>
      <c r="AX18" s="71">
        <v>0</v>
      </c>
      <c r="AY18" s="55">
        <f t="shared" ref="AY18:AY81" si="31">IF(BB17&lt;100,0,AU18+AX18)</f>
        <v>204.6</v>
      </c>
      <c r="AZ18" s="55">
        <f t="shared" ref="AZ18:AZ30" si="32">AV18+AX18+AZ17</f>
        <v>322.74</v>
      </c>
      <c r="BA18" s="55">
        <f t="shared" ref="BA18:BA30" si="33">AW18+BA17</f>
        <v>291.06</v>
      </c>
      <c r="BB18" s="55">
        <f t="shared" ref="BB18:BB81" si="34">IF(BB17&lt;100,0,AT18-AV18-AX18)</f>
        <v>17696.387031748771</v>
      </c>
      <c r="BD18" s="70">
        <v>44075</v>
      </c>
      <c r="BE18" s="55">
        <f t="shared" ref="BE18:BE30" si="35">BM17</f>
        <v>16851.075657610108</v>
      </c>
      <c r="BF18" s="55">
        <f t="shared" ref="BF18:BF30" si="36">BD$11</f>
        <v>221.51</v>
      </c>
      <c r="BG18" s="55">
        <f t="shared" ref="BG18:BG81" si="37">BF18-BH18</f>
        <v>123.21</v>
      </c>
      <c r="BH18" s="55">
        <f t="shared" ref="BH18:BH30" si="38">ROUND(BE18*BD$8/12,2)</f>
        <v>98.3</v>
      </c>
      <c r="BI18" s="71">
        <v>1000</v>
      </c>
      <c r="BJ18" s="55">
        <f t="shared" ref="BJ18:BJ81" si="39">IF(BM17&lt;100,0,BF18+BI18)</f>
        <v>1221.51</v>
      </c>
      <c r="BK18" s="55">
        <f t="shared" ref="BK18:BK30" si="40">BG18+BI18+BK17</f>
        <v>3350.13</v>
      </c>
      <c r="BL18" s="55">
        <f t="shared" ref="BL18:BL30" si="41">BH18+BL17</f>
        <v>314.40000000000003</v>
      </c>
      <c r="BM18" s="55">
        <f t="shared" ref="BM18:BM81" si="42">IF(BM17&lt;100,0,BE18-BG18-BI18)</f>
        <v>15727.865657610109</v>
      </c>
    </row>
    <row r="19" spans="1:65" x14ac:dyDescent="0.25">
      <c r="A19" s="70">
        <v>43922</v>
      </c>
      <c r="B19" s="55">
        <f t="shared" si="1"/>
        <v>727.41</v>
      </c>
      <c r="C19">
        <v>0</v>
      </c>
      <c r="D19">
        <v>0</v>
      </c>
      <c r="E19">
        <v>0</v>
      </c>
      <c r="F19">
        <v>0</v>
      </c>
      <c r="G19" s="55">
        <f t="shared" si="0"/>
        <v>727.41</v>
      </c>
      <c r="J19">
        <v>1</v>
      </c>
      <c r="K19" s="70">
        <v>43922</v>
      </c>
      <c r="L19" s="55">
        <f t="shared" si="2"/>
        <v>149364.32999999999</v>
      </c>
      <c r="M19" s="55">
        <f t="shared" si="3"/>
        <v>727.41</v>
      </c>
      <c r="N19" s="55">
        <f t="shared" si="4"/>
        <v>213.35000000000002</v>
      </c>
      <c r="O19" s="55">
        <f t="shared" si="5"/>
        <v>514.05999999999995</v>
      </c>
      <c r="P19" s="71">
        <v>0</v>
      </c>
      <c r="Q19" s="55">
        <f t="shared" si="6"/>
        <v>727.41</v>
      </c>
      <c r="R19" s="55">
        <f t="shared" si="7"/>
        <v>849.02</v>
      </c>
      <c r="S19" s="55">
        <f t="shared" si="8"/>
        <v>2060.62</v>
      </c>
      <c r="T19" s="55">
        <f t="shared" si="9"/>
        <v>149150.97999999998</v>
      </c>
      <c r="U19" s="57">
        <f t="shared" si="10"/>
        <v>30849.02</v>
      </c>
      <c r="W19" s="70">
        <v>44105</v>
      </c>
      <c r="X19" s="55">
        <f t="shared" si="11"/>
        <v>49670.127741334203</v>
      </c>
      <c r="Y19" s="55">
        <f t="shared" si="12"/>
        <v>544.78</v>
      </c>
      <c r="Z19" s="55">
        <f t="shared" si="13"/>
        <v>324.99</v>
      </c>
      <c r="AA19" s="55">
        <f t="shared" si="14"/>
        <v>219.79</v>
      </c>
      <c r="AB19" s="71">
        <v>0</v>
      </c>
      <c r="AC19" s="55">
        <f t="shared" si="15"/>
        <v>544.78</v>
      </c>
      <c r="AD19" s="55">
        <f t="shared" si="16"/>
        <v>1291.3899999999999</v>
      </c>
      <c r="AE19" s="55">
        <f t="shared" si="17"/>
        <v>887.73</v>
      </c>
      <c r="AF19" s="55">
        <f t="shared" si="18"/>
        <v>49345.137741334205</v>
      </c>
      <c r="AH19" s="70">
        <v>44105</v>
      </c>
      <c r="AI19" s="55">
        <f t="shared" si="19"/>
        <v>16448.629084742963</v>
      </c>
      <c r="AJ19" s="55">
        <f t="shared" si="20"/>
        <v>186.04</v>
      </c>
      <c r="AK19" s="55">
        <f t="shared" si="21"/>
        <v>103.8</v>
      </c>
      <c r="AL19" s="55">
        <f t="shared" si="22"/>
        <v>82.24</v>
      </c>
      <c r="AM19" s="71">
        <v>0</v>
      </c>
      <c r="AN19" s="55">
        <f t="shared" si="23"/>
        <v>186.04</v>
      </c>
      <c r="AO19" s="55">
        <f t="shared" si="24"/>
        <v>412.10999999999996</v>
      </c>
      <c r="AP19" s="55">
        <f t="shared" si="25"/>
        <v>332.05</v>
      </c>
      <c r="AQ19" s="55">
        <f t="shared" si="26"/>
        <v>16344.829084742963</v>
      </c>
      <c r="AS19" s="70">
        <v>44105</v>
      </c>
      <c r="AT19" s="55">
        <f t="shared" si="27"/>
        <v>17696.387031748771</v>
      </c>
      <c r="AU19" s="55">
        <f t="shared" si="28"/>
        <v>204.6</v>
      </c>
      <c r="AV19" s="55">
        <f t="shared" si="29"/>
        <v>108.74</v>
      </c>
      <c r="AW19" s="55">
        <f t="shared" si="30"/>
        <v>95.86</v>
      </c>
      <c r="AX19" s="71">
        <v>0</v>
      </c>
      <c r="AY19" s="55">
        <f t="shared" si="31"/>
        <v>204.6</v>
      </c>
      <c r="AZ19" s="55">
        <f t="shared" si="32"/>
        <v>431.48</v>
      </c>
      <c r="BA19" s="55">
        <f t="shared" si="33"/>
        <v>386.92</v>
      </c>
      <c r="BB19" s="55">
        <f t="shared" si="34"/>
        <v>17587.647031748769</v>
      </c>
      <c r="BD19" s="70">
        <v>44105</v>
      </c>
      <c r="BE19" s="55">
        <f t="shared" si="35"/>
        <v>15727.865657610109</v>
      </c>
      <c r="BF19" s="55">
        <f t="shared" si="36"/>
        <v>221.51</v>
      </c>
      <c r="BG19" s="55">
        <f t="shared" si="37"/>
        <v>129.76</v>
      </c>
      <c r="BH19" s="55">
        <f t="shared" si="38"/>
        <v>91.75</v>
      </c>
      <c r="BI19" s="71">
        <v>1000</v>
      </c>
      <c r="BJ19" s="55">
        <f t="shared" si="39"/>
        <v>1221.51</v>
      </c>
      <c r="BK19" s="55">
        <f t="shared" si="40"/>
        <v>4479.8900000000003</v>
      </c>
      <c r="BL19" s="55">
        <f t="shared" si="41"/>
        <v>406.15000000000003</v>
      </c>
      <c r="BM19" s="55">
        <f t="shared" si="42"/>
        <v>14598.105657610109</v>
      </c>
    </row>
    <row r="20" spans="1:65" x14ac:dyDescent="0.25">
      <c r="A20" s="70">
        <v>43952</v>
      </c>
      <c r="B20" s="55">
        <f t="shared" si="1"/>
        <v>727.41</v>
      </c>
      <c r="C20">
        <v>0</v>
      </c>
      <c r="D20">
        <v>0</v>
      </c>
      <c r="E20">
        <v>0</v>
      </c>
      <c r="F20">
        <v>0</v>
      </c>
      <c r="G20" s="55">
        <f t="shared" si="0"/>
        <v>727.41</v>
      </c>
      <c r="J20">
        <v>1</v>
      </c>
      <c r="K20" s="70">
        <v>43952</v>
      </c>
      <c r="L20" s="55">
        <f t="shared" si="2"/>
        <v>149150.97999999998</v>
      </c>
      <c r="M20" s="55">
        <f t="shared" si="3"/>
        <v>727.41</v>
      </c>
      <c r="N20" s="55">
        <f t="shared" si="4"/>
        <v>214.07999999999993</v>
      </c>
      <c r="O20" s="55">
        <f t="shared" si="5"/>
        <v>513.33000000000004</v>
      </c>
      <c r="P20" s="71">
        <v>0</v>
      </c>
      <c r="Q20" s="55">
        <f t="shared" si="6"/>
        <v>727.41</v>
      </c>
      <c r="R20" s="55">
        <f t="shared" si="7"/>
        <v>1063.0999999999999</v>
      </c>
      <c r="S20" s="55">
        <f t="shared" si="8"/>
        <v>2573.9499999999998</v>
      </c>
      <c r="T20" s="55">
        <f t="shared" si="9"/>
        <v>148936.9</v>
      </c>
      <c r="U20" s="57">
        <f t="shared" si="10"/>
        <v>31063.1</v>
      </c>
      <c r="W20" s="70">
        <v>44136</v>
      </c>
      <c r="X20" s="55">
        <f t="shared" si="11"/>
        <v>49345.137741334205</v>
      </c>
      <c r="Y20" s="55">
        <f t="shared" si="12"/>
        <v>544.78</v>
      </c>
      <c r="Z20" s="55">
        <f t="shared" si="13"/>
        <v>326.42999999999995</v>
      </c>
      <c r="AA20" s="55">
        <f t="shared" si="14"/>
        <v>218.35</v>
      </c>
      <c r="AB20" s="71">
        <v>0</v>
      </c>
      <c r="AC20" s="55">
        <f t="shared" si="15"/>
        <v>544.78</v>
      </c>
      <c r="AD20" s="55">
        <f t="shared" si="16"/>
        <v>1617.8199999999997</v>
      </c>
      <c r="AE20" s="55">
        <f t="shared" si="17"/>
        <v>1106.08</v>
      </c>
      <c r="AF20" s="55">
        <f t="shared" si="18"/>
        <v>49018.707741334205</v>
      </c>
      <c r="AH20" s="70">
        <v>44136</v>
      </c>
      <c r="AI20" s="55">
        <f t="shared" si="19"/>
        <v>16344.829084742963</v>
      </c>
      <c r="AJ20" s="55">
        <f t="shared" si="20"/>
        <v>186.04</v>
      </c>
      <c r="AK20" s="55">
        <f t="shared" si="21"/>
        <v>104.32</v>
      </c>
      <c r="AL20" s="55">
        <f t="shared" si="22"/>
        <v>81.72</v>
      </c>
      <c r="AM20" s="71">
        <v>0</v>
      </c>
      <c r="AN20" s="55">
        <f t="shared" si="23"/>
        <v>186.04</v>
      </c>
      <c r="AO20" s="55">
        <f t="shared" si="24"/>
        <v>516.42999999999995</v>
      </c>
      <c r="AP20" s="55">
        <f t="shared" si="25"/>
        <v>413.77</v>
      </c>
      <c r="AQ20" s="55">
        <f t="shared" si="26"/>
        <v>16240.509084742964</v>
      </c>
      <c r="AS20" s="70">
        <v>44136</v>
      </c>
      <c r="AT20" s="55">
        <f t="shared" si="27"/>
        <v>17587.647031748769</v>
      </c>
      <c r="AU20" s="55">
        <f t="shared" si="28"/>
        <v>204.6</v>
      </c>
      <c r="AV20" s="55">
        <f t="shared" si="29"/>
        <v>109.33</v>
      </c>
      <c r="AW20" s="55">
        <f t="shared" si="30"/>
        <v>95.27</v>
      </c>
      <c r="AX20" s="71">
        <v>0</v>
      </c>
      <c r="AY20" s="55">
        <f t="shared" si="31"/>
        <v>204.6</v>
      </c>
      <c r="AZ20" s="55">
        <f t="shared" si="32"/>
        <v>540.81000000000006</v>
      </c>
      <c r="BA20" s="55">
        <f t="shared" si="33"/>
        <v>482.19</v>
      </c>
      <c r="BB20" s="55">
        <f t="shared" si="34"/>
        <v>17478.317031748767</v>
      </c>
      <c r="BD20" s="70">
        <v>44136</v>
      </c>
      <c r="BE20" s="55">
        <f t="shared" si="35"/>
        <v>14598.105657610109</v>
      </c>
      <c r="BF20" s="55">
        <f t="shared" si="36"/>
        <v>221.51</v>
      </c>
      <c r="BG20" s="55">
        <f t="shared" si="37"/>
        <v>136.35</v>
      </c>
      <c r="BH20" s="55">
        <f t="shared" si="38"/>
        <v>85.16</v>
      </c>
      <c r="BI20" s="71">
        <v>1000</v>
      </c>
      <c r="BJ20" s="55">
        <f t="shared" si="39"/>
        <v>1221.51</v>
      </c>
      <c r="BK20" s="55">
        <f t="shared" si="40"/>
        <v>5616.24</v>
      </c>
      <c r="BL20" s="55">
        <f t="shared" si="41"/>
        <v>491.31000000000006</v>
      </c>
      <c r="BM20" s="55">
        <f t="shared" si="42"/>
        <v>13461.755657610109</v>
      </c>
    </row>
    <row r="21" spans="1:65" x14ac:dyDescent="0.25">
      <c r="A21" s="70">
        <v>43983</v>
      </c>
      <c r="B21" s="55">
        <f t="shared" ref="B21:B49" si="43">Q21</f>
        <v>727.41</v>
      </c>
      <c r="C21">
        <v>0</v>
      </c>
      <c r="D21">
        <v>0</v>
      </c>
      <c r="E21">
        <v>0</v>
      </c>
      <c r="F21">
        <v>0</v>
      </c>
      <c r="G21" s="55">
        <f t="shared" si="0"/>
        <v>727.41</v>
      </c>
      <c r="J21">
        <v>1</v>
      </c>
      <c r="K21" s="70">
        <v>43983</v>
      </c>
      <c r="L21" s="55">
        <f t="shared" si="2"/>
        <v>148936.9</v>
      </c>
      <c r="M21" s="55">
        <f t="shared" si="3"/>
        <v>727.41</v>
      </c>
      <c r="N21" s="55">
        <f t="shared" si="4"/>
        <v>214.81999999999994</v>
      </c>
      <c r="O21" s="55">
        <f t="shared" si="5"/>
        <v>512.59</v>
      </c>
      <c r="P21" s="71">
        <v>0</v>
      </c>
      <c r="Q21" s="55">
        <f t="shared" si="6"/>
        <v>727.41</v>
      </c>
      <c r="R21" s="55">
        <f t="shared" si="7"/>
        <v>1277.9199999999998</v>
      </c>
      <c r="S21" s="55">
        <f t="shared" si="8"/>
        <v>3086.54</v>
      </c>
      <c r="T21" s="55">
        <f t="shared" si="9"/>
        <v>148722.07999999999</v>
      </c>
      <c r="U21" s="57">
        <f t="shared" si="10"/>
        <v>31277.919999999998</v>
      </c>
      <c r="W21" s="70">
        <v>44166</v>
      </c>
      <c r="X21" s="55">
        <f t="shared" si="11"/>
        <v>49018.707741334205</v>
      </c>
      <c r="Y21" s="55">
        <f t="shared" si="12"/>
        <v>544.78</v>
      </c>
      <c r="Z21" s="55">
        <f t="shared" si="13"/>
        <v>327.87</v>
      </c>
      <c r="AA21" s="55">
        <f t="shared" si="14"/>
        <v>216.91</v>
      </c>
      <c r="AB21" s="71">
        <v>0</v>
      </c>
      <c r="AC21" s="55">
        <f t="shared" si="15"/>
        <v>544.78</v>
      </c>
      <c r="AD21" s="55">
        <f t="shared" si="16"/>
        <v>1945.6899999999996</v>
      </c>
      <c r="AE21" s="55">
        <f t="shared" si="17"/>
        <v>1322.99</v>
      </c>
      <c r="AF21" s="55">
        <f t="shared" si="18"/>
        <v>48690.837741334202</v>
      </c>
      <c r="AH21" s="70">
        <v>44166</v>
      </c>
      <c r="AI21" s="55">
        <f t="shared" si="19"/>
        <v>16240.509084742964</v>
      </c>
      <c r="AJ21" s="55">
        <f t="shared" si="20"/>
        <v>186.04</v>
      </c>
      <c r="AK21" s="55">
        <f t="shared" si="21"/>
        <v>104.83999999999999</v>
      </c>
      <c r="AL21" s="55">
        <f t="shared" si="22"/>
        <v>81.2</v>
      </c>
      <c r="AM21" s="71">
        <v>0</v>
      </c>
      <c r="AN21" s="55">
        <f t="shared" si="23"/>
        <v>186.04</v>
      </c>
      <c r="AO21" s="55">
        <f t="shared" si="24"/>
        <v>621.27</v>
      </c>
      <c r="AP21" s="55">
        <f t="shared" si="25"/>
        <v>494.96999999999997</v>
      </c>
      <c r="AQ21" s="55">
        <f t="shared" si="26"/>
        <v>16135.669084742964</v>
      </c>
      <c r="AS21" s="70">
        <v>44166</v>
      </c>
      <c r="AT21" s="55">
        <f t="shared" si="27"/>
        <v>17478.317031748767</v>
      </c>
      <c r="AU21" s="55">
        <f t="shared" si="28"/>
        <v>204.6</v>
      </c>
      <c r="AV21" s="55">
        <f t="shared" si="29"/>
        <v>109.92999999999999</v>
      </c>
      <c r="AW21" s="55">
        <f t="shared" si="30"/>
        <v>94.67</v>
      </c>
      <c r="AX21" s="71">
        <v>0</v>
      </c>
      <c r="AY21" s="55">
        <f t="shared" si="31"/>
        <v>204.6</v>
      </c>
      <c r="AZ21" s="55">
        <f t="shared" si="32"/>
        <v>650.74</v>
      </c>
      <c r="BA21" s="55">
        <f t="shared" si="33"/>
        <v>576.86</v>
      </c>
      <c r="BB21" s="55">
        <f t="shared" si="34"/>
        <v>17368.387031748767</v>
      </c>
      <c r="BD21" s="70">
        <v>44166</v>
      </c>
      <c r="BE21" s="55">
        <f t="shared" si="35"/>
        <v>13461.755657610109</v>
      </c>
      <c r="BF21" s="55">
        <f t="shared" si="36"/>
        <v>221.51</v>
      </c>
      <c r="BG21" s="55">
        <f t="shared" si="37"/>
        <v>142.97999999999999</v>
      </c>
      <c r="BH21" s="55">
        <f t="shared" si="38"/>
        <v>78.53</v>
      </c>
      <c r="BI21" s="71">
        <v>1000</v>
      </c>
      <c r="BJ21" s="55">
        <f t="shared" si="39"/>
        <v>1221.51</v>
      </c>
      <c r="BK21" s="55">
        <f t="shared" si="40"/>
        <v>6759.2199999999993</v>
      </c>
      <c r="BL21" s="55">
        <f t="shared" si="41"/>
        <v>569.84</v>
      </c>
      <c r="BM21" s="55">
        <f t="shared" si="42"/>
        <v>12318.775657610109</v>
      </c>
    </row>
    <row r="22" spans="1:65" x14ac:dyDescent="0.25">
      <c r="A22" s="70">
        <v>44013</v>
      </c>
      <c r="B22" s="55">
        <f t="shared" si="43"/>
        <v>727.41</v>
      </c>
      <c r="C22" s="55">
        <f t="shared" ref="C22:C53" si="44">AC16</f>
        <v>544.78</v>
      </c>
      <c r="D22" s="55">
        <f t="shared" ref="D22:D53" si="45">AN16</f>
        <v>186.04</v>
      </c>
      <c r="E22" s="55">
        <f t="shared" ref="E22:E53" si="46">AY16</f>
        <v>204.6</v>
      </c>
      <c r="F22" s="55">
        <f t="shared" ref="F22:F53" si="47">BJ16</f>
        <v>1221.51</v>
      </c>
      <c r="G22" s="55">
        <f t="shared" si="0"/>
        <v>2884.34</v>
      </c>
      <c r="J22">
        <v>1</v>
      </c>
      <c r="K22" s="70">
        <v>44013</v>
      </c>
      <c r="L22" s="55">
        <f t="shared" si="2"/>
        <v>148722.07999999999</v>
      </c>
      <c r="M22" s="55">
        <f t="shared" si="3"/>
        <v>727.41</v>
      </c>
      <c r="N22" s="55">
        <f t="shared" si="4"/>
        <v>215.55999999999995</v>
      </c>
      <c r="O22" s="55">
        <f t="shared" si="5"/>
        <v>511.85</v>
      </c>
      <c r="P22" s="71">
        <v>0</v>
      </c>
      <c r="Q22" s="55">
        <f t="shared" si="6"/>
        <v>727.41</v>
      </c>
      <c r="R22" s="55">
        <f t="shared" si="7"/>
        <v>1493.4799999999998</v>
      </c>
      <c r="S22" s="55">
        <f t="shared" si="8"/>
        <v>3598.39</v>
      </c>
      <c r="T22" s="55">
        <f t="shared" si="9"/>
        <v>148506.51999999999</v>
      </c>
      <c r="U22" s="57">
        <f t="shared" si="10"/>
        <v>31493.48</v>
      </c>
      <c r="W22" s="70">
        <v>44197</v>
      </c>
      <c r="X22" s="55">
        <f t="shared" si="11"/>
        <v>48690.837741334202</v>
      </c>
      <c r="Y22" s="55">
        <f t="shared" si="12"/>
        <v>544.78</v>
      </c>
      <c r="Z22" s="55">
        <f t="shared" si="13"/>
        <v>329.31999999999994</v>
      </c>
      <c r="AA22" s="55">
        <f t="shared" si="14"/>
        <v>215.46</v>
      </c>
      <c r="AB22" s="71">
        <v>0</v>
      </c>
      <c r="AC22" s="55">
        <f t="shared" si="15"/>
        <v>544.78</v>
      </c>
      <c r="AD22" s="55">
        <f t="shared" si="16"/>
        <v>2275.0099999999993</v>
      </c>
      <c r="AE22" s="55">
        <f t="shared" si="17"/>
        <v>1538.45</v>
      </c>
      <c r="AF22" s="55">
        <f t="shared" si="18"/>
        <v>48361.517741334203</v>
      </c>
      <c r="AH22" s="70">
        <v>44197</v>
      </c>
      <c r="AI22" s="55">
        <f t="shared" si="19"/>
        <v>16135.669084742964</v>
      </c>
      <c r="AJ22" s="55">
        <f t="shared" si="20"/>
        <v>186.04</v>
      </c>
      <c r="AK22" s="55">
        <f t="shared" si="21"/>
        <v>105.35999999999999</v>
      </c>
      <c r="AL22" s="55">
        <f t="shared" si="22"/>
        <v>80.680000000000007</v>
      </c>
      <c r="AM22" s="71">
        <v>0</v>
      </c>
      <c r="AN22" s="55">
        <f t="shared" si="23"/>
        <v>186.04</v>
      </c>
      <c r="AO22" s="55">
        <f t="shared" si="24"/>
        <v>726.63</v>
      </c>
      <c r="AP22" s="55">
        <f t="shared" si="25"/>
        <v>575.65</v>
      </c>
      <c r="AQ22" s="55">
        <f t="shared" si="26"/>
        <v>16030.309084742963</v>
      </c>
      <c r="AS22" s="70">
        <v>44197</v>
      </c>
      <c r="AT22" s="55">
        <f t="shared" si="27"/>
        <v>17368.387031748767</v>
      </c>
      <c r="AU22" s="55">
        <f t="shared" si="28"/>
        <v>204.6</v>
      </c>
      <c r="AV22" s="55">
        <f t="shared" si="29"/>
        <v>110.52</v>
      </c>
      <c r="AW22" s="55">
        <f t="shared" si="30"/>
        <v>94.08</v>
      </c>
      <c r="AX22" s="71">
        <v>0</v>
      </c>
      <c r="AY22" s="55">
        <f t="shared" si="31"/>
        <v>204.6</v>
      </c>
      <c r="AZ22" s="55">
        <f t="shared" si="32"/>
        <v>761.26</v>
      </c>
      <c r="BA22" s="55">
        <f t="shared" si="33"/>
        <v>670.94</v>
      </c>
      <c r="BB22" s="55">
        <f t="shared" si="34"/>
        <v>17257.867031748767</v>
      </c>
      <c r="BD22" s="70">
        <v>44197</v>
      </c>
      <c r="BE22" s="55">
        <f t="shared" si="35"/>
        <v>12318.775657610109</v>
      </c>
      <c r="BF22" s="55">
        <f t="shared" si="36"/>
        <v>221.51</v>
      </c>
      <c r="BG22" s="55">
        <f t="shared" si="37"/>
        <v>149.64999999999998</v>
      </c>
      <c r="BH22" s="55">
        <f t="shared" si="38"/>
        <v>71.86</v>
      </c>
      <c r="BI22" s="71">
        <v>1000</v>
      </c>
      <c r="BJ22" s="55">
        <f t="shared" si="39"/>
        <v>1221.51</v>
      </c>
      <c r="BK22" s="55">
        <f t="shared" si="40"/>
        <v>7908.869999999999</v>
      </c>
      <c r="BL22" s="55">
        <f t="shared" si="41"/>
        <v>641.70000000000005</v>
      </c>
      <c r="BM22" s="55">
        <f t="shared" si="42"/>
        <v>11169.12565761011</v>
      </c>
    </row>
    <row r="23" spans="1:65" x14ac:dyDescent="0.25">
      <c r="A23" s="70">
        <v>44044</v>
      </c>
      <c r="B23" s="55">
        <f t="shared" si="43"/>
        <v>727.41</v>
      </c>
      <c r="C23" s="55">
        <f t="shared" si="44"/>
        <v>544.78</v>
      </c>
      <c r="D23" s="55">
        <f t="shared" si="45"/>
        <v>186.04</v>
      </c>
      <c r="E23" s="55">
        <f t="shared" si="46"/>
        <v>204.6</v>
      </c>
      <c r="F23" s="55">
        <f t="shared" si="47"/>
        <v>1221.51</v>
      </c>
      <c r="G23" s="55">
        <f t="shared" si="0"/>
        <v>2884.34</v>
      </c>
      <c r="J23">
        <v>1</v>
      </c>
      <c r="K23" s="70">
        <v>44044</v>
      </c>
      <c r="L23" s="55">
        <f t="shared" si="2"/>
        <v>148506.51999999999</v>
      </c>
      <c r="M23" s="55">
        <f t="shared" si="3"/>
        <v>727.41</v>
      </c>
      <c r="N23" s="55">
        <f t="shared" si="4"/>
        <v>216.29999999999995</v>
      </c>
      <c r="O23" s="55">
        <f t="shared" si="5"/>
        <v>511.11</v>
      </c>
      <c r="P23" s="71">
        <v>0</v>
      </c>
      <c r="Q23" s="55">
        <f t="shared" si="6"/>
        <v>727.41</v>
      </c>
      <c r="R23" s="55">
        <f t="shared" si="7"/>
        <v>1709.7799999999997</v>
      </c>
      <c r="S23" s="55">
        <f t="shared" si="8"/>
        <v>4109.5</v>
      </c>
      <c r="T23" s="55">
        <f t="shared" si="9"/>
        <v>148290.22</v>
      </c>
      <c r="U23" s="57">
        <f t="shared" si="10"/>
        <v>31709.78</v>
      </c>
      <c r="W23" s="70">
        <v>44228</v>
      </c>
      <c r="X23" s="55">
        <f t="shared" si="11"/>
        <v>48361.517741334203</v>
      </c>
      <c r="Y23" s="55">
        <f t="shared" si="12"/>
        <v>544.78</v>
      </c>
      <c r="Z23" s="55">
        <f t="shared" si="13"/>
        <v>330.78</v>
      </c>
      <c r="AA23" s="55">
        <f t="shared" si="14"/>
        <v>214</v>
      </c>
      <c r="AB23" s="71">
        <v>0</v>
      </c>
      <c r="AC23" s="55">
        <f t="shared" si="15"/>
        <v>544.78</v>
      </c>
      <c r="AD23" s="55">
        <f t="shared" si="16"/>
        <v>2605.7899999999991</v>
      </c>
      <c r="AE23" s="55">
        <f t="shared" si="17"/>
        <v>1752.45</v>
      </c>
      <c r="AF23" s="55">
        <f t="shared" si="18"/>
        <v>48030.737741334204</v>
      </c>
      <c r="AH23" s="70">
        <v>44228</v>
      </c>
      <c r="AI23" s="55">
        <f t="shared" si="19"/>
        <v>16030.309084742963</v>
      </c>
      <c r="AJ23" s="55">
        <f t="shared" si="20"/>
        <v>186.04</v>
      </c>
      <c r="AK23" s="55">
        <f t="shared" si="21"/>
        <v>105.88999999999999</v>
      </c>
      <c r="AL23" s="55">
        <f t="shared" si="22"/>
        <v>80.150000000000006</v>
      </c>
      <c r="AM23" s="71">
        <v>0</v>
      </c>
      <c r="AN23" s="55">
        <f t="shared" si="23"/>
        <v>186.04</v>
      </c>
      <c r="AO23" s="55">
        <f t="shared" si="24"/>
        <v>832.52</v>
      </c>
      <c r="AP23" s="55">
        <f t="shared" si="25"/>
        <v>655.8</v>
      </c>
      <c r="AQ23" s="55">
        <f t="shared" si="26"/>
        <v>15924.419084742964</v>
      </c>
      <c r="AS23" s="70">
        <v>44228</v>
      </c>
      <c r="AT23" s="55">
        <f t="shared" si="27"/>
        <v>17257.867031748767</v>
      </c>
      <c r="AU23" s="55">
        <f t="shared" si="28"/>
        <v>204.6</v>
      </c>
      <c r="AV23" s="55">
        <f t="shared" si="29"/>
        <v>111.11999999999999</v>
      </c>
      <c r="AW23" s="55">
        <f t="shared" si="30"/>
        <v>93.48</v>
      </c>
      <c r="AX23" s="71">
        <v>0</v>
      </c>
      <c r="AY23" s="55">
        <f t="shared" si="31"/>
        <v>204.6</v>
      </c>
      <c r="AZ23" s="55">
        <f t="shared" si="32"/>
        <v>872.38</v>
      </c>
      <c r="BA23" s="55">
        <f t="shared" si="33"/>
        <v>764.42000000000007</v>
      </c>
      <c r="BB23" s="55">
        <f t="shared" si="34"/>
        <v>17146.747031748768</v>
      </c>
      <c r="BD23" s="70">
        <v>44228</v>
      </c>
      <c r="BE23" s="55">
        <f t="shared" si="35"/>
        <v>11169.12565761011</v>
      </c>
      <c r="BF23" s="55">
        <f t="shared" si="36"/>
        <v>221.51</v>
      </c>
      <c r="BG23" s="55">
        <f t="shared" si="37"/>
        <v>156.35999999999999</v>
      </c>
      <c r="BH23" s="55">
        <f t="shared" si="38"/>
        <v>65.150000000000006</v>
      </c>
      <c r="BI23" s="71">
        <v>1000</v>
      </c>
      <c r="BJ23" s="55">
        <f t="shared" si="39"/>
        <v>1221.51</v>
      </c>
      <c r="BK23" s="55">
        <f t="shared" si="40"/>
        <v>9065.23</v>
      </c>
      <c r="BL23" s="55">
        <f t="shared" si="41"/>
        <v>706.85</v>
      </c>
      <c r="BM23" s="55">
        <f t="shared" si="42"/>
        <v>10012.765657610109</v>
      </c>
    </row>
    <row r="24" spans="1:65" x14ac:dyDescent="0.25">
      <c r="A24" s="70">
        <v>44075</v>
      </c>
      <c r="B24" s="55">
        <f t="shared" si="43"/>
        <v>727.41</v>
      </c>
      <c r="C24" s="55">
        <f t="shared" si="44"/>
        <v>544.78</v>
      </c>
      <c r="D24" s="55">
        <f t="shared" si="45"/>
        <v>186.04</v>
      </c>
      <c r="E24" s="55">
        <f t="shared" si="46"/>
        <v>204.6</v>
      </c>
      <c r="F24" s="55">
        <f t="shared" si="47"/>
        <v>1221.51</v>
      </c>
      <c r="G24" s="55">
        <f t="shared" si="0"/>
        <v>2884.34</v>
      </c>
      <c r="J24">
        <v>1</v>
      </c>
      <c r="K24" s="70">
        <v>44075</v>
      </c>
      <c r="L24" s="55">
        <f t="shared" si="2"/>
        <v>148290.22</v>
      </c>
      <c r="M24" s="55">
        <f t="shared" si="3"/>
        <v>727.41</v>
      </c>
      <c r="N24" s="55">
        <f t="shared" si="4"/>
        <v>217.03999999999996</v>
      </c>
      <c r="O24" s="55">
        <f t="shared" si="5"/>
        <v>510.37</v>
      </c>
      <c r="P24" s="71">
        <v>0</v>
      </c>
      <c r="Q24" s="55">
        <f t="shared" si="6"/>
        <v>727.41</v>
      </c>
      <c r="R24" s="55">
        <f t="shared" si="7"/>
        <v>1926.8199999999997</v>
      </c>
      <c r="S24" s="55">
        <f t="shared" si="8"/>
        <v>4619.87</v>
      </c>
      <c r="T24" s="55">
        <f t="shared" si="9"/>
        <v>148073.18</v>
      </c>
      <c r="U24" s="57">
        <f t="shared" si="10"/>
        <v>31926.82</v>
      </c>
      <c r="W24" s="70">
        <v>44256</v>
      </c>
      <c r="X24" s="55">
        <f t="shared" si="11"/>
        <v>48030.737741334204</v>
      </c>
      <c r="Y24" s="55">
        <f t="shared" si="12"/>
        <v>544.78</v>
      </c>
      <c r="Z24" s="55">
        <f t="shared" si="13"/>
        <v>332.24</v>
      </c>
      <c r="AA24" s="55">
        <f t="shared" si="14"/>
        <v>212.54</v>
      </c>
      <c r="AB24" s="71">
        <v>0</v>
      </c>
      <c r="AC24" s="55">
        <f t="shared" si="15"/>
        <v>544.78</v>
      </c>
      <c r="AD24" s="55">
        <f t="shared" si="16"/>
        <v>2938.0299999999988</v>
      </c>
      <c r="AE24" s="55">
        <f t="shared" si="17"/>
        <v>1964.99</v>
      </c>
      <c r="AF24" s="55">
        <f t="shared" si="18"/>
        <v>47698.497741334206</v>
      </c>
      <c r="AH24" s="70">
        <v>44256</v>
      </c>
      <c r="AI24" s="55">
        <f t="shared" si="19"/>
        <v>15924.419084742964</v>
      </c>
      <c r="AJ24" s="55">
        <f t="shared" si="20"/>
        <v>186.04</v>
      </c>
      <c r="AK24" s="55">
        <f t="shared" si="21"/>
        <v>106.41999999999999</v>
      </c>
      <c r="AL24" s="55">
        <f t="shared" si="22"/>
        <v>79.62</v>
      </c>
      <c r="AM24" s="71">
        <v>0</v>
      </c>
      <c r="AN24" s="55">
        <f t="shared" si="23"/>
        <v>186.04</v>
      </c>
      <c r="AO24" s="55">
        <f t="shared" si="24"/>
        <v>938.93999999999994</v>
      </c>
      <c r="AP24" s="55">
        <f t="shared" si="25"/>
        <v>735.42</v>
      </c>
      <c r="AQ24" s="55">
        <f t="shared" si="26"/>
        <v>15817.999084742964</v>
      </c>
      <c r="AS24" s="70">
        <v>44256</v>
      </c>
      <c r="AT24" s="55">
        <f t="shared" si="27"/>
        <v>17146.747031748768</v>
      </c>
      <c r="AU24" s="55">
        <f t="shared" si="28"/>
        <v>204.6</v>
      </c>
      <c r="AV24" s="55">
        <f t="shared" si="29"/>
        <v>111.72</v>
      </c>
      <c r="AW24" s="55">
        <f t="shared" si="30"/>
        <v>92.88</v>
      </c>
      <c r="AX24" s="71">
        <v>0</v>
      </c>
      <c r="AY24" s="55">
        <f t="shared" si="31"/>
        <v>204.6</v>
      </c>
      <c r="AZ24" s="55">
        <f t="shared" si="32"/>
        <v>984.1</v>
      </c>
      <c r="BA24" s="55">
        <f t="shared" si="33"/>
        <v>857.30000000000007</v>
      </c>
      <c r="BB24" s="55">
        <f t="shared" si="34"/>
        <v>17035.027031748767</v>
      </c>
      <c r="BD24" s="70">
        <v>44256</v>
      </c>
      <c r="BE24" s="55">
        <f t="shared" si="35"/>
        <v>10012.765657610109</v>
      </c>
      <c r="BF24" s="55">
        <f t="shared" si="36"/>
        <v>221.51</v>
      </c>
      <c r="BG24" s="55">
        <f t="shared" si="37"/>
        <v>163.1</v>
      </c>
      <c r="BH24" s="55">
        <f t="shared" si="38"/>
        <v>58.41</v>
      </c>
      <c r="BI24" s="71">
        <v>1000</v>
      </c>
      <c r="BJ24" s="55">
        <f t="shared" si="39"/>
        <v>1221.51</v>
      </c>
      <c r="BK24" s="55">
        <f t="shared" si="40"/>
        <v>10228.33</v>
      </c>
      <c r="BL24" s="55">
        <f t="shared" si="41"/>
        <v>765.26</v>
      </c>
      <c r="BM24" s="55">
        <f t="shared" si="42"/>
        <v>8849.6656576101086</v>
      </c>
    </row>
    <row r="25" spans="1:65" x14ac:dyDescent="0.25">
      <c r="A25" s="70">
        <v>44105</v>
      </c>
      <c r="B25" s="55">
        <f t="shared" si="43"/>
        <v>727.41</v>
      </c>
      <c r="C25" s="55">
        <f t="shared" si="44"/>
        <v>544.78</v>
      </c>
      <c r="D25" s="55">
        <f t="shared" si="45"/>
        <v>186.04</v>
      </c>
      <c r="E25" s="55">
        <f t="shared" si="46"/>
        <v>204.6</v>
      </c>
      <c r="F25" s="55">
        <f t="shared" si="47"/>
        <v>1221.51</v>
      </c>
      <c r="G25" s="55">
        <f t="shared" si="0"/>
        <v>2884.34</v>
      </c>
      <c r="J25">
        <v>1</v>
      </c>
      <c r="K25" s="70">
        <v>44105</v>
      </c>
      <c r="L25" s="55">
        <f t="shared" si="2"/>
        <v>148073.18</v>
      </c>
      <c r="M25" s="55">
        <f t="shared" si="3"/>
        <v>727.41</v>
      </c>
      <c r="N25" s="55">
        <f t="shared" si="4"/>
        <v>217.78999999999996</v>
      </c>
      <c r="O25" s="55">
        <f t="shared" si="5"/>
        <v>509.62</v>
      </c>
      <c r="P25" s="71">
        <v>0</v>
      </c>
      <c r="Q25" s="55">
        <f t="shared" si="6"/>
        <v>727.41</v>
      </c>
      <c r="R25" s="55">
        <f t="shared" si="7"/>
        <v>2144.6099999999997</v>
      </c>
      <c r="S25" s="55">
        <f t="shared" si="8"/>
        <v>5129.49</v>
      </c>
      <c r="T25" s="55">
        <f t="shared" si="9"/>
        <v>147855.38999999998</v>
      </c>
      <c r="U25" s="57">
        <f t="shared" si="10"/>
        <v>32144.61</v>
      </c>
      <c r="W25" s="70">
        <v>44287</v>
      </c>
      <c r="X25" s="55">
        <f t="shared" si="11"/>
        <v>47698.497741334206</v>
      </c>
      <c r="Y25" s="55">
        <f t="shared" si="12"/>
        <v>544.78</v>
      </c>
      <c r="Z25" s="55">
        <f t="shared" si="13"/>
        <v>333.71</v>
      </c>
      <c r="AA25" s="55">
        <f t="shared" si="14"/>
        <v>211.07</v>
      </c>
      <c r="AB25" s="71">
        <v>0</v>
      </c>
      <c r="AC25" s="55">
        <f t="shared" si="15"/>
        <v>544.78</v>
      </c>
      <c r="AD25" s="55">
        <f t="shared" si="16"/>
        <v>3271.7399999999989</v>
      </c>
      <c r="AE25" s="55">
        <f t="shared" si="17"/>
        <v>2176.06</v>
      </c>
      <c r="AF25" s="55">
        <f t="shared" si="18"/>
        <v>47364.787741334207</v>
      </c>
      <c r="AH25" s="70">
        <v>44287</v>
      </c>
      <c r="AI25" s="55">
        <f t="shared" si="19"/>
        <v>15817.999084742964</v>
      </c>
      <c r="AJ25" s="55">
        <f t="shared" si="20"/>
        <v>186.04</v>
      </c>
      <c r="AK25" s="55">
        <f t="shared" si="21"/>
        <v>106.94999999999999</v>
      </c>
      <c r="AL25" s="55">
        <f t="shared" si="22"/>
        <v>79.09</v>
      </c>
      <c r="AM25" s="71">
        <v>0</v>
      </c>
      <c r="AN25" s="55">
        <f t="shared" si="23"/>
        <v>186.04</v>
      </c>
      <c r="AO25" s="55">
        <f t="shared" si="24"/>
        <v>1045.8899999999999</v>
      </c>
      <c r="AP25" s="55">
        <f t="shared" si="25"/>
        <v>814.51</v>
      </c>
      <c r="AQ25" s="55">
        <f t="shared" si="26"/>
        <v>15711.049084742963</v>
      </c>
      <c r="AS25" s="70">
        <v>44287</v>
      </c>
      <c r="AT25" s="55">
        <f t="shared" si="27"/>
        <v>17035.027031748767</v>
      </c>
      <c r="AU25" s="55">
        <f t="shared" si="28"/>
        <v>204.6</v>
      </c>
      <c r="AV25" s="55">
        <f t="shared" si="29"/>
        <v>112.33</v>
      </c>
      <c r="AW25" s="55">
        <f t="shared" si="30"/>
        <v>92.27</v>
      </c>
      <c r="AX25" s="71">
        <v>0</v>
      </c>
      <c r="AY25" s="55">
        <f t="shared" si="31"/>
        <v>204.6</v>
      </c>
      <c r="AZ25" s="55">
        <f t="shared" si="32"/>
        <v>1096.43</v>
      </c>
      <c r="BA25" s="55">
        <f t="shared" si="33"/>
        <v>949.57</v>
      </c>
      <c r="BB25" s="55">
        <f t="shared" si="34"/>
        <v>16922.697031748765</v>
      </c>
      <c r="BD25" s="70">
        <v>44287</v>
      </c>
      <c r="BE25" s="55">
        <f t="shared" si="35"/>
        <v>8849.6656576101086</v>
      </c>
      <c r="BF25" s="55">
        <f t="shared" si="36"/>
        <v>221.51</v>
      </c>
      <c r="BG25" s="55">
        <f t="shared" si="37"/>
        <v>169.89</v>
      </c>
      <c r="BH25" s="55">
        <f t="shared" si="38"/>
        <v>51.62</v>
      </c>
      <c r="BI25" s="71">
        <v>1000</v>
      </c>
      <c r="BJ25" s="55">
        <f t="shared" si="39"/>
        <v>1221.51</v>
      </c>
      <c r="BK25" s="55">
        <f t="shared" si="40"/>
        <v>11398.22</v>
      </c>
      <c r="BL25" s="55">
        <f t="shared" si="41"/>
        <v>816.88</v>
      </c>
      <c r="BM25" s="55">
        <f t="shared" si="42"/>
        <v>7679.7756576101092</v>
      </c>
    </row>
    <row r="26" spans="1:65" x14ac:dyDescent="0.25">
      <c r="A26" s="70">
        <v>44136</v>
      </c>
      <c r="B26" s="55">
        <f t="shared" si="43"/>
        <v>727.41</v>
      </c>
      <c r="C26" s="55">
        <f t="shared" si="44"/>
        <v>544.78</v>
      </c>
      <c r="D26" s="55">
        <f t="shared" si="45"/>
        <v>186.04</v>
      </c>
      <c r="E26" s="55">
        <f t="shared" si="46"/>
        <v>204.6</v>
      </c>
      <c r="F26" s="55">
        <f t="shared" si="47"/>
        <v>1221.51</v>
      </c>
      <c r="G26" s="55">
        <f t="shared" si="0"/>
        <v>2884.34</v>
      </c>
      <c r="J26">
        <v>1</v>
      </c>
      <c r="K26" s="70">
        <v>44136</v>
      </c>
      <c r="L26" s="55">
        <f t="shared" si="2"/>
        <v>147855.38999999998</v>
      </c>
      <c r="M26" s="55">
        <f t="shared" si="3"/>
        <v>727.41</v>
      </c>
      <c r="N26" s="55">
        <f t="shared" si="4"/>
        <v>218.53999999999996</v>
      </c>
      <c r="O26" s="55">
        <f t="shared" si="5"/>
        <v>508.87</v>
      </c>
      <c r="P26" s="71">
        <v>0</v>
      </c>
      <c r="Q26" s="55">
        <f t="shared" si="6"/>
        <v>727.41</v>
      </c>
      <c r="R26" s="55">
        <f t="shared" si="7"/>
        <v>2363.1499999999996</v>
      </c>
      <c r="S26" s="55">
        <f t="shared" si="8"/>
        <v>5638.36</v>
      </c>
      <c r="T26" s="55">
        <f t="shared" si="9"/>
        <v>147636.84999999998</v>
      </c>
      <c r="U26" s="57">
        <f t="shared" si="10"/>
        <v>32363.15</v>
      </c>
      <c r="W26" s="70">
        <v>44317</v>
      </c>
      <c r="X26" s="55">
        <f t="shared" si="11"/>
        <v>47364.787741334207</v>
      </c>
      <c r="Y26" s="55">
        <f t="shared" si="12"/>
        <v>544.78</v>
      </c>
      <c r="Z26" s="55">
        <f t="shared" si="13"/>
        <v>335.18999999999994</v>
      </c>
      <c r="AA26" s="55">
        <f t="shared" si="14"/>
        <v>209.59</v>
      </c>
      <c r="AB26" s="71">
        <v>0</v>
      </c>
      <c r="AC26" s="55">
        <f t="shared" si="15"/>
        <v>544.78</v>
      </c>
      <c r="AD26" s="55">
        <f t="shared" si="16"/>
        <v>3606.9299999999989</v>
      </c>
      <c r="AE26" s="55">
        <f t="shared" si="17"/>
        <v>2385.65</v>
      </c>
      <c r="AF26" s="55">
        <f t="shared" si="18"/>
        <v>47029.597741334204</v>
      </c>
      <c r="AH26" s="70">
        <v>44317</v>
      </c>
      <c r="AI26" s="55">
        <f t="shared" si="19"/>
        <v>15711.049084742963</v>
      </c>
      <c r="AJ26" s="55">
        <f t="shared" si="20"/>
        <v>186.04</v>
      </c>
      <c r="AK26" s="55">
        <f t="shared" si="21"/>
        <v>107.47999999999999</v>
      </c>
      <c r="AL26" s="55">
        <f t="shared" si="22"/>
        <v>78.56</v>
      </c>
      <c r="AM26" s="71">
        <v>0</v>
      </c>
      <c r="AN26" s="55">
        <f t="shared" si="23"/>
        <v>186.04</v>
      </c>
      <c r="AO26" s="55">
        <f t="shared" si="24"/>
        <v>1153.3699999999999</v>
      </c>
      <c r="AP26" s="55">
        <f t="shared" si="25"/>
        <v>893.06999999999994</v>
      </c>
      <c r="AQ26" s="55">
        <f t="shared" si="26"/>
        <v>15603.569084742963</v>
      </c>
      <c r="AS26" s="70">
        <v>44317</v>
      </c>
      <c r="AT26" s="55">
        <f t="shared" si="27"/>
        <v>16922.697031748765</v>
      </c>
      <c r="AU26" s="55">
        <f t="shared" si="28"/>
        <v>204.6</v>
      </c>
      <c r="AV26" s="55">
        <f t="shared" si="29"/>
        <v>112.94</v>
      </c>
      <c r="AW26" s="55">
        <f t="shared" si="30"/>
        <v>91.66</v>
      </c>
      <c r="AX26" s="71">
        <v>0</v>
      </c>
      <c r="AY26" s="55">
        <f t="shared" si="31"/>
        <v>204.6</v>
      </c>
      <c r="AZ26" s="55">
        <f t="shared" si="32"/>
        <v>1209.3700000000001</v>
      </c>
      <c r="BA26" s="55">
        <f t="shared" si="33"/>
        <v>1041.23</v>
      </c>
      <c r="BB26" s="55">
        <f t="shared" si="34"/>
        <v>16809.757031748766</v>
      </c>
      <c r="BD26" s="70">
        <v>44317</v>
      </c>
      <c r="BE26" s="55">
        <f t="shared" si="35"/>
        <v>7679.7756576101092</v>
      </c>
      <c r="BF26" s="55">
        <f t="shared" si="36"/>
        <v>221.51</v>
      </c>
      <c r="BG26" s="55">
        <f t="shared" si="37"/>
        <v>176.70999999999998</v>
      </c>
      <c r="BH26" s="55">
        <f t="shared" si="38"/>
        <v>44.8</v>
      </c>
      <c r="BI26" s="71">
        <v>1000</v>
      </c>
      <c r="BJ26" s="55">
        <f t="shared" si="39"/>
        <v>1221.51</v>
      </c>
      <c r="BK26" s="55">
        <f t="shared" si="40"/>
        <v>12574.93</v>
      </c>
      <c r="BL26" s="55">
        <f t="shared" si="41"/>
        <v>861.68</v>
      </c>
      <c r="BM26" s="55">
        <f t="shared" si="42"/>
        <v>6503.0656576101092</v>
      </c>
    </row>
    <row r="27" spans="1:65" x14ac:dyDescent="0.25">
      <c r="A27" s="70">
        <v>44166</v>
      </c>
      <c r="B27" s="55">
        <f t="shared" si="43"/>
        <v>727.41</v>
      </c>
      <c r="C27" s="55">
        <f t="shared" si="44"/>
        <v>544.78</v>
      </c>
      <c r="D27" s="55">
        <f t="shared" si="45"/>
        <v>186.04</v>
      </c>
      <c r="E27" s="55">
        <f t="shared" si="46"/>
        <v>204.6</v>
      </c>
      <c r="F27" s="55">
        <f t="shared" si="47"/>
        <v>1221.51</v>
      </c>
      <c r="G27" s="55">
        <f t="shared" si="0"/>
        <v>2884.34</v>
      </c>
      <c r="J27">
        <v>1</v>
      </c>
      <c r="K27" s="70">
        <v>44166</v>
      </c>
      <c r="L27" s="55">
        <f t="shared" si="2"/>
        <v>147636.84999999998</v>
      </c>
      <c r="M27" s="55">
        <f t="shared" si="3"/>
        <v>727.41</v>
      </c>
      <c r="N27" s="55">
        <f t="shared" si="4"/>
        <v>219.28999999999996</v>
      </c>
      <c r="O27" s="55">
        <f t="shared" si="5"/>
        <v>508.12</v>
      </c>
      <c r="P27" s="71">
        <v>0</v>
      </c>
      <c r="Q27" s="55">
        <f t="shared" si="6"/>
        <v>727.41</v>
      </c>
      <c r="R27" s="55">
        <f t="shared" si="7"/>
        <v>2582.4399999999996</v>
      </c>
      <c r="S27" s="55">
        <f t="shared" si="8"/>
        <v>6146.48</v>
      </c>
      <c r="T27" s="55">
        <f t="shared" si="9"/>
        <v>147417.55999999997</v>
      </c>
      <c r="U27" s="57">
        <f t="shared" si="10"/>
        <v>32582.44</v>
      </c>
      <c r="W27" s="70">
        <v>44348</v>
      </c>
      <c r="X27" s="55">
        <f t="shared" si="11"/>
        <v>47029.597741334204</v>
      </c>
      <c r="Y27" s="55">
        <f t="shared" si="12"/>
        <v>544.78</v>
      </c>
      <c r="Z27" s="55">
        <f t="shared" si="13"/>
        <v>336.66999999999996</v>
      </c>
      <c r="AA27" s="55">
        <f t="shared" si="14"/>
        <v>208.11</v>
      </c>
      <c r="AB27" s="71">
        <v>0</v>
      </c>
      <c r="AC27" s="55">
        <f t="shared" si="15"/>
        <v>544.78</v>
      </c>
      <c r="AD27" s="55">
        <f t="shared" si="16"/>
        <v>3943.599999999999</v>
      </c>
      <c r="AE27" s="55">
        <f t="shared" si="17"/>
        <v>2593.7600000000002</v>
      </c>
      <c r="AF27" s="55">
        <f t="shared" si="18"/>
        <v>46692.927741334206</v>
      </c>
      <c r="AH27" s="70">
        <v>44348</v>
      </c>
      <c r="AI27" s="55">
        <f t="shared" si="19"/>
        <v>15603.569084742963</v>
      </c>
      <c r="AJ27" s="55">
        <f t="shared" si="20"/>
        <v>186.04</v>
      </c>
      <c r="AK27" s="55">
        <f t="shared" si="21"/>
        <v>108.02</v>
      </c>
      <c r="AL27" s="55">
        <f t="shared" si="22"/>
        <v>78.02</v>
      </c>
      <c r="AM27" s="71">
        <v>0</v>
      </c>
      <c r="AN27" s="55">
        <f t="shared" si="23"/>
        <v>186.04</v>
      </c>
      <c r="AO27" s="55">
        <f t="shared" si="24"/>
        <v>1261.3899999999999</v>
      </c>
      <c r="AP27" s="55">
        <f t="shared" si="25"/>
        <v>971.08999999999992</v>
      </c>
      <c r="AQ27" s="55">
        <f t="shared" si="26"/>
        <v>15495.549084742963</v>
      </c>
      <c r="AS27" s="70">
        <v>44348</v>
      </c>
      <c r="AT27" s="55">
        <f t="shared" si="27"/>
        <v>16809.757031748766</v>
      </c>
      <c r="AU27" s="55">
        <f t="shared" si="28"/>
        <v>204.6</v>
      </c>
      <c r="AV27" s="55">
        <f t="shared" si="29"/>
        <v>113.55</v>
      </c>
      <c r="AW27" s="55">
        <f t="shared" si="30"/>
        <v>91.05</v>
      </c>
      <c r="AX27" s="71">
        <v>0</v>
      </c>
      <c r="AY27" s="55">
        <f t="shared" si="31"/>
        <v>204.6</v>
      </c>
      <c r="AZ27" s="55">
        <f t="shared" si="32"/>
        <v>1322.92</v>
      </c>
      <c r="BA27" s="55">
        <f t="shared" si="33"/>
        <v>1132.28</v>
      </c>
      <c r="BB27" s="55">
        <f t="shared" si="34"/>
        <v>16696.207031748767</v>
      </c>
      <c r="BD27" s="70">
        <v>44348</v>
      </c>
      <c r="BE27" s="55">
        <f t="shared" si="35"/>
        <v>6503.0656576101092</v>
      </c>
      <c r="BF27" s="55">
        <f t="shared" si="36"/>
        <v>221.51</v>
      </c>
      <c r="BG27" s="55">
        <f t="shared" si="37"/>
        <v>183.57999999999998</v>
      </c>
      <c r="BH27" s="55">
        <f t="shared" si="38"/>
        <v>37.93</v>
      </c>
      <c r="BI27" s="71">
        <v>1000</v>
      </c>
      <c r="BJ27" s="55">
        <f t="shared" si="39"/>
        <v>1221.51</v>
      </c>
      <c r="BK27" s="55">
        <f t="shared" si="40"/>
        <v>13758.51</v>
      </c>
      <c r="BL27" s="55">
        <f t="shared" si="41"/>
        <v>899.6099999999999</v>
      </c>
      <c r="BM27" s="55">
        <f t="shared" si="42"/>
        <v>5319.4856576101092</v>
      </c>
    </row>
    <row r="28" spans="1:65" x14ac:dyDescent="0.25">
      <c r="A28" s="70">
        <v>44197</v>
      </c>
      <c r="B28" s="55">
        <f t="shared" si="43"/>
        <v>727.41</v>
      </c>
      <c r="C28" s="55">
        <f t="shared" si="44"/>
        <v>544.78</v>
      </c>
      <c r="D28" s="55">
        <f t="shared" si="45"/>
        <v>186.04</v>
      </c>
      <c r="E28" s="55">
        <f t="shared" si="46"/>
        <v>204.6</v>
      </c>
      <c r="F28" s="55">
        <f t="shared" si="47"/>
        <v>1221.51</v>
      </c>
      <c r="G28" s="55">
        <f t="shared" si="0"/>
        <v>2884.34</v>
      </c>
      <c r="J28">
        <f>J16+1</f>
        <v>2</v>
      </c>
      <c r="K28" s="70">
        <v>44197</v>
      </c>
      <c r="L28" s="55">
        <f t="shared" si="2"/>
        <v>147417.55999999997</v>
      </c>
      <c r="M28" s="55">
        <f t="shared" si="3"/>
        <v>727.41</v>
      </c>
      <c r="N28" s="55">
        <f t="shared" si="4"/>
        <v>220.04999999999995</v>
      </c>
      <c r="O28" s="55">
        <f t="shared" si="5"/>
        <v>507.36</v>
      </c>
      <c r="P28" s="71">
        <v>0</v>
      </c>
      <c r="Q28" s="55">
        <f t="shared" si="6"/>
        <v>727.41</v>
      </c>
      <c r="R28" s="55">
        <f t="shared" si="7"/>
        <v>2802.49</v>
      </c>
      <c r="S28" s="55">
        <f t="shared" si="8"/>
        <v>6653.8399999999992</v>
      </c>
      <c r="T28" s="55">
        <f t="shared" si="9"/>
        <v>147197.50999999998</v>
      </c>
      <c r="U28" s="57">
        <f t="shared" si="10"/>
        <v>32802.49</v>
      </c>
      <c r="W28" s="70">
        <v>44378</v>
      </c>
      <c r="X28" s="55">
        <f t="shared" si="11"/>
        <v>46692.927741334206</v>
      </c>
      <c r="Y28" s="55">
        <f t="shared" si="12"/>
        <v>544.78</v>
      </c>
      <c r="Z28" s="55">
        <f t="shared" si="13"/>
        <v>338.15999999999997</v>
      </c>
      <c r="AA28" s="55">
        <f t="shared" si="14"/>
        <v>206.62</v>
      </c>
      <c r="AB28" s="71">
        <v>0</v>
      </c>
      <c r="AC28" s="55">
        <f t="shared" si="15"/>
        <v>544.78</v>
      </c>
      <c r="AD28" s="55">
        <f t="shared" si="16"/>
        <v>4281.7599999999993</v>
      </c>
      <c r="AE28" s="55">
        <f t="shared" si="17"/>
        <v>2800.38</v>
      </c>
      <c r="AF28" s="55">
        <f t="shared" si="18"/>
        <v>46354.767741334203</v>
      </c>
      <c r="AH28" s="70">
        <v>44378</v>
      </c>
      <c r="AI28" s="55">
        <f t="shared" si="19"/>
        <v>15495.549084742963</v>
      </c>
      <c r="AJ28" s="55">
        <f t="shared" si="20"/>
        <v>186.04</v>
      </c>
      <c r="AK28" s="55">
        <f t="shared" si="21"/>
        <v>108.55999999999999</v>
      </c>
      <c r="AL28" s="55">
        <f t="shared" si="22"/>
        <v>77.48</v>
      </c>
      <c r="AM28" s="71">
        <v>0</v>
      </c>
      <c r="AN28" s="55">
        <f t="shared" si="23"/>
        <v>186.04</v>
      </c>
      <c r="AO28" s="55">
        <f t="shared" si="24"/>
        <v>1369.9499999999998</v>
      </c>
      <c r="AP28" s="55">
        <f t="shared" si="25"/>
        <v>1048.57</v>
      </c>
      <c r="AQ28" s="55">
        <f t="shared" si="26"/>
        <v>15386.989084742963</v>
      </c>
      <c r="AS28" s="70">
        <v>44378</v>
      </c>
      <c r="AT28" s="55">
        <f t="shared" si="27"/>
        <v>16696.207031748767</v>
      </c>
      <c r="AU28" s="55">
        <f t="shared" si="28"/>
        <v>204.6</v>
      </c>
      <c r="AV28" s="55">
        <f t="shared" si="29"/>
        <v>114.16</v>
      </c>
      <c r="AW28" s="55">
        <f t="shared" si="30"/>
        <v>90.44</v>
      </c>
      <c r="AX28" s="71">
        <v>0</v>
      </c>
      <c r="AY28" s="55">
        <f t="shared" si="31"/>
        <v>204.6</v>
      </c>
      <c r="AZ28" s="55">
        <f t="shared" si="32"/>
        <v>1437.0800000000002</v>
      </c>
      <c r="BA28" s="55">
        <f t="shared" si="33"/>
        <v>1222.72</v>
      </c>
      <c r="BB28" s="55">
        <f t="shared" si="34"/>
        <v>16582.047031748767</v>
      </c>
      <c r="BD28" s="70">
        <v>44378</v>
      </c>
      <c r="BE28" s="55">
        <f t="shared" si="35"/>
        <v>5319.4856576101092</v>
      </c>
      <c r="BF28" s="55">
        <f t="shared" si="36"/>
        <v>221.51</v>
      </c>
      <c r="BG28" s="55">
        <f t="shared" si="37"/>
        <v>190.48</v>
      </c>
      <c r="BH28" s="55">
        <f t="shared" si="38"/>
        <v>31.03</v>
      </c>
      <c r="BI28" s="71">
        <v>1000</v>
      </c>
      <c r="BJ28" s="55">
        <f t="shared" si="39"/>
        <v>1221.51</v>
      </c>
      <c r="BK28" s="55">
        <f t="shared" si="40"/>
        <v>14948.99</v>
      </c>
      <c r="BL28" s="55">
        <f t="shared" si="41"/>
        <v>930.63999999999987</v>
      </c>
      <c r="BM28" s="55">
        <f t="shared" si="42"/>
        <v>4129.0056576101097</v>
      </c>
    </row>
    <row r="29" spans="1:65" x14ac:dyDescent="0.25">
      <c r="A29" s="70">
        <v>44228</v>
      </c>
      <c r="B29" s="55">
        <f t="shared" si="43"/>
        <v>727.41</v>
      </c>
      <c r="C29" s="55">
        <f t="shared" si="44"/>
        <v>544.78</v>
      </c>
      <c r="D29" s="55">
        <f t="shared" si="45"/>
        <v>186.04</v>
      </c>
      <c r="E29" s="55">
        <f t="shared" si="46"/>
        <v>204.6</v>
      </c>
      <c r="F29" s="55">
        <f t="shared" si="47"/>
        <v>1221.51</v>
      </c>
      <c r="G29" s="55">
        <f t="shared" si="0"/>
        <v>2884.34</v>
      </c>
      <c r="J29">
        <f t="shared" ref="J29:J92" si="48">J17+1</f>
        <v>2</v>
      </c>
      <c r="K29" s="70">
        <v>44228</v>
      </c>
      <c r="L29" s="55">
        <f t="shared" si="2"/>
        <v>147197.50999999998</v>
      </c>
      <c r="M29" s="55">
        <f t="shared" si="3"/>
        <v>727.41</v>
      </c>
      <c r="N29" s="55">
        <f t="shared" si="4"/>
        <v>220.80999999999995</v>
      </c>
      <c r="O29" s="55">
        <f t="shared" si="5"/>
        <v>506.6</v>
      </c>
      <c r="P29" s="71">
        <v>0</v>
      </c>
      <c r="Q29" s="55">
        <f t="shared" si="6"/>
        <v>727.41</v>
      </c>
      <c r="R29" s="55">
        <f t="shared" si="7"/>
        <v>3023.2999999999997</v>
      </c>
      <c r="S29" s="55">
        <f t="shared" si="8"/>
        <v>7160.44</v>
      </c>
      <c r="T29" s="55">
        <f t="shared" si="9"/>
        <v>146976.69999999998</v>
      </c>
      <c r="U29" s="57">
        <f t="shared" si="10"/>
        <v>33023.300000000003</v>
      </c>
      <c r="W29" s="70">
        <v>44409</v>
      </c>
      <c r="X29" s="55">
        <f t="shared" si="11"/>
        <v>46354.767741334203</v>
      </c>
      <c r="Y29" s="55">
        <f t="shared" si="12"/>
        <v>544.78</v>
      </c>
      <c r="Z29" s="55">
        <f t="shared" si="13"/>
        <v>339.65999999999997</v>
      </c>
      <c r="AA29" s="55">
        <f t="shared" si="14"/>
        <v>205.12</v>
      </c>
      <c r="AB29" s="71">
        <v>0</v>
      </c>
      <c r="AC29" s="55">
        <f t="shared" si="15"/>
        <v>544.78</v>
      </c>
      <c r="AD29" s="55">
        <f t="shared" si="16"/>
        <v>4621.4199999999992</v>
      </c>
      <c r="AE29" s="55">
        <f t="shared" si="17"/>
        <v>3005.5</v>
      </c>
      <c r="AF29" s="55">
        <f t="shared" si="18"/>
        <v>46015.107741334199</v>
      </c>
      <c r="AH29" s="70">
        <v>44409</v>
      </c>
      <c r="AI29" s="55">
        <f t="shared" si="19"/>
        <v>15386.989084742963</v>
      </c>
      <c r="AJ29" s="55">
        <f t="shared" si="20"/>
        <v>186.04</v>
      </c>
      <c r="AK29" s="55">
        <f t="shared" si="21"/>
        <v>109.10999999999999</v>
      </c>
      <c r="AL29" s="55">
        <f t="shared" si="22"/>
        <v>76.930000000000007</v>
      </c>
      <c r="AM29" s="71">
        <v>0</v>
      </c>
      <c r="AN29" s="55">
        <f t="shared" si="23"/>
        <v>186.04</v>
      </c>
      <c r="AO29" s="55">
        <f t="shared" si="24"/>
        <v>1479.0599999999997</v>
      </c>
      <c r="AP29" s="55">
        <f t="shared" si="25"/>
        <v>1125.5</v>
      </c>
      <c r="AQ29" s="55">
        <f t="shared" si="26"/>
        <v>15277.879084742963</v>
      </c>
      <c r="AS29" s="70">
        <v>44409</v>
      </c>
      <c r="AT29" s="55">
        <f t="shared" si="27"/>
        <v>16582.047031748767</v>
      </c>
      <c r="AU29" s="55">
        <f t="shared" si="28"/>
        <v>204.6</v>
      </c>
      <c r="AV29" s="55">
        <f t="shared" si="29"/>
        <v>114.78</v>
      </c>
      <c r="AW29" s="55">
        <f t="shared" si="30"/>
        <v>89.82</v>
      </c>
      <c r="AX29" s="71">
        <v>0</v>
      </c>
      <c r="AY29" s="55">
        <f t="shared" si="31"/>
        <v>204.6</v>
      </c>
      <c r="AZ29" s="55">
        <f t="shared" si="32"/>
        <v>1551.8600000000001</v>
      </c>
      <c r="BA29" s="55">
        <f t="shared" si="33"/>
        <v>1312.54</v>
      </c>
      <c r="BB29" s="55">
        <f t="shared" si="34"/>
        <v>16467.267031748768</v>
      </c>
      <c r="BD29" s="70">
        <v>44409</v>
      </c>
      <c r="BE29" s="55">
        <f t="shared" si="35"/>
        <v>4129.0056576101097</v>
      </c>
      <c r="BF29" s="55">
        <f t="shared" si="36"/>
        <v>221.51</v>
      </c>
      <c r="BG29" s="55">
        <f t="shared" si="37"/>
        <v>197.42</v>
      </c>
      <c r="BH29" s="55">
        <f t="shared" si="38"/>
        <v>24.09</v>
      </c>
      <c r="BI29" s="71">
        <v>1000</v>
      </c>
      <c r="BJ29" s="55">
        <f t="shared" si="39"/>
        <v>1221.51</v>
      </c>
      <c r="BK29" s="55">
        <f t="shared" si="40"/>
        <v>16146.41</v>
      </c>
      <c r="BL29" s="55">
        <f t="shared" si="41"/>
        <v>954.7299999999999</v>
      </c>
      <c r="BM29" s="55">
        <f t="shared" si="42"/>
        <v>2931.5856576101096</v>
      </c>
    </row>
    <row r="30" spans="1:65" x14ac:dyDescent="0.25">
      <c r="A30" s="70">
        <v>44256</v>
      </c>
      <c r="B30" s="55">
        <f t="shared" si="43"/>
        <v>727.41</v>
      </c>
      <c r="C30" s="55">
        <f t="shared" si="44"/>
        <v>544.78</v>
      </c>
      <c r="D30" s="55">
        <f t="shared" si="45"/>
        <v>186.04</v>
      </c>
      <c r="E30" s="55">
        <f t="shared" si="46"/>
        <v>204.6</v>
      </c>
      <c r="F30" s="55">
        <f t="shared" si="47"/>
        <v>1221.51</v>
      </c>
      <c r="G30" s="55">
        <f t="shared" si="0"/>
        <v>2884.34</v>
      </c>
      <c r="J30">
        <f t="shared" si="48"/>
        <v>2</v>
      </c>
      <c r="K30" s="70">
        <v>44256</v>
      </c>
      <c r="L30" s="55">
        <f t="shared" si="2"/>
        <v>146976.69999999998</v>
      </c>
      <c r="M30" s="55">
        <f t="shared" si="3"/>
        <v>727.41</v>
      </c>
      <c r="N30" s="55">
        <f t="shared" si="4"/>
        <v>221.57</v>
      </c>
      <c r="O30" s="55">
        <f t="shared" si="5"/>
        <v>505.84</v>
      </c>
      <c r="P30" s="71">
        <v>0</v>
      </c>
      <c r="Q30" s="55">
        <f t="shared" si="6"/>
        <v>727.41</v>
      </c>
      <c r="R30" s="55">
        <f t="shared" si="7"/>
        <v>3244.87</v>
      </c>
      <c r="S30" s="55">
        <f t="shared" si="8"/>
        <v>7666.28</v>
      </c>
      <c r="T30" s="55">
        <f t="shared" si="9"/>
        <v>146755.12999999998</v>
      </c>
      <c r="U30" s="57">
        <f t="shared" si="10"/>
        <v>33244.870000000003</v>
      </c>
      <c r="W30" s="70">
        <v>44440</v>
      </c>
      <c r="X30" s="55">
        <f t="shared" si="11"/>
        <v>46015.107741334199</v>
      </c>
      <c r="Y30" s="55">
        <f t="shared" si="12"/>
        <v>544.78</v>
      </c>
      <c r="Z30" s="55">
        <f t="shared" si="13"/>
        <v>341.15999999999997</v>
      </c>
      <c r="AA30" s="55">
        <f t="shared" si="14"/>
        <v>203.62</v>
      </c>
      <c r="AB30" s="71">
        <v>0</v>
      </c>
      <c r="AC30" s="55">
        <f t="shared" si="15"/>
        <v>544.78</v>
      </c>
      <c r="AD30" s="55">
        <f t="shared" si="16"/>
        <v>4962.579999999999</v>
      </c>
      <c r="AE30" s="55">
        <f t="shared" si="17"/>
        <v>3209.12</v>
      </c>
      <c r="AF30" s="55">
        <f t="shared" si="18"/>
        <v>45673.947741334196</v>
      </c>
      <c r="AH30" s="70">
        <v>44440</v>
      </c>
      <c r="AI30" s="55">
        <f t="shared" si="19"/>
        <v>15277.879084742963</v>
      </c>
      <c r="AJ30" s="55">
        <f t="shared" si="20"/>
        <v>186.04</v>
      </c>
      <c r="AK30" s="55">
        <f t="shared" si="21"/>
        <v>109.64999999999999</v>
      </c>
      <c r="AL30" s="55">
        <f t="shared" si="22"/>
        <v>76.39</v>
      </c>
      <c r="AM30" s="71">
        <v>0</v>
      </c>
      <c r="AN30" s="55">
        <f t="shared" si="23"/>
        <v>186.04</v>
      </c>
      <c r="AO30" s="55">
        <f t="shared" si="24"/>
        <v>1588.7099999999998</v>
      </c>
      <c r="AP30" s="55">
        <f t="shared" si="25"/>
        <v>1201.8900000000001</v>
      </c>
      <c r="AQ30" s="55">
        <f t="shared" si="26"/>
        <v>15168.229084742963</v>
      </c>
      <c r="AS30" s="70">
        <v>44440</v>
      </c>
      <c r="AT30" s="55">
        <f t="shared" si="27"/>
        <v>16467.267031748768</v>
      </c>
      <c r="AU30" s="55">
        <f t="shared" si="28"/>
        <v>204.6</v>
      </c>
      <c r="AV30" s="55">
        <f t="shared" si="29"/>
        <v>115.39999999999999</v>
      </c>
      <c r="AW30" s="55">
        <f t="shared" si="30"/>
        <v>89.2</v>
      </c>
      <c r="AX30" s="71">
        <v>0</v>
      </c>
      <c r="AY30" s="55">
        <f t="shared" si="31"/>
        <v>204.6</v>
      </c>
      <c r="AZ30" s="55">
        <f t="shared" si="32"/>
        <v>1667.2600000000002</v>
      </c>
      <c r="BA30" s="55">
        <f t="shared" si="33"/>
        <v>1401.74</v>
      </c>
      <c r="BB30" s="55">
        <f t="shared" si="34"/>
        <v>16351.867031748769</v>
      </c>
      <c r="BD30" s="70">
        <v>44440</v>
      </c>
      <c r="BE30" s="55">
        <f t="shared" si="35"/>
        <v>2931.5856576101096</v>
      </c>
      <c r="BF30" s="55">
        <f t="shared" si="36"/>
        <v>221.51</v>
      </c>
      <c r="BG30" s="55">
        <f t="shared" si="37"/>
        <v>204.41</v>
      </c>
      <c r="BH30" s="55">
        <f t="shared" si="38"/>
        <v>17.100000000000001</v>
      </c>
      <c r="BI30" s="71">
        <v>1000</v>
      </c>
      <c r="BJ30" s="55">
        <f t="shared" si="39"/>
        <v>1221.51</v>
      </c>
      <c r="BK30" s="55">
        <f t="shared" si="40"/>
        <v>17350.82</v>
      </c>
      <c r="BL30" s="55">
        <f t="shared" si="41"/>
        <v>971.82999999999993</v>
      </c>
      <c r="BM30" s="55">
        <f t="shared" si="42"/>
        <v>1727.1756576101097</v>
      </c>
    </row>
    <row r="31" spans="1:65" x14ac:dyDescent="0.25">
      <c r="A31" s="70">
        <v>44287</v>
      </c>
      <c r="B31" s="55">
        <f t="shared" si="43"/>
        <v>727.41</v>
      </c>
      <c r="C31" s="55">
        <f t="shared" si="44"/>
        <v>544.78</v>
      </c>
      <c r="D31" s="55">
        <f t="shared" si="45"/>
        <v>186.04</v>
      </c>
      <c r="E31" s="55">
        <f t="shared" si="46"/>
        <v>204.6</v>
      </c>
      <c r="F31" s="55">
        <f t="shared" si="47"/>
        <v>1221.51</v>
      </c>
      <c r="G31" s="55">
        <f t="shared" si="0"/>
        <v>2884.34</v>
      </c>
      <c r="J31">
        <f t="shared" si="48"/>
        <v>2</v>
      </c>
      <c r="K31" s="70">
        <v>44287</v>
      </c>
      <c r="L31" s="55">
        <f t="shared" si="2"/>
        <v>146755.12999999998</v>
      </c>
      <c r="M31" s="55">
        <f t="shared" si="3"/>
        <v>727.41</v>
      </c>
      <c r="N31" s="55">
        <f t="shared" si="4"/>
        <v>222.32999999999998</v>
      </c>
      <c r="O31" s="55">
        <f t="shared" si="5"/>
        <v>505.08</v>
      </c>
      <c r="P31" s="71">
        <v>0</v>
      </c>
      <c r="Q31" s="55">
        <f t="shared" si="6"/>
        <v>727.41</v>
      </c>
      <c r="R31" s="55">
        <f t="shared" si="7"/>
        <v>3467.2</v>
      </c>
      <c r="S31" s="55">
        <f t="shared" si="8"/>
        <v>8171.36</v>
      </c>
      <c r="T31" s="55">
        <f t="shared" si="9"/>
        <v>146532.79999999999</v>
      </c>
      <c r="U31" s="57">
        <f t="shared" si="10"/>
        <v>33467.199999999997</v>
      </c>
      <c r="W31" s="70">
        <v>44470</v>
      </c>
      <c r="X31" s="55">
        <f>AF30</f>
        <v>45673.947741334196</v>
      </c>
      <c r="Y31" s="55">
        <f>W$11</f>
        <v>544.78</v>
      </c>
      <c r="Z31" s="55">
        <f>Y31-AA31</f>
        <v>342.66999999999996</v>
      </c>
      <c r="AA31" s="55">
        <f>ROUND(X31*W$8/12,2)</f>
        <v>202.11</v>
      </c>
      <c r="AB31" s="71">
        <v>0</v>
      </c>
      <c r="AC31" s="55">
        <f t="shared" si="15"/>
        <v>544.78</v>
      </c>
      <c r="AD31" s="55">
        <f>Z31+AB31+AD30</f>
        <v>5305.2499999999991</v>
      </c>
      <c r="AE31" s="55">
        <f>AA31+AE30</f>
        <v>3411.23</v>
      </c>
      <c r="AF31" s="55">
        <f t="shared" si="18"/>
        <v>45331.277741334197</v>
      </c>
      <c r="AH31" s="70">
        <v>44470</v>
      </c>
      <c r="AI31" s="55">
        <f>AQ30</f>
        <v>15168.229084742963</v>
      </c>
      <c r="AJ31" s="55">
        <f>AH$11</f>
        <v>186.04</v>
      </c>
      <c r="AK31" s="55">
        <f>AJ31-AL31</f>
        <v>110.19999999999999</v>
      </c>
      <c r="AL31" s="55">
        <f>ROUND(AI31*AH$8/12,2)</f>
        <v>75.84</v>
      </c>
      <c r="AM31" s="71">
        <v>0</v>
      </c>
      <c r="AN31" s="55">
        <f t="shared" si="23"/>
        <v>186.04</v>
      </c>
      <c r="AO31" s="55">
        <f>AK31+AM31+AO30</f>
        <v>1698.9099999999999</v>
      </c>
      <c r="AP31" s="55">
        <f>AL31+AP30</f>
        <v>1277.73</v>
      </c>
      <c r="AQ31" s="55">
        <f t="shared" si="26"/>
        <v>15058.029084742962</v>
      </c>
      <c r="AS31" s="70">
        <v>44470</v>
      </c>
      <c r="AT31" s="55">
        <f>BB30</f>
        <v>16351.867031748769</v>
      </c>
      <c r="AU31" s="55">
        <f>AS$11</f>
        <v>204.6</v>
      </c>
      <c r="AV31" s="55">
        <f>AU31-AW31</f>
        <v>116.03</v>
      </c>
      <c r="AW31" s="55">
        <f>ROUND(AT31*AS$8/12,2)</f>
        <v>88.57</v>
      </c>
      <c r="AX31" s="71">
        <v>0</v>
      </c>
      <c r="AY31" s="55">
        <f t="shared" si="31"/>
        <v>204.6</v>
      </c>
      <c r="AZ31" s="55">
        <f>AV31+AX31+AZ30</f>
        <v>1783.2900000000002</v>
      </c>
      <c r="BA31" s="55">
        <f>AW31+BA30</f>
        <v>1490.31</v>
      </c>
      <c r="BB31" s="55">
        <f t="shared" si="34"/>
        <v>16235.837031748768</v>
      </c>
      <c r="BD31" s="70">
        <v>44470</v>
      </c>
      <c r="BE31" s="55">
        <f>BM30</f>
        <v>1727.1756576101097</v>
      </c>
      <c r="BF31" s="55">
        <f>BD$11</f>
        <v>221.51</v>
      </c>
      <c r="BG31" s="55">
        <f>BF31-BH31</f>
        <v>211.42999999999998</v>
      </c>
      <c r="BH31" s="55">
        <f>ROUND(BE31*BD$8/12,2)</f>
        <v>10.08</v>
      </c>
      <c r="BI31" s="71">
        <v>1000</v>
      </c>
      <c r="BJ31" s="55">
        <f t="shared" si="39"/>
        <v>1221.51</v>
      </c>
      <c r="BK31" s="55">
        <f>BG31+BI31+BK30</f>
        <v>18562.25</v>
      </c>
      <c r="BL31" s="55">
        <f>BH31+BL30</f>
        <v>981.91</v>
      </c>
      <c r="BM31" s="55">
        <f t="shared" si="42"/>
        <v>515.74565761010967</v>
      </c>
    </row>
    <row r="32" spans="1:65" x14ac:dyDescent="0.25">
      <c r="A32" s="70">
        <v>44317</v>
      </c>
      <c r="B32" s="55">
        <f t="shared" si="43"/>
        <v>727.41</v>
      </c>
      <c r="C32" s="55">
        <f t="shared" si="44"/>
        <v>544.78</v>
      </c>
      <c r="D32" s="55">
        <f t="shared" si="45"/>
        <v>186.04</v>
      </c>
      <c r="E32" s="55">
        <f t="shared" si="46"/>
        <v>204.6</v>
      </c>
      <c r="F32" s="55">
        <f t="shared" si="47"/>
        <v>1221.51</v>
      </c>
      <c r="G32" s="55">
        <f t="shared" si="0"/>
        <v>2884.34</v>
      </c>
      <c r="J32">
        <f t="shared" si="48"/>
        <v>2</v>
      </c>
      <c r="K32" s="70">
        <v>44317</v>
      </c>
      <c r="L32" s="55">
        <f t="shared" si="2"/>
        <v>146532.79999999999</v>
      </c>
      <c r="M32" s="55">
        <f t="shared" si="3"/>
        <v>727.41</v>
      </c>
      <c r="N32" s="55">
        <f t="shared" si="4"/>
        <v>223.08999999999997</v>
      </c>
      <c r="O32" s="55">
        <f t="shared" si="5"/>
        <v>504.32</v>
      </c>
      <c r="P32" s="71">
        <v>0</v>
      </c>
      <c r="Q32" s="55">
        <f t="shared" si="6"/>
        <v>727.41</v>
      </c>
      <c r="R32" s="55">
        <f t="shared" si="7"/>
        <v>3690.29</v>
      </c>
      <c r="S32" s="55">
        <f t="shared" si="8"/>
        <v>8675.68</v>
      </c>
      <c r="T32" s="55">
        <f t="shared" si="9"/>
        <v>146309.71</v>
      </c>
      <c r="U32" s="57">
        <f t="shared" si="10"/>
        <v>33690.29</v>
      </c>
      <c r="W32" s="70">
        <v>44501</v>
      </c>
      <c r="X32" s="55">
        <f t="shared" ref="X32:X39" si="49">AF31</f>
        <v>45331.277741334197</v>
      </c>
      <c r="Y32" s="55">
        <f t="shared" ref="Y32:Y39" si="50">W$11</f>
        <v>544.78</v>
      </c>
      <c r="Z32" s="55">
        <f t="shared" si="13"/>
        <v>344.18999999999994</v>
      </c>
      <c r="AA32" s="55">
        <f t="shared" ref="AA32:AA39" si="51">ROUND(X32*W$8/12,2)</f>
        <v>200.59</v>
      </c>
      <c r="AB32" s="71">
        <v>0</v>
      </c>
      <c r="AC32" s="55">
        <f t="shared" si="15"/>
        <v>544.78</v>
      </c>
      <c r="AD32" s="55">
        <f t="shared" ref="AD32:AD39" si="52">Z32+AB32+AD31</f>
        <v>5649.4399999999987</v>
      </c>
      <c r="AE32" s="55">
        <f t="shared" ref="AE32:AE39" si="53">AA32+AE31</f>
        <v>3611.82</v>
      </c>
      <c r="AF32" s="55">
        <f t="shared" si="18"/>
        <v>44987.087741334195</v>
      </c>
      <c r="AH32" s="70">
        <v>44501</v>
      </c>
      <c r="AI32" s="55">
        <f t="shared" ref="AI32:AI63" si="54">AQ31</f>
        <v>15058.029084742962</v>
      </c>
      <c r="AJ32" s="55">
        <f t="shared" ref="AJ32:AJ63" si="55">AH$11</f>
        <v>186.04</v>
      </c>
      <c r="AK32" s="55">
        <f t="shared" si="21"/>
        <v>110.74999999999999</v>
      </c>
      <c r="AL32" s="55">
        <f t="shared" ref="AL32:AL63" si="56">ROUND(AI32*AH$8/12,2)</f>
        <v>75.290000000000006</v>
      </c>
      <c r="AM32" s="71">
        <v>0</v>
      </c>
      <c r="AN32" s="55">
        <f t="shared" si="23"/>
        <v>186.04</v>
      </c>
      <c r="AO32" s="55">
        <f t="shared" ref="AO32:AO63" si="57">AK32+AM32+AO31</f>
        <v>1809.6599999999999</v>
      </c>
      <c r="AP32" s="55">
        <f t="shared" ref="AP32:AP63" si="58">AL32+AP31</f>
        <v>1353.02</v>
      </c>
      <c r="AQ32" s="55">
        <f t="shared" si="26"/>
        <v>14947.279084742962</v>
      </c>
      <c r="AS32" s="70">
        <v>44501</v>
      </c>
      <c r="AT32" s="55">
        <f t="shared" ref="AT32:AT63" si="59">BB31</f>
        <v>16235.837031748768</v>
      </c>
      <c r="AU32" s="55">
        <f t="shared" ref="AU32:AU63" si="60">AS$11</f>
        <v>204.6</v>
      </c>
      <c r="AV32" s="55">
        <f t="shared" si="29"/>
        <v>116.66</v>
      </c>
      <c r="AW32" s="55">
        <f t="shared" ref="AW32:AW63" si="61">ROUND(AT32*AS$8/12,2)</f>
        <v>87.94</v>
      </c>
      <c r="AX32" s="71">
        <v>700</v>
      </c>
      <c r="AY32" s="55">
        <f t="shared" si="31"/>
        <v>904.6</v>
      </c>
      <c r="AZ32" s="55">
        <f t="shared" ref="AZ32:AZ63" si="62">AV32+AX32+AZ31</f>
        <v>2599.9500000000003</v>
      </c>
      <c r="BA32" s="55">
        <f t="shared" ref="BA32:BA63" si="63">AW32+BA31</f>
        <v>1578.25</v>
      </c>
      <c r="BB32" s="55">
        <f t="shared" si="34"/>
        <v>15419.177031748768</v>
      </c>
      <c r="BD32" s="70">
        <v>44501</v>
      </c>
      <c r="BE32" s="55">
        <f t="shared" ref="BE32:BE63" si="64">BM31</f>
        <v>515.74565761010967</v>
      </c>
      <c r="BF32" s="55">
        <f t="shared" ref="BF32:BF63" si="65">BD$11</f>
        <v>221.51</v>
      </c>
      <c r="BG32" s="55">
        <f t="shared" si="37"/>
        <v>218.5</v>
      </c>
      <c r="BH32" s="55">
        <f t="shared" ref="BH32:BH63" si="66">ROUND(BE32*BD$8/12,2)</f>
        <v>3.01</v>
      </c>
      <c r="BI32" s="71">
        <v>297.25</v>
      </c>
      <c r="BJ32" s="55">
        <f t="shared" si="39"/>
        <v>518.76</v>
      </c>
      <c r="BK32" s="55">
        <f t="shared" ref="BK32:BK63" si="67">BG32+BI32+BK31</f>
        <v>19078</v>
      </c>
      <c r="BL32" s="55">
        <f t="shared" ref="BL32:BL63" si="68">BH32+BL31</f>
        <v>984.92</v>
      </c>
      <c r="BM32" s="55">
        <f t="shared" si="42"/>
        <v>-4.3423898903256486E-3</v>
      </c>
    </row>
    <row r="33" spans="1:65" x14ac:dyDescent="0.25">
      <c r="A33" s="70">
        <v>44348</v>
      </c>
      <c r="B33" s="55">
        <f t="shared" si="43"/>
        <v>727.41</v>
      </c>
      <c r="C33" s="55">
        <f t="shared" si="44"/>
        <v>544.78</v>
      </c>
      <c r="D33" s="55">
        <f t="shared" si="45"/>
        <v>186.04</v>
      </c>
      <c r="E33" s="55">
        <f t="shared" si="46"/>
        <v>204.6</v>
      </c>
      <c r="F33" s="55">
        <f t="shared" si="47"/>
        <v>1221.51</v>
      </c>
      <c r="G33" s="55">
        <f t="shared" si="0"/>
        <v>2884.34</v>
      </c>
      <c r="J33">
        <f t="shared" si="48"/>
        <v>2</v>
      </c>
      <c r="K33" s="70">
        <v>44348</v>
      </c>
      <c r="L33" s="55">
        <f t="shared" si="2"/>
        <v>146309.71</v>
      </c>
      <c r="M33" s="55">
        <f t="shared" si="3"/>
        <v>727.41</v>
      </c>
      <c r="N33" s="55">
        <f t="shared" si="4"/>
        <v>223.85999999999996</v>
      </c>
      <c r="O33" s="55">
        <f t="shared" si="5"/>
        <v>503.55</v>
      </c>
      <c r="P33" s="71">
        <v>0</v>
      </c>
      <c r="Q33" s="55">
        <f t="shared" si="6"/>
        <v>727.41</v>
      </c>
      <c r="R33" s="55">
        <f t="shared" si="7"/>
        <v>3914.15</v>
      </c>
      <c r="S33" s="55">
        <f t="shared" si="8"/>
        <v>9179.23</v>
      </c>
      <c r="T33" s="55">
        <f t="shared" si="9"/>
        <v>146085.85</v>
      </c>
      <c r="U33" s="57">
        <f t="shared" si="10"/>
        <v>33914.15</v>
      </c>
      <c r="W33" s="70">
        <v>44531</v>
      </c>
      <c r="X33" s="55">
        <f t="shared" si="49"/>
        <v>44987.087741334195</v>
      </c>
      <c r="Y33" s="55">
        <f t="shared" si="50"/>
        <v>544.78</v>
      </c>
      <c r="Z33" s="55">
        <f t="shared" si="13"/>
        <v>345.71</v>
      </c>
      <c r="AA33" s="55">
        <f t="shared" si="51"/>
        <v>199.07</v>
      </c>
      <c r="AB33" s="71">
        <v>0</v>
      </c>
      <c r="AC33" s="55">
        <f t="shared" si="15"/>
        <v>544.78</v>
      </c>
      <c r="AD33" s="55">
        <f t="shared" si="52"/>
        <v>5995.1499999999987</v>
      </c>
      <c r="AE33" s="55">
        <f t="shared" si="53"/>
        <v>3810.8900000000003</v>
      </c>
      <c r="AF33" s="55">
        <f t="shared" si="18"/>
        <v>44641.377741334196</v>
      </c>
      <c r="AH33" s="70">
        <v>44531</v>
      </c>
      <c r="AI33" s="55">
        <f t="shared" si="54"/>
        <v>14947.279084742962</v>
      </c>
      <c r="AJ33" s="55">
        <f t="shared" si="55"/>
        <v>186.04</v>
      </c>
      <c r="AK33" s="55">
        <f t="shared" si="21"/>
        <v>111.3</v>
      </c>
      <c r="AL33" s="55">
        <f t="shared" si="56"/>
        <v>74.739999999999995</v>
      </c>
      <c r="AM33" s="71">
        <v>0</v>
      </c>
      <c r="AN33" s="55">
        <f t="shared" si="23"/>
        <v>186.04</v>
      </c>
      <c r="AO33" s="55">
        <f t="shared" si="57"/>
        <v>1920.9599999999998</v>
      </c>
      <c r="AP33" s="55">
        <f t="shared" si="58"/>
        <v>1427.76</v>
      </c>
      <c r="AQ33" s="55">
        <f t="shared" si="26"/>
        <v>14835.979084742963</v>
      </c>
      <c r="AS33" s="70">
        <v>44531</v>
      </c>
      <c r="AT33" s="55">
        <f t="shared" si="59"/>
        <v>15419.177031748768</v>
      </c>
      <c r="AU33" s="55">
        <f t="shared" si="60"/>
        <v>204.6</v>
      </c>
      <c r="AV33" s="55">
        <f t="shared" si="29"/>
        <v>121.08</v>
      </c>
      <c r="AW33" s="55">
        <f t="shared" si="61"/>
        <v>83.52</v>
      </c>
      <c r="AX33" s="71">
        <v>1200</v>
      </c>
      <c r="AY33" s="55">
        <f t="shared" si="31"/>
        <v>1404.6</v>
      </c>
      <c r="AZ33" s="55">
        <f t="shared" si="62"/>
        <v>3921.03</v>
      </c>
      <c r="BA33" s="55">
        <f t="shared" si="63"/>
        <v>1661.77</v>
      </c>
      <c r="BB33" s="55">
        <f t="shared" si="34"/>
        <v>14098.097031748768</v>
      </c>
      <c r="BD33" s="70">
        <v>44531</v>
      </c>
      <c r="BE33" s="55">
        <f t="shared" si="64"/>
        <v>-4.3423898903256486E-3</v>
      </c>
      <c r="BF33" s="55">
        <f t="shared" si="65"/>
        <v>221.51</v>
      </c>
      <c r="BG33" s="55">
        <f t="shared" si="37"/>
        <v>221.51</v>
      </c>
      <c r="BH33" s="55">
        <f t="shared" si="66"/>
        <v>0</v>
      </c>
      <c r="BI33" s="71">
        <v>0</v>
      </c>
      <c r="BJ33" s="55">
        <f t="shared" si="39"/>
        <v>0</v>
      </c>
      <c r="BK33" s="55">
        <f t="shared" si="67"/>
        <v>19299.509999999998</v>
      </c>
      <c r="BL33" s="55">
        <f t="shared" si="68"/>
        <v>984.92</v>
      </c>
      <c r="BM33" s="55">
        <f t="shared" si="42"/>
        <v>0</v>
      </c>
    </row>
    <row r="34" spans="1:65" x14ac:dyDescent="0.25">
      <c r="A34" s="70">
        <v>44378</v>
      </c>
      <c r="B34" s="55">
        <f t="shared" si="43"/>
        <v>727.41</v>
      </c>
      <c r="C34" s="55">
        <f t="shared" si="44"/>
        <v>544.78</v>
      </c>
      <c r="D34" s="55">
        <f t="shared" si="45"/>
        <v>186.04</v>
      </c>
      <c r="E34" s="55">
        <f t="shared" si="46"/>
        <v>204.6</v>
      </c>
      <c r="F34" s="55">
        <f t="shared" si="47"/>
        <v>1221.51</v>
      </c>
      <c r="G34" s="55">
        <f t="shared" si="0"/>
        <v>2884.34</v>
      </c>
      <c r="J34">
        <f t="shared" si="48"/>
        <v>2</v>
      </c>
      <c r="K34" s="70">
        <v>44378</v>
      </c>
      <c r="L34" s="55">
        <f t="shared" si="2"/>
        <v>146085.85</v>
      </c>
      <c r="M34" s="55">
        <f t="shared" si="3"/>
        <v>727.41</v>
      </c>
      <c r="N34" s="55">
        <f t="shared" si="4"/>
        <v>224.63</v>
      </c>
      <c r="O34" s="55">
        <f t="shared" si="5"/>
        <v>502.78</v>
      </c>
      <c r="P34" s="71">
        <v>0</v>
      </c>
      <c r="Q34" s="55">
        <f t="shared" si="6"/>
        <v>727.41</v>
      </c>
      <c r="R34" s="55">
        <f t="shared" si="7"/>
        <v>4138.78</v>
      </c>
      <c r="S34" s="55">
        <f t="shared" si="8"/>
        <v>9682.01</v>
      </c>
      <c r="T34" s="55">
        <f t="shared" si="9"/>
        <v>145861.22</v>
      </c>
      <c r="U34" s="57">
        <f t="shared" si="10"/>
        <v>34138.78</v>
      </c>
      <c r="W34" s="70">
        <v>44562</v>
      </c>
      <c r="X34" s="55">
        <f t="shared" si="49"/>
        <v>44641.377741334196</v>
      </c>
      <c r="Y34" s="55">
        <f t="shared" si="50"/>
        <v>544.78</v>
      </c>
      <c r="Z34" s="55">
        <f t="shared" si="13"/>
        <v>347.24</v>
      </c>
      <c r="AA34" s="55">
        <f t="shared" si="51"/>
        <v>197.54</v>
      </c>
      <c r="AB34" s="71">
        <v>0</v>
      </c>
      <c r="AC34" s="55">
        <f t="shared" si="15"/>
        <v>544.78</v>
      </c>
      <c r="AD34" s="55">
        <f t="shared" si="52"/>
        <v>6342.3899999999985</v>
      </c>
      <c r="AE34" s="55">
        <f t="shared" si="53"/>
        <v>4008.4300000000003</v>
      </c>
      <c r="AF34" s="55">
        <f t="shared" si="18"/>
        <v>44294.137741334198</v>
      </c>
      <c r="AH34" s="70">
        <v>44562</v>
      </c>
      <c r="AI34" s="55">
        <f t="shared" si="54"/>
        <v>14835.979084742963</v>
      </c>
      <c r="AJ34" s="55">
        <f t="shared" si="55"/>
        <v>186.04</v>
      </c>
      <c r="AK34" s="55">
        <f t="shared" si="21"/>
        <v>111.85999999999999</v>
      </c>
      <c r="AL34" s="55">
        <f t="shared" si="56"/>
        <v>74.180000000000007</v>
      </c>
      <c r="AM34" s="71">
        <v>0</v>
      </c>
      <c r="AN34" s="55">
        <f t="shared" si="23"/>
        <v>186.04</v>
      </c>
      <c r="AO34" s="55">
        <f t="shared" si="57"/>
        <v>2032.8199999999997</v>
      </c>
      <c r="AP34" s="55">
        <f t="shared" si="58"/>
        <v>1501.94</v>
      </c>
      <c r="AQ34" s="55">
        <f t="shared" si="26"/>
        <v>14724.119084742963</v>
      </c>
      <c r="AS34" s="70">
        <v>44562</v>
      </c>
      <c r="AT34" s="55">
        <f t="shared" si="59"/>
        <v>14098.097031748768</v>
      </c>
      <c r="AU34" s="55">
        <f t="shared" si="60"/>
        <v>204.6</v>
      </c>
      <c r="AV34" s="55">
        <f t="shared" si="29"/>
        <v>128.24</v>
      </c>
      <c r="AW34" s="55">
        <f t="shared" si="61"/>
        <v>76.36</v>
      </c>
      <c r="AX34" s="71">
        <v>1200</v>
      </c>
      <c r="AY34" s="55">
        <f t="shared" si="31"/>
        <v>1404.6</v>
      </c>
      <c r="AZ34" s="55">
        <f t="shared" si="62"/>
        <v>5249.27</v>
      </c>
      <c r="BA34" s="55">
        <f t="shared" si="63"/>
        <v>1738.1299999999999</v>
      </c>
      <c r="BB34" s="55">
        <f t="shared" si="34"/>
        <v>12769.857031748768</v>
      </c>
      <c r="BD34" s="70">
        <v>44562</v>
      </c>
      <c r="BE34" s="55">
        <f t="shared" si="64"/>
        <v>0</v>
      </c>
      <c r="BF34" s="55">
        <f t="shared" si="65"/>
        <v>221.51</v>
      </c>
      <c r="BG34" s="55">
        <f t="shared" si="37"/>
        <v>221.51</v>
      </c>
      <c r="BH34" s="55">
        <f t="shared" si="66"/>
        <v>0</v>
      </c>
      <c r="BI34" s="71">
        <v>0</v>
      </c>
      <c r="BJ34" s="55">
        <f t="shared" si="39"/>
        <v>0</v>
      </c>
      <c r="BK34" s="55">
        <f t="shared" si="67"/>
        <v>19521.019999999997</v>
      </c>
      <c r="BL34" s="55">
        <f t="shared" si="68"/>
        <v>984.92</v>
      </c>
      <c r="BM34" s="55">
        <f t="shared" si="42"/>
        <v>0</v>
      </c>
    </row>
    <row r="35" spans="1:65" x14ac:dyDescent="0.25">
      <c r="A35" s="70">
        <v>44409</v>
      </c>
      <c r="B35" s="55">
        <f t="shared" si="43"/>
        <v>727.41</v>
      </c>
      <c r="C35" s="55">
        <f t="shared" si="44"/>
        <v>544.78</v>
      </c>
      <c r="D35" s="55">
        <f t="shared" si="45"/>
        <v>186.04</v>
      </c>
      <c r="E35" s="55">
        <f t="shared" si="46"/>
        <v>204.6</v>
      </c>
      <c r="F35" s="55">
        <f t="shared" si="47"/>
        <v>1221.51</v>
      </c>
      <c r="G35" s="55">
        <f t="shared" si="0"/>
        <v>2884.34</v>
      </c>
      <c r="J35">
        <f t="shared" si="48"/>
        <v>2</v>
      </c>
      <c r="K35" s="70">
        <v>44409</v>
      </c>
      <c r="L35" s="55">
        <f t="shared" si="2"/>
        <v>145861.22</v>
      </c>
      <c r="M35" s="55">
        <f t="shared" si="3"/>
        <v>727.41</v>
      </c>
      <c r="N35" s="55">
        <f t="shared" si="4"/>
        <v>225.39999999999998</v>
      </c>
      <c r="O35" s="55">
        <f t="shared" si="5"/>
        <v>502.01</v>
      </c>
      <c r="P35" s="71">
        <v>0</v>
      </c>
      <c r="Q35" s="55">
        <f t="shared" si="6"/>
        <v>727.41</v>
      </c>
      <c r="R35" s="55">
        <f t="shared" si="7"/>
        <v>4364.1799999999994</v>
      </c>
      <c r="S35" s="55">
        <f t="shared" si="8"/>
        <v>10184.02</v>
      </c>
      <c r="T35" s="55">
        <f t="shared" si="9"/>
        <v>145635.82</v>
      </c>
      <c r="U35" s="57">
        <f t="shared" si="10"/>
        <v>34364.18</v>
      </c>
      <c r="W35" s="70">
        <v>44593</v>
      </c>
      <c r="X35" s="55">
        <f t="shared" si="49"/>
        <v>44294.137741334198</v>
      </c>
      <c r="Y35" s="55">
        <f t="shared" si="50"/>
        <v>544.78</v>
      </c>
      <c r="Z35" s="55">
        <f t="shared" si="13"/>
        <v>348.78</v>
      </c>
      <c r="AA35" s="55">
        <f t="shared" si="51"/>
        <v>196</v>
      </c>
      <c r="AB35" s="71">
        <v>0</v>
      </c>
      <c r="AC35" s="55">
        <f t="shared" si="15"/>
        <v>544.78</v>
      </c>
      <c r="AD35" s="55">
        <f t="shared" si="52"/>
        <v>6691.1699999999983</v>
      </c>
      <c r="AE35" s="55">
        <f t="shared" si="53"/>
        <v>4204.43</v>
      </c>
      <c r="AF35" s="55">
        <f t="shared" si="18"/>
        <v>43945.357741334199</v>
      </c>
      <c r="AH35" s="70">
        <v>44593</v>
      </c>
      <c r="AI35" s="55">
        <f t="shared" si="54"/>
        <v>14724.119084742963</v>
      </c>
      <c r="AJ35" s="55">
        <f t="shared" si="55"/>
        <v>186.04</v>
      </c>
      <c r="AK35" s="55">
        <f t="shared" si="21"/>
        <v>112.41999999999999</v>
      </c>
      <c r="AL35" s="55">
        <f t="shared" si="56"/>
        <v>73.62</v>
      </c>
      <c r="AM35" s="71">
        <v>0</v>
      </c>
      <c r="AN35" s="55">
        <f t="shared" si="23"/>
        <v>186.04</v>
      </c>
      <c r="AO35" s="55">
        <f t="shared" si="57"/>
        <v>2145.2399999999998</v>
      </c>
      <c r="AP35" s="55">
        <f t="shared" si="58"/>
        <v>1575.56</v>
      </c>
      <c r="AQ35" s="55">
        <f t="shared" si="26"/>
        <v>14611.699084742962</v>
      </c>
      <c r="AS35" s="70">
        <v>44593</v>
      </c>
      <c r="AT35" s="55">
        <f t="shared" si="59"/>
        <v>12769.857031748768</v>
      </c>
      <c r="AU35" s="55">
        <f t="shared" si="60"/>
        <v>204.6</v>
      </c>
      <c r="AV35" s="55">
        <f t="shared" si="29"/>
        <v>135.43</v>
      </c>
      <c r="AW35" s="55">
        <f t="shared" si="61"/>
        <v>69.17</v>
      </c>
      <c r="AX35" s="71">
        <v>1200</v>
      </c>
      <c r="AY35" s="55">
        <f t="shared" si="31"/>
        <v>1404.6</v>
      </c>
      <c r="AZ35" s="55">
        <f t="shared" si="62"/>
        <v>6584.7000000000007</v>
      </c>
      <c r="BA35" s="55">
        <f t="shared" si="63"/>
        <v>1807.3</v>
      </c>
      <c r="BB35" s="55">
        <f t="shared" si="34"/>
        <v>11434.427031748768</v>
      </c>
      <c r="BD35" s="70">
        <v>44593</v>
      </c>
      <c r="BE35" s="55">
        <f t="shared" si="64"/>
        <v>0</v>
      </c>
      <c r="BF35" s="55">
        <f t="shared" si="65"/>
        <v>221.51</v>
      </c>
      <c r="BG35" s="55">
        <f t="shared" si="37"/>
        <v>221.51</v>
      </c>
      <c r="BH35" s="55">
        <f t="shared" si="66"/>
        <v>0</v>
      </c>
      <c r="BI35" s="71">
        <v>0</v>
      </c>
      <c r="BJ35" s="55">
        <f t="shared" si="39"/>
        <v>0</v>
      </c>
      <c r="BK35" s="55">
        <f t="shared" si="67"/>
        <v>19742.529999999995</v>
      </c>
      <c r="BL35" s="55">
        <f t="shared" si="68"/>
        <v>984.92</v>
      </c>
      <c r="BM35" s="55">
        <f t="shared" si="42"/>
        <v>0</v>
      </c>
    </row>
    <row r="36" spans="1:65" x14ac:dyDescent="0.25">
      <c r="A36" s="70">
        <v>44440</v>
      </c>
      <c r="B36" s="55">
        <f t="shared" si="43"/>
        <v>727.41</v>
      </c>
      <c r="C36" s="55">
        <f t="shared" si="44"/>
        <v>544.78</v>
      </c>
      <c r="D36" s="55">
        <f t="shared" si="45"/>
        <v>186.04</v>
      </c>
      <c r="E36" s="55">
        <f t="shared" si="46"/>
        <v>204.6</v>
      </c>
      <c r="F36" s="55">
        <f t="shared" si="47"/>
        <v>1221.51</v>
      </c>
      <c r="G36" s="55">
        <f t="shared" si="0"/>
        <v>2884.34</v>
      </c>
      <c r="J36">
        <f t="shared" si="48"/>
        <v>2</v>
      </c>
      <c r="K36" s="70">
        <v>44440</v>
      </c>
      <c r="L36" s="55">
        <f t="shared" si="2"/>
        <v>145635.82</v>
      </c>
      <c r="M36" s="55">
        <f t="shared" si="3"/>
        <v>727.41</v>
      </c>
      <c r="N36" s="55">
        <f t="shared" si="4"/>
        <v>226.17999999999995</v>
      </c>
      <c r="O36" s="55">
        <f t="shared" si="5"/>
        <v>501.23</v>
      </c>
      <c r="P36" s="71">
        <v>0</v>
      </c>
      <c r="Q36" s="55">
        <f t="shared" si="6"/>
        <v>727.41</v>
      </c>
      <c r="R36" s="55">
        <f t="shared" si="7"/>
        <v>4590.3599999999997</v>
      </c>
      <c r="S36" s="55">
        <f t="shared" si="8"/>
        <v>10685.25</v>
      </c>
      <c r="T36" s="55">
        <f t="shared" si="9"/>
        <v>145409.64000000001</v>
      </c>
      <c r="U36" s="57">
        <f t="shared" si="10"/>
        <v>34590.36</v>
      </c>
      <c r="W36" s="70">
        <v>44621</v>
      </c>
      <c r="X36" s="55">
        <f t="shared" si="49"/>
        <v>43945.357741334199</v>
      </c>
      <c r="Y36" s="55">
        <f t="shared" si="50"/>
        <v>544.78</v>
      </c>
      <c r="Z36" s="55">
        <f t="shared" si="13"/>
        <v>350.31999999999994</v>
      </c>
      <c r="AA36" s="55">
        <f t="shared" si="51"/>
        <v>194.46</v>
      </c>
      <c r="AB36" s="71">
        <v>0</v>
      </c>
      <c r="AC36" s="55">
        <f t="shared" si="15"/>
        <v>544.78</v>
      </c>
      <c r="AD36" s="55">
        <f t="shared" si="52"/>
        <v>7041.489999999998</v>
      </c>
      <c r="AE36" s="55">
        <f t="shared" si="53"/>
        <v>4398.8900000000003</v>
      </c>
      <c r="AF36" s="55">
        <f t="shared" si="18"/>
        <v>43595.037741334199</v>
      </c>
      <c r="AH36" s="70">
        <v>44621</v>
      </c>
      <c r="AI36" s="55">
        <f t="shared" si="54"/>
        <v>14611.699084742962</v>
      </c>
      <c r="AJ36" s="55">
        <f t="shared" si="55"/>
        <v>186.04</v>
      </c>
      <c r="AK36" s="55">
        <f t="shared" si="21"/>
        <v>112.97999999999999</v>
      </c>
      <c r="AL36" s="55">
        <f t="shared" si="56"/>
        <v>73.06</v>
      </c>
      <c r="AM36" s="71">
        <v>0</v>
      </c>
      <c r="AN36" s="55">
        <f t="shared" si="23"/>
        <v>186.04</v>
      </c>
      <c r="AO36" s="55">
        <f t="shared" si="57"/>
        <v>2258.2199999999998</v>
      </c>
      <c r="AP36" s="55">
        <f t="shared" si="58"/>
        <v>1648.62</v>
      </c>
      <c r="AQ36" s="55">
        <f t="shared" si="26"/>
        <v>14498.719084742963</v>
      </c>
      <c r="AS36" s="70">
        <v>44621</v>
      </c>
      <c r="AT36" s="55">
        <f t="shared" si="59"/>
        <v>11434.427031748768</v>
      </c>
      <c r="AU36" s="55">
        <f t="shared" si="60"/>
        <v>204.6</v>
      </c>
      <c r="AV36" s="55">
        <f t="shared" si="29"/>
        <v>142.66</v>
      </c>
      <c r="AW36" s="55">
        <f t="shared" si="61"/>
        <v>61.94</v>
      </c>
      <c r="AX36" s="71">
        <v>1200</v>
      </c>
      <c r="AY36" s="55">
        <f t="shared" si="31"/>
        <v>1404.6</v>
      </c>
      <c r="AZ36" s="55">
        <f t="shared" si="62"/>
        <v>7927.3600000000006</v>
      </c>
      <c r="BA36" s="55">
        <f t="shared" si="63"/>
        <v>1869.24</v>
      </c>
      <c r="BB36" s="55">
        <f t="shared" si="34"/>
        <v>10091.767031748768</v>
      </c>
      <c r="BD36" s="70">
        <v>44621</v>
      </c>
      <c r="BE36" s="55">
        <f t="shared" si="64"/>
        <v>0</v>
      </c>
      <c r="BF36" s="55">
        <f t="shared" si="65"/>
        <v>221.51</v>
      </c>
      <c r="BG36" s="55">
        <f t="shared" si="37"/>
        <v>221.51</v>
      </c>
      <c r="BH36" s="55">
        <f t="shared" si="66"/>
        <v>0</v>
      </c>
      <c r="BI36" s="71">
        <v>0</v>
      </c>
      <c r="BJ36" s="55">
        <f t="shared" si="39"/>
        <v>0</v>
      </c>
      <c r="BK36" s="55">
        <f t="shared" si="67"/>
        <v>19964.039999999994</v>
      </c>
      <c r="BL36" s="55">
        <f t="shared" si="68"/>
        <v>984.92</v>
      </c>
      <c r="BM36" s="55">
        <f t="shared" si="42"/>
        <v>0</v>
      </c>
    </row>
    <row r="37" spans="1:65" x14ac:dyDescent="0.25">
      <c r="A37" s="70">
        <v>44470</v>
      </c>
      <c r="B37" s="55">
        <f t="shared" si="43"/>
        <v>727.41</v>
      </c>
      <c r="C37" s="55">
        <f t="shared" si="44"/>
        <v>544.78</v>
      </c>
      <c r="D37" s="55">
        <f t="shared" si="45"/>
        <v>186.04</v>
      </c>
      <c r="E37" s="55">
        <f t="shared" si="46"/>
        <v>204.6</v>
      </c>
      <c r="F37" s="55">
        <f t="shared" si="47"/>
        <v>1221.51</v>
      </c>
      <c r="G37" s="55">
        <f t="shared" si="0"/>
        <v>2884.34</v>
      </c>
      <c r="J37">
        <f t="shared" si="48"/>
        <v>2</v>
      </c>
      <c r="K37" s="70">
        <v>44470</v>
      </c>
      <c r="L37" s="55">
        <f t="shared" si="2"/>
        <v>145409.64000000001</v>
      </c>
      <c r="M37" s="55">
        <f t="shared" si="3"/>
        <v>727.41</v>
      </c>
      <c r="N37" s="55">
        <f t="shared" si="4"/>
        <v>226.95999999999998</v>
      </c>
      <c r="O37" s="55">
        <f t="shared" si="5"/>
        <v>500.45</v>
      </c>
      <c r="P37" s="71">
        <v>0</v>
      </c>
      <c r="Q37" s="55">
        <f t="shared" si="6"/>
        <v>727.41</v>
      </c>
      <c r="R37" s="55">
        <f t="shared" si="7"/>
        <v>4817.32</v>
      </c>
      <c r="S37" s="55">
        <f t="shared" si="8"/>
        <v>11185.7</v>
      </c>
      <c r="T37" s="55">
        <f t="shared" si="9"/>
        <v>145182.68000000002</v>
      </c>
      <c r="U37" s="57">
        <f t="shared" si="10"/>
        <v>34817.32</v>
      </c>
      <c r="W37" s="70">
        <v>44652</v>
      </c>
      <c r="X37" s="55">
        <f t="shared" si="49"/>
        <v>43595.037741334199</v>
      </c>
      <c r="Y37" s="55">
        <f t="shared" si="50"/>
        <v>544.78</v>
      </c>
      <c r="Z37" s="55">
        <f t="shared" si="13"/>
        <v>351.87</v>
      </c>
      <c r="AA37" s="55">
        <f t="shared" si="51"/>
        <v>192.91</v>
      </c>
      <c r="AB37" s="71">
        <v>0</v>
      </c>
      <c r="AC37" s="55">
        <f t="shared" si="15"/>
        <v>544.78</v>
      </c>
      <c r="AD37" s="55">
        <f t="shared" si="52"/>
        <v>7393.3599999999979</v>
      </c>
      <c r="AE37" s="55">
        <f t="shared" si="53"/>
        <v>4591.8</v>
      </c>
      <c r="AF37" s="55">
        <f t="shared" si="18"/>
        <v>43243.167741334197</v>
      </c>
      <c r="AH37" s="70">
        <v>44652</v>
      </c>
      <c r="AI37" s="55">
        <f t="shared" si="54"/>
        <v>14498.719084742963</v>
      </c>
      <c r="AJ37" s="55">
        <f t="shared" si="55"/>
        <v>186.04</v>
      </c>
      <c r="AK37" s="55">
        <f t="shared" si="21"/>
        <v>113.55</v>
      </c>
      <c r="AL37" s="55">
        <f t="shared" si="56"/>
        <v>72.489999999999995</v>
      </c>
      <c r="AM37" s="71">
        <v>0</v>
      </c>
      <c r="AN37" s="55">
        <f t="shared" si="23"/>
        <v>186.04</v>
      </c>
      <c r="AO37" s="55">
        <f t="shared" si="57"/>
        <v>2371.77</v>
      </c>
      <c r="AP37" s="55">
        <f t="shared" si="58"/>
        <v>1721.11</v>
      </c>
      <c r="AQ37" s="55">
        <f t="shared" si="26"/>
        <v>14385.169084742964</v>
      </c>
      <c r="AS37" s="70">
        <v>44652</v>
      </c>
      <c r="AT37" s="55">
        <f t="shared" si="59"/>
        <v>10091.767031748768</v>
      </c>
      <c r="AU37" s="55">
        <f t="shared" si="60"/>
        <v>204.6</v>
      </c>
      <c r="AV37" s="55">
        <f t="shared" si="29"/>
        <v>149.94</v>
      </c>
      <c r="AW37" s="55">
        <f t="shared" si="61"/>
        <v>54.66</v>
      </c>
      <c r="AX37" s="71">
        <v>1200</v>
      </c>
      <c r="AY37" s="55">
        <f t="shared" si="31"/>
        <v>1404.6</v>
      </c>
      <c r="AZ37" s="55">
        <f t="shared" si="62"/>
        <v>9277.3000000000011</v>
      </c>
      <c r="BA37" s="55">
        <f t="shared" si="63"/>
        <v>1923.9</v>
      </c>
      <c r="BB37" s="55">
        <f t="shared" si="34"/>
        <v>8741.8270317487677</v>
      </c>
      <c r="BD37" s="70">
        <v>44652</v>
      </c>
      <c r="BE37" s="55">
        <f t="shared" si="64"/>
        <v>0</v>
      </c>
      <c r="BF37" s="55">
        <f t="shared" si="65"/>
        <v>221.51</v>
      </c>
      <c r="BG37" s="55">
        <f t="shared" si="37"/>
        <v>221.51</v>
      </c>
      <c r="BH37" s="55">
        <f t="shared" si="66"/>
        <v>0</v>
      </c>
      <c r="BI37" s="71">
        <v>0</v>
      </c>
      <c r="BJ37" s="55">
        <f t="shared" si="39"/>
        <v>0</v>
      </c>
      <c r="BK37" s="55">
        <f t="shared" si="67"/>
        <v>20185.549999999992</v>
      </c>
      <c r="BL37" s="55">
        <f t="shared" si="68"/>
        <v>984.92</v>
      </c>
      <c r="BM37" s="55">
        <f t="shared" si="42"/>
        <v>0</v>
      </c>
    </row>
    <row r="38" spans="1:65" x14ac:dyDescent="0.25">
      <c r="A38" s="70">
        <v>44501</v>
      </c>
      <c r="B38" s="55">
        <f t="shared" si="43"/>
        <v>727.41</v>
      </c>
      <c r="C38" s="55">
        <f t="shared" si="44"/>
        <v>544.78</v>
      </c>
      <c r="D38" s="55">
        <f t="shared" si="45"/>
        <v>186.04</v>
      </c>
      <c r="E38" s="55">
        <f t="shared" si="46"/>
        <v>904.6</v>
      </c>
      <c r="F38" s="55">
        <f t="shared" si="47"/>
        <v>518.76</v>
      </c>
      <c r="G38" s="55">
        <f t="shared" si="0"/>
        <v>2881.59</v>
      </c>
      <c r="J38">
        <f t="shared" si="48"/>
        <v>2</v>
      </c>
      <c r="K38" s="70">
        <v>44501</v>
      </c>
      <c r="L38" s="55">
        <f t="shared" si="2"/>
        <v>145182.68000000002</v>
      </c>
      <c r="M38" s="55">
        <f t="shared" si="3"/>
        <v>727.41</v>
      </c>
      <c r="N38" s="55">
        <f t="shared" si="4"/>
        <v>227.73999999999995</v>
      </c>
      <c r="O38" s="55">
        <f t="shared" si="5"/>
        <v>499.67</v>
      </c>
      <c r="P38" s="71">
        <v>0</v>
      </c>
      <c r="Q38" s="55">
        <f t="shared" si="6"/>
        <v>727.41</v>
      </c>
      <c r="R38" s="55">
        <f t="shared" si="7"/>
        <v>5045.0599999999995</v>
      </c>
      <c r="S38" s="55">
        <f t="shared" si="8"/>
        <v>11685.37</v>
      </c>
      <c r="T38" s="55">
        <f t="shared" si="9"/>
        <v>144954.94000000003</v>
      </c>
      <c r="U38" s="57">
        <f t="shared" si="10"/>
        <v>35045.06</v>
      </c>
      <c r="W38" s="70">
        <v>44682</v>
      </c>
      <c r="X38" s="55">
        <f t="shared" si="49"/>
        <v>43243.167741334197</v>
      </c>
      <c r="Y38" s="55">
        <f t="shared" si="50"/>
        <v>544.78</v>
      </c>
      <c r="Z38" s="55">
        <f t="shared" si="13"/>
        <v>353.42999999999995</v>
      </c>
      <c r="AA38" s="55">
        <f t="shared" si="51"/>
        <v>191.35</v>
      </c>
      <c r="AB38" s="71">
        <v>0</v>
      </c>
      <c r="AC38" s="55">
        <f t="shared" si="15"/>
        <v>544.78</v>
      </c>
      <c r="AD38" s="55">
        <f t="shared" si="52"/>
        <v>7746.7899999999981</v>
      </c>
      <c r="AE38" s="55">
        <f t="shared" si="53"/>
        <v>4783.1500000000005</v>
      </c>
      <c r="AF38" s="55">
        <f t="shared" si="18"/>
        <v>42889.737741334196</v>
      </c>
      <c r="AH38" s="70">
        <v>44682</v>
      </c>
      <c r="AI38" s="55">
        <f t="shared" si="54"/>
        <v>14385.169084742964</v>
      </c>
      <c r="AJ38" s="55">
        <f t="shared" si="55"/>
        <v>186.04</v>
      </c>
      <c r="AK38" s="55">
        <f t="shared" si="21"/>
        <v>114.10999999999999</v>
      </c>
      <c r="AL38" s="55">
        <f t="shared" si="56"/>
        <v>71.930000000000007</v>
      </c>
      <c r="AM38" s="71">
        <v>0</v>
      </c>
      <c r="AN38" s="55">
        <f t="shared" si="23"/>
        <v>186.04</v>
      </c>
      <c r="AO38" s="55">
        <f t="shared" si="57"/>
        <v>2485.88</v>
      </c>
      <c r="AP38" s="55">
        <f t="shared" si="58"/>
        <v>1793.04</v>
      </c>
      <c r="AQ38" s="55">
        <f t="shared" si="26"/>
        <v>14271.059084742963</v>
      </c>
      <c r="AS38" s="70">
        <v>44682</v>
      </c>
      <c r="AT38" s="55">
        <f t="shared" si="59"/>
        <v>8741.8270317487677</v>
      </c>
      <c r="AU38" s="55">
        <f t="shared" si="60"/>
        <v>204.6</v>
      </c>
      <c r="AV38" s="55">
        <f t="shared" si="29"/>
        <v>157.25</v>
      </c>
      <c r="AW38" s="55">
        <f t="shared" si="61"/>
        <v>47.35</v>
      </c>
      <c r="AX38" s="71">
        <v>1200</v>
      </c>
      <c r="AY38" s="55">
        <f t="shared" si="31"/>
        <v>1404.6</v>
      </c>
      <c r="AZ38" s="55">
        <f t="shared" si="62"/>
        <v>10634.550000000001</v>
      </c>
      <c r="BA38" s="55">
        <f t="shared" si="63"/>
        <v>1971.25</v>
      </c>
      <c r="BB38" s="55">
        <f t="shared" si="34"/>
        <v>7384.5770317487677</v>
      </c>
      <c r="BD38" s="70">
        <v>44682</v>
      </c>
      <c r="BE38" s="55">
        <f t="shared" si="64"/>
        <v>0</v>
      </c>
      <c r="BF38" s="55">
        <f t="shared" si="65"/>
        <v>221.51</v>
      </c>
      <c r="BG38" s="55">
        <f t="shared" si="37"/>
        <v>221.51</v>
      </c>
      <c r="BH38" s="55">
        <f t="shared" si="66"/>
        <v>0</v>
      </c>
      <c r="BI38" s="71">
        <v>0</v>
      </c>
      <c r="BJ38" s="55">
        <f t="shared" si="39"/>
        <v>0</v>
      </c>
      <c r="BK38" s="55">
        <f t="shared" si="67"/>
        <v>20407.05999999999</v>
      </c>
      <c r="BL38" s="55">
        <f t="shared" si="68"/>
        <v>984.92</v>
      </c>
      <c r="BM38" s="55">
        <f t="shared" si="42"/>
        <v>0</v>
      </c>
    </row>
    <row r="39" spans="1:65" x14ac:dyDescent="0.25">
      <c r="A39" s="70">
        <v>44531</v>
      </c>
      <c r="B39" s="55">
        <f t="shared" si="43"/>
        <v>727.41</v>
      </c>
      <c r="C39" s="55">
        <f t="shared" si="44"/>
        <v>544.78</v>
      </c>
      <c r="D39" s="55">
        <f t="shared" si="45"/>
        <v>186.04</v>
      </c>
      <c r="E39" s="55">
        <f t="shared" si="46"/>
        <v>1404.6</v>
      </c>
      <c r="F39" s="55">
        <f t="shared" si="47"/>
        <v>0</v>
      </c>
      <c r="G39" s="55">
        <f t="shared" si="0"/>
        <v>2862.83</v>
      </c>
      <c r="J39">
        <f t="shared" si="48"/>
        <v>2</v>
      </c>
      <c r="K39" s="70">
        <v>44531</v>
      </c>
      <c r="L39" s="55">
        <f t="shared" si="2"/>
        <v>144954.94000000003</v>
      </c>
      <c r="M39" s="55">
        <f t="shared" si="3"/>
        <v>727.41</v>
      </c>
      <c r="N39" s="55">
        <f t="shared" si="4"/>
        <v>228.51999999999998</v>
      </c>
      <c r="O39" s="55">
        <f t="shared" si="5"/>
        <v>498.89</v>
      </c>
      <c r="P39" s="71">
        <v>0</v>
      </c>
      <c r="Q39" s="55">
        <f t="shared" si="6"/>
        <v>727.41</v>
      </c>
      <c r="R39" s="55">
        <f t="shared" si="7"/>
        <v>5273.58</v>
      </c>
      <c r="S39" s="55">
        <f t="shared" si="8"/>
        <v>12184.26</v>
      </c>
      <c r="T39" s="55">
        <f t="shared" si="9"/>
        <v>144726.42000000004</v>
      </c>
      <c r="U39" s="57">
        <f t="shared" si="10"/>
        <v>35273.58</v>
      </c>
      <c r="W39" s="70">
        <v>44713</v>
      </c>
      <c r="X39" s="55">
        <f t="shared" si="49"/>
        <v>42889.737741334196</v>
      </c>
      <c r="Y39" s="55">
        <f t="shared" si="50"/>
        <v>544.78</v>
      </c>
      <c r="Z39" s="55">
        <f t="shared" si="13"/>
        <v>354.99</v>
      </c>
      <c r="AA39" s="55">
        <f t="shared" si="51"/>
        <v>189.79</v>
      </c>
      <c r="AB39" s="71">
        <v>0</v>
      </c>
      <c r="AC39" s="55">
        <f t="shared" si="15"/>
        <v>544.78</v>
      </c>
      <c r="AD39" s="55">
        <f t="shared" si="52"/>
        <v>8101.7799999999979</v>
      </c>
      <c r="AE39" s="55">
        <f t="shared" si="53"/>
        <v>4972.9400000000005</v>
      </c>
      <c r="AF39" s="55">
        <f t="shared" si="18"/>
        <v>42534.747741334199</v>
      </c>
      <c r="AH39" s="70">
        <v>44713</v>
      </c>
      <c r="AI39" s="55">
        <f t="shared" si="54"/>
        <v>14271.059084742963</v>
      </c>
      <c r="AJ39" s="55">
        <f t="shared" si="55"/>
        <v>186.04</v>
      </c>
      <c r="AK39" s="55">
        <f t="shared" si="21"/>
        <v>114.67999999999999</v>
      </c>
      <c r="AL39" s="55">
        <f t="shared" si="56"/>
        <v>71.36</v>
      </c>
      <c r="AM39" s="71">
        <v>0</v>
      </c>
      <c r="AN39" s="55">
        <f t="shared" si="23"/>
        <v>186.04</v>
      </c>
      <c r="AO39" s="55">
        <f t="shared" si="57"/>
        <v>2600.56</v>
      </c>
      <c r="AP39" s="55">
        <f t="shared" si="58"/>
        <v>1864.3999999999999</v>
      </c>
      <c r="AQ39" s="55">
        <f t="shared" si="26"/>
        <v>14156.379084742963</v>
      </c>
      <c r="AS39" s="70">
        <v>44713</v>
      </c>
      <c r="AT39" s="55">
        <f t="shared" si="59"/>
        <v>7384.5770317487677</v>
      </c>
      <c r="AU39" s="55">
        <f t="shared" si="60"/>
        <v>204.6</v>
      </c>
      <c r="AV39" s="55">
        <f t="shared" si="29"/>
        <v>164.6</v>
      </c>
      <c r="AW39" s="55">
        <f t="shared" si="61"/>
        <v>40</v>
      </c>
      <c r="AX39" s="71">
        <v>1200</v>
      </c>
      <c r="AY39" s="55">
        <f t="shared" si="31"/>
        <v>1404.6</v>
      </c>
      <c r="AZ39" s="55">
        <f t="shared" si="62"/>
        <v>11999.150000000001</v>
      </c>
      <c r="BA39" s="55">
        <f t="shared" si="63"/>
        <v>2011.25</v>
      </c>
      <c r="BB39" s="55">
        <f t="shared" si="34"/>
        <v>6019.9770317487673</v>
      </c>
      <c r="BD39" s="70">
        <v>44713</v>
      </c>
      <c r="BE39" s="55">
        <f t="shared" si="64"/>
        <v>0</v>
      </c>
      <c r="BF39" s="55">
        <f t="shared" si="65"/>
        <v>221.51</v>
      </c>
      <c r="BG39" s="55">
        <f t="shared" si="37"/>
        <v>221.51</v>
      </c>
      <c r="BH39" s="55">
        <f t="shared" si="66"/>
        <v>0</v>
      </c>
      <c r="BI39" s="71">
        <v>0</v>
      </c>
      <c r="BJ39" s="55">
        <f t="shared" si="39"/>
        <v>0</v>
      </c>
      <c r="BK39" s="55">
        <f t="shared" si="67"/>
        <v>20628.569999999989</v>
      </c>
      <c r="BL39" s="55">
        <f t="shared" si="68"/>
        <v>984.92</v>
      </c>
      <c r="BM39" s="55">
        <f t="shared" si="42"/>
        <v>0</v>
      </c>
    </row>
    <row r="40" spans="1:65" x14ac:dyDescent="0.25">
      <c r="A40" s="70">
        <v>44562</v>
      </c>
      <c r="B40" s="55">
        <f t="shared" si="43"/>
        <v>727.41</v>
      </c>
      <c r="C40" s="55">
        <f t="shared" si="44"/>
        <v>544.78</v>
      </c>
      <c r="D40" s="55">
        <f t="shared" si="45"/>
        <v>186.04</v>
      </c>
      <c r="E40" s="55">
        <f t="shared" si="46"/>
        <v>1404.6</v>
      </c>
      <c r="F40" s="55">
        <f t="shared" si="47"/>
        <v>0</v>
      </c>
      <c r="G40" s="55">
        <f t="shared" si="0"/>
        <v>2862.83</v>
      </c>
      <c r="J40">
        <f t="shared" si="48"/>
        <v>3</v>
      </c>
      <c r="K40" s="70">
        <v>44562</v>
      </c>
      <c r="L40" s="55">
        <f t="shared" si="2"/>
        <v>144726.42000000004</v>
      </c>
      <c r="M40" s="55">
        <f t="shared" si="3"/>
        <v>727.41</v>
      </c>
      <c r="N40" s="55">
        <f t="shared" si="4"/>
        <v>229.30999999999995</v>
      </c>
      <c r="O40" s="55">
        <f t="shared" si="5"/>
        <v>498.1</v>
      </c>
      <c r="P40" s="71">
        <v>0</v>
      </c>
      <c r="Q40" s="55">
        <f t="shared" si="6"/>
        <v>727.41</v>
      </c>
      <c r="R40" s="55">
        <f t="shared" si="7"/>
        <v>5502.8899999999994</v>
      </c>
      <c r="S40" s="55">
        <f t="shared" si="8"/>
        <v>12682.36</v>
      </c>
      <c r="T40" s="55">
        <f t="shared" si="9"/>
        <v>144497.11000000004</v>
      </c>
      <c r="U40" s="57">
        <f t="shared" si="10"/>
        <v>35502.89</v>
      </c>
      <c r="W40" s="70">
        <v>44743</v>
      </c>
      <c r="X40" s="55">
        <f t="shared" ref="X40:X60" si="69">AF39</f>
        <v>42534.747741334199</v>
      </c>
      <c r="Y40" s="55">
        <f t="shared" ref="Y40:Y60" si="70">W$11</f>
        <v>544.78</v>
      </c>
      <c r="Z40" s="55">
        <f t="shared" si="13"/>
        <v>356.55999999999995</v>
      </c>
      <c r="AA40" s="55">
        <f t="shared" ref="AA40:AA60" si="71">ROUND(X40*W$8/12,2)</f>
        <v>188.22</v>
      </c>
      <c r="AB40" s="71">
        <v>0</v>
      </c>
      <c r="AC40" s="55">
        <f t="shared" si="15"/>
        <v>544.78</v>
      </c>
      <c r="AD40" s="55">
        <f t="shared" ref="AD40:AD60" si="72">Z40+AB40+AD39</f>
        <v>8458.3399999999983</v>
      </c>
      <c r="AE40" s="55">
        <f t="shared" ref="AE40:AE60" si="73">AA40+AE39</f>
        <v>5161.1600000000008</v>
      </c>
      <c r="AF40" s="55">
        <f t="shared" si="18"/>
        <v>42178.187741334201</v>
      </c>
      <c r="AH40" s="70">
        <v>44743</v>
      </c>
      <c r="AI40" s="55">
        <f t="shared" si="54"/>
        <v>14156.379084742963</v>
      </c>
      <c r="AJ40" s="55">
        <f t="shared" si="55"/>
        <v>186.04</v>
      </c>
      <c r="AK40" s="55">
        <f t="shared" si="21"/>
        <v>115.25999999999999</v>
      </c>
      <c r="AL40" s="55">
        <f t="shared" si="56"/>
        <v>70.78</v>
      </c>
      <c r="AM40" s="71">
        <v>0</v>
      </c>
      <c r="AN40" s="55">
        <f t="shared" si="23"/>
        <v>186.04</v>
      </c>
      <c r="AO40" s="55">
        <f t="shared" si="57"/>
        <v>2715.8199999999997</v>
      </c>
      <c r="AP40" s="55">
        <f t="shared" si="58"/>
        <v>1935.1799999999998</v>
      </c>
      <c r="AQ40" s="55">
        <f t="shared" si="26"/>
        <v>14041.119084742963</v>
      </c>
      <c r="AS40" s="70">
        <v>44743</v>
      </c>
      <c r="AT40" s="55">
        <f t="shared" si="59"/>
        <v>6019.9770317487673</v>
      </c>
      <c r="AU40" s="55">
        <f t="shared" si="60"/>
        <v>204.6</v>
      </c>
      <c r="AV40" s="55">
        <f t="shared" si="29"/>
        <v>171.99</v>
      </c>
      <c r="AW40" s="55">
        <f t="shared" si="61"/>
        <v>32.61</v>
      </c>
      <c r="AX40" s="71">
        <v>1200</v>
      </c>
      <c r="AY40" s="55">
        <f t="shared" si="31"/>
        <v>1404.6</v>
      </c>
      <c r="AZ40" s="55">
        <f t="shared" si="62"/>
        <v>13371.140000000001</v>
      </c>
      <c r="BA40" s="55">
        <f t="shared" si="63"/>
        <v>2043.86</v>
      </c>
      <c r="BB40" s="55">
        <f t="shared" si="34"/>
        <v>4647.9870317487675</v>
      </c>
      <c r="BD40" s="70">
        <v>44743</v>
      </c>
      <c r="BE40" s="55">
        <f t="shared" si="64"/>
        <v>0</v>
      </c>
      <c r="BF40" s="55">
        <f t="shared" si="65"/>
        <v>221.51</v>
      </c>
      <c r="BG40" s="55">
        <f t="shared" si="37"/>
        <v>221.51</v>
      </c>
      <c r="BH40" s="55">
        <f t="shared" si="66"/>
        <v>0</v>
      </c>
      <c r="BI40" s="71">
        <v>0</v>
      </c>
      <c r="BJ40" s="55">
        <f t="shared" si="39"/>
        <v>0</v>
      </c>
      <c r="BK40" s="55">
        <f t="shared" si="67"/>
        <v>20850.079999999987</v>
      </c>
      <c r="BL40" s="55">
        <f t="shared" si="68"/>
        <v>984.92</v>
      </c>
      <c r="BM40" s="55">
        <f t="shared" si="42"/>
        <v>0</v>
      </c>
    </row>
    <row r="41" spans="1:65" x14ac:dyDescent="0.25">
      <c r="A41" s="70">
        <v>44593</v>
      </c>
      <c r="B41" s="55">
        <f t="shared" si="43"/>
        <v>727.41</v>
      </c>
      <c r="C41" s="55">
        <f t="shared" si="44"/>
        <v>544.78</v>
      </c>
      <c r="D41" s="55">
        <f t="shared" si="45"/>
        <v>186.04</v>
      </c>
      <c r="E41" s="55">
        <f t="shared" si="46"/>
        <v>1404.6</v>
      </c>
      <c r="F41" s="55">
        <f t="shared" si="47"/>
        <v>0</v>
      </c>
      <c r="G41" s="55">
        <f t="shared" si="0"/>
        <v>2862.83</v>
      </c>
      <c r="J41">
        <f t="shared" si="48"/>
        <v>3</v>
      </c>
      <c r="K41" s="70">
        <v>44593</v>
      </c>
      <c r="L41" s="55">
        <f t="shared" si="2"/>
        <v>144497.11000000004</v>
      </c>
      <c r="M41" s="55">
        <f t="shared" si="3"/>
        <v>727.41</v>
      </c>
      <c r="N41" s="55">
        <f t="shared" si="4"/>
        <v>230.09999999999997</v>
      </c>
      <c r="O41" s="55">
        <f t="shared" si="5"/>
        <v>497.31</v>
      </c>
      <c r="P41" s="71">
        <v>0</v>
      </c>
      <c r="Q41" s="55">
        <f t="shared" si="6"/>
        <v>727.41</v>
      </c>
      <c r="R41" s="55">
        <f t="shared" si="7"/>
        <v>5732.99</v>
      </c>
      <c r="S41" s="55">
        <f t="shared" si="8"/>
        <v>13179.67</v>
      </c>
      <c r="T41" s="55">
        <f t="shared" si="9"/>
        <v>144267.01000000004</v>
      </c>
      <c r="U41" s="57">
        <f t="shared" si="10"/>
        <v>35732.99</v>
      </c>
      <c r="W41" s="70">
        <v>44774</v>
      </c>
      <c r="X41" s="55">
        <f t="shared" si="69"/>
        <v>42178.187741334201</v>
      </c>
      <c r="Y41" s="55">
        <f t="shared" si="70"/>
        <v>544.78</v>
      </c>
      <c r="Z41" s="55">
        <f t="shared" si="13"/>
        <v>358.14</v>
      </c>
      <c r="AA41" s="55">
        <f t="shared" si="71"/>
        <v>186.64</v>
      </c>
      <c r="AB41" s="71">
        <v>0</v>
      </c>
      <c r="AC41" s="55">
        <f t="shared" si="15"/>
        <v>544.78</v>
      </c>
      <c r="AD41" s="55">
        <f t="shared" si="72"/>
        <v>8816.4799999999977</v>
      </c>
      <c r="AE41" s="55">
        <f t="shared" si="73"/>
        <v>5347.8000000000011</v>
      </c>
      <c r="AF41" s="55">
        <f t="shared" si="18"/>
        <v>41820.047741334201</v>
      </c>
      <c r="AH41" s="70">
        <v>44774</v>
      </c>
      <c r="AI41" s="55">
        <f t="shared" si="54"/>
        <v>14041.119084742963</v>
      </c>
      <c r="AJ41" s="55">
        <f t="shared" si="55"/>
        <v>186.04</v>
      </c>
      <c r="AK41" s="55">
        <f t="shared" si="21"/>
        <v>115.83</v>
      </c>
      <c r="AL41" s="55">
        <f t="shared" si="56"/>
        <v>70.209999999999994</v>
      </c>
      <c r="AM41" s="71">
        <v>0</v>
      </c>
      <c r="AN41" s="55">
        <f t="shared" si="23"/>
        <v>186.04</v>
      </c>
      <c r="AO41" s="55">
        <f t="shared" si="57"/>
        <v>2831.6499999999996</v>
      </c>
      <c r="AP41" s="55">
        <f t="shared" si="58"/>
        <v>2005.3899999999999</v>
      </c>
      <c r="AQ41" s="55">
        <f t="shared" si="26"/>
        <v>13925.289084742963</v>
      </c>
      <c r="AS41" s="70">
        <v>44774</v>
      </c>
      <c r="AT41" s="55">
        <f t="shared" si="59"/>
        <v>4647.9870317487675</v>
      </c>
      <c r="AU41" s="55">
        <f t="shared" si="60"/>
        <v>204.6</v>
      </c>
      <c r="AV41" s="55">
        <f t="shared" si="29"/>
        <v>179.42</v>
      </c>
      <c r="AW41" s="55">
        <f t="shared" si="61"/>
        <v>25.18</v>
      </c>
      <c r="AX41" s="71">
        <v>1200</v>
      </c>
      <c r="AY41" s="55">
        <f t="shared" si="31"/>
        <v>1404.6</v>
      </c>
      <c r="AZ41" s="55">
        <f t="shared" si="62"/>
        <v>14750.560000000001</v>
      </c>
      <c r="BA41" s="55">
        <f t="shared" si="63"/>
        <v>2069.04</v>
      </c>
      <c r="BB41" s="55">
        <f t="shared" si="34"/>
        <v>3268.5670317487675</v>
      </c>
      <c r="BD41" s="70">
        <v>44774</v>
      </c>
      <c r="BE41" s="55">
        <f t="shared" si="64"/>
        <v>0</v>
      </c>
      <c r="BF41" s="55">
        <f t="shared" si="65"/>
        <v>221.51</v>
      </c>
      <c r="BG41" s="55">
        <f t="shared" si="37"/>
        <v>221.51</v>
      </c>
      <c r="BH41" s="55">
        <f t="shared" si="66"/>
        <v>0</v>
      </c>
      <c r="BI41" s="71">
        <v>0</v>
      </c>
      <c r="BJ41" s="55">
        <f t="shared" si="39"/>
        <v>0</v>
      </c>
      <c r="BK41" s="55">
        <f t="shared" si="67"/>
        <v>21071.589999999986</v>
      </c>
      <c r="BL41" s="55">
        <f t="shared" si="68"/>
        <v>984.92</v>
      </c>
      <c r="BM41" s="55">
        <f t="shared" si="42"/>
        <v>0</v>
      </c>
    </row>
    <row r="42" spans="1:65" x14ac:dyDescent="0.25">
      <c r="A42" s="70">
        <v>44621</v>
      </c>
      <c r="B42" s="55">
        <f t="shared" si="43"/>
        <v>727.41</v>
      </c>
      <c r="C42" s="55">
        <f t="shared" si="44"/>
        <v>544.78</v>
      </c>
      <c r="D42" s="55">
        <f t="shared" si="45"/>
        <v>186.04</v>
      </c>
      <c r="E42" s="55">
        <f t="shared" si="46"/>
        <v>1404.6</v>
      </c>
      <c r="F42" s="55">
        <f t="shared" si="47"/>
        <v>0</v>
      </c>
      <c r="G42" s="55">
        <f t="shared" si="0"/>
        <v>2862.83</v>
      </c>
      <c r="J42">
        <f t="shared" si="48"/>
        <v>3</v>
      </c>
      <c r="K42" s="70">
        <v>44621</v>
      </c>
      <c r="L42" s="55">
        <f t="shared" si="2"/>
        <v>144267.01000000004</v>
      </c>
      <c r="M42" s="55">
        <f t="shared" si="3"/>
        <v>727.41</v>
      </c>
      <c r="N42" s="55">
        <f t="shared" si="4"/>
        <v>230.89</v>
      </c>
      <c r="O42" s="55">
        <f t="shared" si="5"/>
        <v>496.52</v>
      </c>
      <c r="P42" s="71">
        <v>0</v>
      </c>
      <c r="Q42" s="55">
        <f t="shared" si="6"/>
        <v>727.41</v>
      </c>
      <c r="R42" s="55">
        <f t="shared" si="7"/>
        <v>5963.88</v>
      </c>
      <c r="S42" s="55">
        <f t="shared" si="8"/>
        <v>13676.19</v>
      </c>
      <c r="T42" s="55">
        <f t="shared" si="9"/>
        <v>144036.12000000002</v>
      </c>
      <c r="U42" s="57">
        <f t="shared" si="10"/>
        <v>35963.879999999997</v>
      </c>
      <c r="W42" s="70">
        <v>44805</v>
      </c>
      <c r="X42" s="55">
        <f t="shared" si="69"/>
        <v>41820.047741334201</v>
      </c>
      <c r="Y42" s="55">
        <f t="shared" si="70"/>
        <v>544.78</v>
      </c>
      <c r="Z42" s="55">
        <f t="shared" si="13"/>
        <v>359.72999999999996</v>
      </c>
      <c r="AA42" s="55">
        <f t="shared" si="71"/>
        <v>185.05</v>
      </c>
      <c r="AB42" s="71">
        <v>0</v>
      </c>
      <c r="AC42" s="55">
        <f t="shared" si="15"/>
        <v>544.78</v>
      </c>
      <c r="AD42" s="55">
        <f t="shared" si="72"/>
        <v>9176.2099999999973</v>
      </c>
      <c r="AE42" s="55">
        <f t="shared" si="73"/>
        <v>5532.8500000000013</v>
      </c>
      <c r="AF42" s="55">
        <f t="shared" si="18"/>
        <v>41460.317741334198</v>
      </c>
      <c r="AH42" s="70">
        <v>44805</v>
      </c>
      <c r="AI42" s="55">
        <f t="shared" si="54"/>
        <v>13925.289084742963</v>
      </c>
      <c r="AJ42" s="55">
        <f t="shared" si="55"/>
        <v>186.04</v>
      </c>
      <c r="AK42" s="55">
        <f t="shared" si="21"/>
        <v>116.41</v>
      </c>
      <c r="AL42" s="55">
        <f t="shared" si="56"/>
        <v>69.63</v>
      </c>
      <c r="AM42" s="71">
        <v>0</v>
      </c>
      <c r="AN42" s="55">
        <f t="shared" si="23"/>
        <v>186.04</v>
      </c>
      <c r="AO42" s="55">
        <f t="shared" si="57"/>
        <v>2948.0599999999995</v>
      </c>
      <c r="AP42" s="55">
        <f t="shared" si="58"/>
        <v>2075.02</v>
      </c>
      <c r="AQ42" s="55">
        <f t="shared" si="26"/>
        <v>13808.879084742963</v>
      </c>
      <c r="AS42" s="70">
        <v>44805</v>
      </c>
      <c r="AT42" s="55">
        <f t="shared" si="59"/>
        <v>3268.5670317487675</v>
      </c>
      <c r="AU42" s="55">
        <f t="shared" si="60"/>
        <v>204.6</v>
      </c>
      <c r="AV42" s="55">
        <f t="shared" si="29"/>
        <v>186.9</v>
      </c>
      <c r="AW42" s="55">
        <f t="shared" si="61"/>
        <v>17.7</v>
      </c>
      <c r="AX42" s="71">
        <v>1200</v>
      </c>
      <c r="AY42" s="55">
        <f t="shared" si="31"/>
        <v>1404.6</v>
      </c>
      <c r="AZ42" s="55">
        <f t="shared" si="62"/>
        <v>16137.460000000001</v>
      </c>
      <c r="BA42" s="55">
        <f t="shared" si="63"/>
        <v>2086.7399999999998</v>
      </c>
      <c r="BB42" s="55">
        <f t="shared" si="34"/>
        <v>1881.6670317487674</v>
      </c>
      <c r="BD42" s="70">
        <v>44805</v>
      </c>
      <c r="BE42" s="55">
        <f t="shared" si="64"/>
        <v>0</v>
      </c>
      <c r="BF42" s="55">
        <f t="shared" si="65"/>
        <v>221.51</v>
      </c>
      <c r="BG42" s="55">
        <f t="shared" si="37"/>
        <v>221.51</v>
      </c>
      <c r="BH42" s="55">
        <f t="shared" si="66"/>
        <v>0</v>
      </c>
      <c r="BI42" s="71">
        <v>0</v>
      </c>
      <c r="BJ42" s="55">
        <f t="shared" si="39"/>
        <v>0</v>
      </c>
      <c r="BK42" s="55">
        <f t="shared" si="67"/>
        <v>21293.099999999984</v>
      </c>
      <c r="BL42" s="55">
        <f t="shared" si="68"/>
        <v>984.92</v>
      </c>
      <c r="BM42" s="55">
        <f t="shared" si="42"/>
        <v>0</v>
      </c>
    </row>
    <row r="43" spans="1:65" x14ac:dyDescent="0.25">
      <c r="A43" s="70">
        <v>44652</v>
      </c>
      <c r="B43" s="55">
        <f t="shared" si="43"/>
        <v>727.41</v>
      </c>
      <c r="C43" s="55">
        <f t="shared" si="44"/>
        <v>544.78</v>
      </c>
      <c r="D43" s="55">
        <f t="shared" si="45"/>
        <v>186.04</v>
      </c>
      <c r="E43" s="55">
        <f t="shared" si="46"/>
        <v>1404.6</v>
      </c>
      <c r="F43" s="55">
        <f t="shared" si="47"/>
        <v>0</v>
      </c>
      <c r="G43" s="55">
        <f t="shared" si="0"/>
        <v>2862.83</v>
      </c>
      <c r="J43">
        <f t="shared" si="48"/>
        <v>3</v>
      </c>
      <c r="K43" s="70">
        <v>44652</v>
      </c>
      <c r="L43" s="55">
        <f t="shared" si="2"/>
        <v>144036.12000000002</v>
      </c>
      <c r="M43" s="55">
        <f t="shared" si="3"/>
        <v>727.41</v>
      </c>
      <c r="N43" s="55">
        <f t="shared" si="4"/>
        <v>231.68999999999994</v>
      </c>
      <c r="O43" s="55">
        <f t="shared" si="5"/>
        <v>495.72</v>
      </c>
      <c r="P43" s="71">
        <v>0</v>
      </c>
      <c r="Q43" s="55">
        <f t="shared" si="6"/>
        <v>727.41</v>
      </c>
      <c r="R43" s="55">
        <f t="shared" si="7"/>
        <v>6195.57</v>
      </c>
      <c r="S43" s="55">
        <f t="shared" si="8"/>
        <v>14171.91</v>
      </c>
      <c r="T43" s="55">
        <f t="shared" si="9"/>
        <v>143804.43000000002</v>
      </c>
      <c r="U43" s="57">
        <f t="shared" si="10"/>
        <v>36195.57</v>
      </c>
      <c r="W43" s="70">
        <v>44835</v>
      </c>
      <c r="X43" s="55">
        <f t="shared" si="69"/>
        <v>41460.317741334198</v>
      </c>
      <c r="Y43" s="55">
        <f t="shared" si="70"/>
        <v>544.78</v>
      </c>
      <c r="Z43" s="55">
        <f t="shared" si="13"/>
        <v>361.31999999999994</v>
      </c>
      <c r="AA43" s="55">
        <f t="shared" si="71"/>
        <v>183.46</v>
      </c>
      <c r="AB43" s="71">
        <v>0</v>
      </c>
      <c r="AC43" s="55">
        <f t="shared" si="15"/>
        <v>544.78</v>
      </c>
      <c r="AD43" s="55">
        <f t="shared" si="72"/>
        <v>9537.529999999997</v>
      </c>
      <c r="AE43" s="55">
        <f t="shared" si="73"/>
        <v>5716.3100000000013</v>
      </c>
      <c r="AF43" s="55">
        <f t="shared" si="18"/>
        <v>41098.997741334199</v>
      </c>
      <c r="AH43" s="70">
        <v>44835</v>
      </c>
      <c r="AI43" s="55">
        <f t="shared" si="54"/>
        <v>13808.879084742963</v>
      </c>
      <c r="AJ43" s="55">
        <f t="shared" si="55"/>
        <v>186.04</v>
      </c>
      <c r="AK43" s="55">
        <f t="shared" si="21"/>
        <v>116.99999999999999</v>
      </c>
      <c r="AL43" s="55">
        <f t="shared" si="56"/>
        <v>69.040000000000006</v>
      </c>
      <c r="AM43" s="71">
        <v>0</v>
      </c>
      <c r="AN43" s="55">
        <f t="shared" si="23"/>
        <v>186.04</v>
      </c>
      <c r="AO43" s="55">
        <f t="shared" si="57"/>
        <v>3065.0599999999995</v>
      </c>
      <c r="AP43" s="55">
        <f t="shared" si="58"/>
        <v>2144.06</v>
      </c>
      <c r="AQ43" s="55">
        <f t="shared" si="26"/>
        <v>13691.879084742963</v>
      </c>
      <c r="AS43" s="70">
        <v>44835</v>
      </c>
      <c r="AT43" s="55">
        <f t="shared" si="59"/>
        <v>1881.6670317487674</v>
      </c>
      <c r="AU43" s="55">
        <f t="shared" si="60"/>
        <v>204.6</v>
      </c>
      <c r="AV43" s="55">
        <f t="shared" si="29"/>
        <v>194.41</v>
      </c>
      <c r="AW43" s="55">
        <f t="shared" si="61"/>
        <v>10.19</v>
      </c>
      <c r="AX43" s="71">
        <v>1200</v>
      </c>
      <c r="AY43" s="55">
        <f t="shared" si="31"/>
        <v>1404.6</v>
      </c>
      <c r="AZ43" s="55">
        <f t="shared" si="62"/>
        <v>17531.870000000003</v>
      </c>
      <c r="BA43" s="55">
        <f t="shared" si="63"/>
        <v>2096.9299999999998</v>
      </c>
      <c r="BB43" s="55">
        <f t="shared" si="34"/>
        <v>487.2570317487673</v>
      </c>
      <c r="BD43" s="70">
        <v>44835</v>
      </c>
      <c r="BE43" s="55">
        <f t="shared" si="64"/>
        <v>0</v>
      </c>
      <c r="BF43" s="55">
        <f t="shared" si="65"/>
        <v>221.51</v>
      </c>
      <c r="BG43" s="55">
        <f t="shared" si="37"/>
        <v>221.51</v>
      </c>
      <c r="BH43" s="55">
        <f t="shared" si="66"/>
        <v>0</v>
      </c>
      <c r="BI43" s="71">
        <v>0</v>
      </c>
      <c r="BJ43" s="55">
        <f t="shared" si="39"/>
        <v>0</v>
      </c>
      <c r="BK43" s="55">
        <f t="shared" si="67"/>
        <v>21514.609999999982</v>
      </c>
      <c r="BL43" s="55">
        <f t="shared" si="68"/>
        <v>984.92</v>
      </c>
      <c r="BM43" s="55">
        <f t="shared" si="42"/>
        <v>0</v>
      </c>
    </row>
    <row r="44" spans="1:65" x14ac:dyDescent="0.25">
      <c r="A44" s="70">
        <v>44682</v>
      </c>
      <c r="B44" s="55">
        <f t="shared" si="43"/>
        <v>727.41</v>
      </c>
      <c r="C44" s="55">
        <f t="shared" si="44"/>
        <v>544.78</v>
      </c>
      <c r="D44" s="55">
        <f t="shared" si="45"/>
        <v>186.04</v>
      </c>
      <c r="E44" s="55">
        <f t="shared" si="46"/>
        <v>1404.6</v>
      </c>
      <c r="F44" s="55">
        <f t="shared" si="47"/>
        <v>0</v>
      </c>
      <c r="G44" s="55">
        <f t="shared" si="0"/>
        <v>2862.83</v>
      </c>
      <c r="J44">
        <f t="shared" si="48"/>
        <v>3</v>
      </c>
      <c r="K44" s="70">
        <v>44682</v>
      </c>
      <c r="L44" s="55">
        <f t="shared" si="2"/>
        <v>143804.43000000002</v>
      </c>
      <c r="M44" s="55">
        <f t="shared" si="3"/>
        <v>727.41</v>
      </c>
      <c r="N44" s="55">
        <f t="shared" si="4"/>
        <v>232.47999999999996</v>
      </c>
      <c r="O44" s="55">
        <f t="shared" si="5"/>
        <v>494.93</v>
      </c>
      <c r="P44" s="71">
        <v>0</v>
      </c>
      <c r="Q44" s="55">
        <f t="shared" si="6"/>
        <v>727.41</v>
      </c>
      <c r="R44" s="55">
        <f t="shared" si="7"/>
        <v>6428.0499999999993</v>
      </c>
      <c r="S44" s="55">
        <f t="shared" si="8"/>
        <v>14666.84</v>
      </c>
      <c r="T44" s="55">
        <f t="shared" si="9"/>
        <v>143571.95000000001</v>
      </c>
      <c r="U44" s="57">
        <f t="shared" si="10"/>
        <v>36428.050000000003</v>
      </c>
      <c r="W44" s="70">
        <v>44866</v>
      </c>
      <c r="X44" s="55">
        <f t="shared" si="69"/>
        <v>41098.997741334199</v>
      </c>
      <c r="Y44" s="55">
        <f t="shared" si="70"/>
        <v>544.78</v>
      </c>
      <c r="Z44" s="55">
        <f t="shared" si="13"/>
        <v>362.91999999999996</v>
      </c>
      <c r="AA44" s="55">
        <f t="shared" si="71"/>
        <v>181.86</v>
      </c>
      <c r="AB44" s="71">
        <v>0</v>
      </c>
      <c r="AC44" s="55">
        <f t="shared" si="15"/>
        <v>544.78</v>
      </c>
      <c r="AD44" s="55">
        <f t="shared" si="72"/>
        <v>9900.4499999999971</v>
      </c>
      <c r="AE44" s="55">
        <f t="shared" si="73"/>
        <v>5898.170000000001</v>
      </c>
      <c r="AF44" s="55">
        <f t="shared" si="18"/>
        <v>40736.0777413342</v>
      </c>
      <c r="AH44" s="70">
        <v>44866</v>
      </c>
      <c r="AI44" s="55">
        <f t="shared" si="54"/>
        <v>13691.879084742963</v>
      </c>
      <c r="AJ44" s="55">
        <f t="shared" si="55"/>
        <v>186.04</v>
      </c>
      <c r="AK44" s="55">
        <f t="shared" si="21"/>
        <v>117.58</v>
      </c>
      <c r="AL44" s="55">
        <f t="shared" si="56"/>
        <v>68.459999999999994</v>
      </c>
      <c r="AM44" s="71">
        <v>1100</v>
      </c>
      <c r="AN44" s="55">
        <f t="shared" si="23"/>
        <v>1286.04</v>
      </c>
      <c r="AO44" s="55">
        <f t="shared" si="57"/>
        <v>4282.6399999999994</v>
      </c>
      <c r="AP44" s="55">
        <f t="shared" si="58"/>
        <v>2212.52</v>
      </c>
      <c r="AQ44" s="55">
        <f t="shared" si="26"/>
        <v>12474.299084742963</v>
      </c>
      <c r="AS44" s="70">
        <v>44866</v>
      </c>
      <c r="AT44" s="55">
        <f t="shared" si="59"/>
        <v>487.2570317487673</v>
      </c>
      <c r="AU44" s="55">
        <f t="shared" si="60"/>
        <v>204.6</v>
      </c>
      <c r="AV44" s="55">
        <f t="shared" si="29"/>
        <v>201.96</v>
      </c>
      <c r="AW44" s="55">
        <f t="shared" si="61"/>
        <v>2.64</v>
      </c>
      <c r="AX44" s="71">
        <v>81.8</v>
      </c>
      <c r="AY44" s="55">
        <f t="shared" si="31"/>
        <v>286.39999999999998</v>
      </c>
      <c r="AZ44" s="55">
        <f t="shared" si="62"/>
        <v>17815.63</v>
      </c>
      <c r="BA44" s="55">
        <f t="shared" si="63"/>
        <v>2099.5699999999997</v>
      </c>
      <c r="BB44" s="55">
        <f t="shared" si="34"/>
        <v>203.49703174876726</v>
      </c>
      <c r="BD44" s="70">
        <v>44866</v>
      </c>
      <c r="BE44" s="55">
        <f t="shared" si="64"/>
        <v>0</v>
      </c>
      <c r="BF44" s="55">
        <f t="shared" si="65"/>
        <v>221.51</v>
      </c>
      <c r="BG44" s="55">
        <f t="shared" si="37"/>
        <v>221.51</v>
      </c>
      <c r="BH44" s="55">
        <f t="shared" si="66"/>
        <v>0</v>
      </c>
      <c r="BI44" s="71">
        <v>0</v>
      </c>
      <c r="BJ44" s="55">
        <f t="shared" si="39"/>
        <v>0</v>
      </c>
      <c r="BK44" s="55">
        <f t="shared" si="67"/>
        <v>21736.119999999981</v>
      </c>
      <c r="BL44" s="55">
        <f t="shared" si="68"/>
        <v>984.92</v>
      </c>
      <c r="BM44" s="55">
        <f t="shared" si="42"/>
        <v>0</v>
      </c>
    </row>
    <row r="45" spans="1:65" x14ac:dyDescent="0.25">
      <c r="A45" s="70">
        <v>44713</v>
      </c>
      <c r="B45" s="55">
        <f t="shared" si="43"/>
        <v>727.41</v>
      </c>
      <c r="C45" s="55">
        <f t="shared" si="44"/>
        <v>544.78</v>
      </c>
      <c r="D45" s="55">
        <f t="shared" si="45"/>
        <v>186.04</v>
      </c>
      <c r="E45" s="55">
        <f t="shared" si="46"/>
        <v>1404.6</v>
      </c>
      <c r="F45" s="55">
        <f t="shared" si="47"/>
        <v>0</v>
      </c>
      <c r="G45" s="55">
        <f t="shared" si="0"/>
        <v>2862.83</v>
      </c>
      <c r="J45">
        <f t="shared" si="48"/>
        <v>3</v>
      </c>
      <c r="K45" s="70">
        <v>44713</v>
      </c>
      <c r="L45" s="55">
        <f t="shared" si="2"/>
        <v>143571.95000000001</v>
      </c>
      <c r="M45" s="55">
        <f t="shared" si="3"/>
        <v>727.41</v>
      </c>
      <c r="N45" s="55">
        <f t="shared" si="4"/>
        <v>233.27999999999997</v>
      </c>
      <c r="O45" s="55">
        <f t="shared" si="5"/>
        <v>494.13</v>
      </c>
      <c r="P45" s="71">
        <v>0</v>
      </c>
      <c r="Q45" s="55">
        <f t="shared" si="6"/>
        <v>727.41</v>
      </c>
      <c r="R45" s="55">
        <f t="shared" si="7"/>
        <v>6661.329999999999</v>
      </c>
      <c r="S45" s="55">
        <f t="shared" si="8"/>
        <v>15160.97</v>
      </c>
      <c r="T45" s="55">
        <f t="shared" si="9"/>
        <v>143338.67000000001</v>
      </c>
      <c r="U45" s="57">
        <f t="shared" si="10"/>
        <v>36661.33</v>
      </c>
      <c r="W45" s="70">
        <v>44896</v>
      </c>
      <c r="X45" s="55">
        <f t="shared" si="69"/>
        <v>40736.0777413342</v>
      </c>
      <c r="Y45" s="55">
        <f t="shared" si="70"/>
        <v>544.78</v>
      </c>
      <c r="Z45" s="55">
        <f t="shared" si="13"/>
        <v>364.52</v>
      </c>
      <c r="AA45" s="55">
        <f t="shared" si="71"/>
        <v>180.26</v>
      </c>
      <c r="AB45" s="71">
        <v>0</v>
      </c>
      <c r="AC45" s="55">
        <f t="shared" si="15"/>
        <v>544.78</v>
      </c>
      <c r="AD45" s="55">
        <f t="shared" si="72"/>
        <v>10264.969999999998</v>
      </c>
      <c r="AE45" s="55">
        <f t="shared" si="73"/>
        <v>6078.4300000000012</v>
      </c>
      <c r="AF45" s="55">
        <f t="shared" si="18"/>
        <v>40371.557741334203</v>
      </c>
      <c r="AH45" s="70">
        <v>44896</v>
      </c>
      <c r="AI45" s="55">
        <f t="shared" si="54"/>
        <v>12474.299084742963</v>
      </c>
      <c r="AJ45" s="55">
        <f t="shared" si="55"/>
        <v>186.04</v>
      </c>
      <c r="AK45" s="55">
        <f t="shared" si="21"/>
        <v>123.66999999999999</v>
      </c>
      <c r="AL45" s="55">
        <f t="shared" si="56"/>
        <v>62.37</v>
      </c>
      <c r="AM45" s="71">
        <v>1400</v>
      </c>
      <c r="AN45" s="55">
        <f t="shared" si="23"/>
        <v>1586.04</v>
      </c>
      <c r="AO45" s="55">
        <f t="shared" si="57"/>
        <v>5806.3099999999995</v>
      </c>
      <c r="AP45" s="55">
        <f t="shared" si="58"/>
        <v>2274.89</v>
      </c>
      <c r="AQ45" s="55">
        <f t="shared" si="26"/>
        <v>10950.629084742963</v>
      </c>
      <c r="AS45" s="70">
        <v>44896</v>
      </c>
      <c r="AT45" s="55">
        <f t="shared" si="59"/>
        <v>203.49703174876726</v>
      </c>
      <c r="AU45" s="55">
        <f t="shared" si="60"/>
        <v>204.6</v>
      </c>
      <c r="AV45" s="55">
        <f t="shared" si="29"/>
        <v>203.5</v>
      </c>
      <c r="AW45" s="55">
        <f t="shared" si="61"/>
        <v>1.1000000000000001</v>
      </c>
      <c r="AX45" s="71">
        <v>0</v>
      </c>
      <c r="AY45" s="55">
        <f t="shared" si="31"/>
        <v>204.6</v>
      </c>
      <c r="AZ45" s="55">
        <f t="shared" si="62"/>
        <v>18019.13</v>
      </c>
      <c r="BA45" s="55">
        <f t="shared" si="63"/>
        <v>2100.6699999999996</v>
      </c>
      <c r="BB45" s="55">
        <f t="shared" si="34"/>
        <v>-2.9682512327440236E-3</v>
      </c>
      <c r="BD45" s="70">
        <v>44896</v>
      </c>
      <c r="BE45" s="55">
        <f t="shared" si="64"/>
        <v>0</v>
      </c>
      <c r="BF45" s="55">
        <f t="shared" si="65"/>
        <v>221.51</v>
      </c>
      <c r="BG45" s="55">
        <f t="shared" si="37"/>
        <v>221.51</v>
      </c>
      <c r="BH45" s="55">
        <f t="shared" si="66"/>
        <v>0</v>
      </c>
      <c r="BI45" s="71">
        <v>0</v>
      </c>
      <c r="BJ45" s="55">
        <f t="shared" si="39"/>
        <v>0</v>
      </c>
      <c r="BK45" s="55">
        <f t="shared" si="67"/>
        <v>21957.629999999979</v>
      </c>
      <c r="BL45" s="55">
        <f t="shared" si="68"/>
        <v>984.92</v>
      </c>
      <c r="BM45" s="55">
        <f t="shared" si="42"/>
        <v>0</v>
      </c>
    </row>
    <row r="46" spans="1:65" x14ac:dyDescent="0.25">
      <c r="A46" s="70">
        <v>44743</v>
      </c>
      <c r="B46" s="55">
        <f t="shared" si="43"/>
        <v>727.41</v>
      </c>
      <c r="C46" s="55">
        <f t="shared" si="44"/>
        <v>544.78</v>
      </c>
      <c r="D46" s="55">
        <f t="shared" si="45"/>
        <v>186.04</v>
      </c>
      <c r="E46" s="55">
        <f t="shared" si="46"/>
        <v>1404.6</v>
      </c>
      <c r="F46" s="55">
        <f t="shared" si="47"/>
        <v>0</v>
      </c>
      <c r="G46" s="55">
        <f t="shared" si="0"/>
        <v>2862.83</v>
      </c>
      <c r="J46">
        <f t="shared" si="48"/>
        <v>3</v>
      </c>
      <c r="K46" s="70">
        <v>44743</v>
      </c>
      <c r="L46" s="55">
        <f t="shared" si="2"/>
        <v>143338.67000000001</v>
      </c>
      <c r="M46" s="55">
        <f t="shared" si="3"/>
        <v>727.41</v>
      </c>
      <c r="N46" s="55">
        <f t="shared" si="4"/>
        <v>234.08999999999997</v>
      </c>
      <c r="O46" s="55">
        <f t="shared" si="5"/>
        <v>493.32</v>
      </c>
      <c r="P46" s="71">
        <v>0</v>
      </c>
      <c r="Q46" s="55">
        <f t="shared" si="6"/>
        <v>727.41</v>
      </c>
      <c r="R46" s="55">
        <f t="shared" si="7"/>
        <v>6895.4199999999992</v>
      </c>
      <c r="S46" s="55">
        <f t="shared" si="8"/>
        <v>15654.289999999999</v>
      </c>
      <c r="T46" s="55">
        <f t="shared" si="9"/>
        <v>143104.58000000002</v>
      </c>
      <c r="U46" s="57">
        <f t="shared" si="10"/>
        <v>36895.42</v>
      </c>
      <c r="W46" s="70">
        <v>44927</v>
      </c>
      <c r="X46" s="55">
        <f t="shared" si="69"/>
        <v>40371.557741334203</v>
      </c>
      <c r="Y46" s="55">
        <f t="shared" si="70"/>
        <v>544.78</v>
      </c>
      <c r="Z46" s="55">
        <f t="shared" si="13"/>
        <v>366.14</v>
      </c>
      <c r="AA46" s="55">
        <f t="shared" si="71"/>
        <v>178.64</v>
      </c>
      <c r="AB46" s="71">
        <v>0</v>
      </c>
      <c r="AC46" s="55">
        <f t="shared" si="15"/>
        <v>544.78</v>
      </c>
      <c r="AD46" s="55">
        <f t="shared" si="72"/>
        <v>10631.109999999997</v>
      </c>
      <c r="AE46" s="55">
        <f t="shared" si="73"/>
        <v>6257.0700000000015</v>
      </c>
      <c r="AF46" s="55">
        <f t="shared" si="18"/>
        <v>40005.417741334204</v>
      </c>
      <c r="AH46" s="70">
        <v>44927</v>
      </c>
      <c r="AI46" s="55">
        <f t="shared" si="54"/>
        <v>10950.629084742963</v>
      </c>
      <c r="AJ46" s="55">
        <f t="shared" si="55"/>
        <v>186.04</v>
      </c>
      <c r="AK46" s="55">
        <f t="shared" si="21"/>
        <v>131.29</v>
      </c>
      <c r="AL46" s="55">
        <f t="shared" si="56"/>
        <v>54.75</v>
      </c>
      <c r="AM46" s="71">
        <v>1400</v>
      </c>
      <c r="AN46" s="55">
        <f t="shared" si="23"/>
        <v>1586.04</v>
      </c>
      <c r="AO46" s="55">
        <f t="shared" si="57"/>
        <v>7337.5999999999995</v>
      </c>
      <c r="AP46" s="55">
        <f t="shared" si="58"/>
        <v>2329.64</v>
      </c>
      <c r="AQ46" s="55">
        <f t="shared" si="26"/>
        <v>9419.3390847429619</v>
      </c>
      <c r="AS46" s="70">
        <v>44927</v>
      </c>
      <c r="AT46" s="55">
        <f t="shared" si="59"/>
        <v>-2.9682512327440236E-3</v>
      </c>
      <c r="AU46" s="55">
        <f t="shared" si="60"/>
        <v>204.6</v>
      </c>
      <c r="AV46" s="55">
        <f t="shared" si="29"/>
        <v>204.6</v>
      </c>
      <c r="AW46" s="55">
        <f t="shared" si="61"/>
        <v>0</v>
      </c>
      <c r="AX46" s="71">
        <v>0</v>
      </c>
      <c r="AY46" s="55">
        <f t="shared" si="31"/>
        <v>0</v>
      </c>
      <c r="AZ46" s="55">
        <f t="shared" si="62"/>
        <v>18223.73</v>
      </c>
      <c r="BA46" s="55">
        <f t="shared" si="63"/>
        <v>2100.6699999999996</v>
      </c>
      <c r="BB46" s="55">
        <f t="shared" si="34"/>
        <v>0</v>
      </c>
      <c r="BD46" s="70">
        <v>44927</v>
      </c>
      <c r="BE46" s="55">
        <f t="shared" si="64"/>
        <v>0</v>
      </c>
      <c r="BF46" s="55">
        <f t="shared" si="65"/>
        <v>221.51</v>
      </c>
      <c r="BG46" s="55">
        <f t="shared" si="37"/>
        <v>221.51</v>
      </c>
      <c r="BH46" s="55">
        <f t="shared" si="66"/>
        <v>0</v>
      </c>
      <c r="BI46" s="71">
        <v>0</v>
      </c>
      <c r="BJ46" s="55">
        <f t="shared" si="39"/>
        <v>0</v>
      </c>
      <c r="BK46" s="55">
        <f t="shared" si="67"/>
        <v>22179.139999999978</v>
      </c>
      <c r="BL46" s="55">
        <f t="shared" si="68"/>
        <v>984.92</v>
      </c>
      <c r="BM46" s="55">
        <f t="shared" si="42"/>
        <v>0</v>
      </c>
    </row>
    <row r="47" spans="1:65" x14ac:dyDescent="0.25">
      <c r="A47" s="70">
        <v>44774</v>
      </c>
      <c r="B47" s="55">
        <f t="shared" si="43"/>
        <v>727.41</v>
      </c>
      <c r="C47" s="55">
        <f t="shared" si="44"/>
        <v>544.78</v>
      </c>
      <c r="D47" s="55">
        <f t="shared" si="45"/>
        <v>186.04</v>
      </c>
      <c r="E47" s="55">
        <f t="shared" si="46"/>
        <v>1404.6</v>
      </c>
      <c r="F47" s="55">
        <f t="shared" si="47"/>
        <v>0</v>
      </c>
      <c r="G47" s="55">
        <f t="shared" si="0"/>
        <v>2862.83</v>
      </c>
      <c r="J47">
        <f t="shared" si="48"/>
        <v>3</v>
      </c>
      <c r="K47" s="70">
        <v>44774</v>
      </c>
      <c r="L47" s="55">
        <f t="shared" si="2"/>
        <v>143104.58000000002</v>
      </c>
      <c r="M47" s="55">
        <f t="shared" si="3"/>
        <v>727.41</v>
      </c>
      <c r="N47" s="55">
        <f t="shared" si="4"/>
        <v>234.89</v>
      </c>
      <c r="O47" s="55">
        <f t="shared" si="5"/>
        <v>492.52</v>
      </c>
      <c r="P47" s="71">
        <v>0</v>
      </c>
      <c r="Q47" s="55">
        <f t="shared" si="6"/>
        <v>727.41</v>
      </c>
      <c r="R47" s="55">
        <f t="shared" si="7"/>
        <v>7130.3099999999995</v>
      </c>
      <c r="S47" s="55">
        <f t="shared" si="8"/>
        <v>16146.81</v>
      </c>
      <c r="T47" s="55">
        <f t="shared" si="9"/>
        <v>142869.69</v>
      </c>
      <c r="U47" s="57">
        <f t="shared" si="10"/>
        <v>37130.31</v>
      </c>
      <c r="W47" s="70">
        <v>44958</v>
      </c>
      <c r="X47" s="55">
        <f t="shared" si="69"/>
        <v>40005.417741334204</v>
      </c>
      <c r="Y47" s="55">
        <f t="shared" si="70"/>
        <v>544.78</v>
      </c>
      <c r="Z47" s="55">
        <f t="shared" si="13"/>
        <v>367.76</v>
      </c>
      <c r="AA47" s="55">
        <f t="shared" si="71"/>
        <v>177.02</v>
      </c>
      <c r="AB47" s="71">
        <v>0</v>
      </c>
      <c r="AC47" s="55">
        <f t="shared" si="15"/>
        <v>544.78</v>
      </c>
      <c r="AD47" s="55">
        <f t="shared" si="72"/>
        <v>10998.869999999997</v>
      </c>
      <c r="AE47" s="55">
        <f t="shared" si="73"/>
        <v>6434.090000000002</v>
      </c>
      <c r="AF47" s="55">
        <f t="shared" si="18"/>
        <v>39637.657741334202</v>
      </c>
      <c r="AH47" s="70">
        <v>44958</v>
      </c>
      <c r="AI47" s="55">
        <f t="shared" si="54"/>
        <v>9419.3390847429619</v>
      </c>
      <c r="AJ47" s="55">
        <f t="shared" si="55"/>
        <v>186.04</v>
      </c>
      <c r="AK47" s="55">
        <f t="shared" si="21"/>
        <v>138.94</v>
      </c>
      <c r="AL47" s="55">
        <f t="shared" si="56"/>
        <v>47.1</v>
      </c>
      <c r="AM47" s="71">
        <v>1400</v>
      </c>
      <c r="AN47" s="55">
        <f t="shared" si="23"/>
        <v>1586.04</v>
      </c>
      <c r="AO47" s="55">
        <f t="shared" si="57"/>
        <v>8876.5399999999991</v>
      </c>
      <c r="AP47" s="55">
        <f t="shared" si="58"/>
        <v>2376.7399999999998</v>
      </c>
      <c r="AQ47" s="55">
        <f t="shared" si="26"/>
        <v>7880.3990847429613</v>
      </c>
      <c r="AS47" s="70">
        <v>44958</v>
      </c>
      <c r="AT47" s="55">
        <f t="shared" si="59"/>
        <v>0</v>
      </c>
      <c r="AU47" s="55">
        <f t="shared" si="60"/>
        <v>204.6</v>
      </c>
      <c r="AV47" s="55">
        <f t="shared" si="29"/>
        <v>204.6</v>
      </c>
      <c r="AW47" s="55">
        <f t="shared" si="61"/>
        <v>0</v>
      </c>
      <c r="AX47" s="71">
        <v>0</v>
      </c>
      <c r="AY47" s="55">
        <f t="shared" si="31"/>
        <v>0</v>
      </c>
      <c r="AZ47" s="55">
        <f t="shared" si="62"/>
        <v>18428.329999999998</v>
      </c>
      <c r="BA47" s="55">
        <f t="shared" si="63"/>
        <v>2100.6699999999996</v>
      </c>
      <c r="BB47" s="55">
        <f t="shared" si="34"/>
        <v>0</v>
      </c>
      <c r="BD47" s="70">
        <v>44958</v>
      </c>
      <c r="BE47" s="55">
        <f t="shared" si="64"/>
        <v>0</v>
      </c>
      <c r="BF47" s="55">
        <f t="shared" si="65"/>
        <v>221.51</v>
      </c>
      <c r="BG47" s="55">
        <f t="shared" si="37"/>
        <v>221.51</v>
      </c>
      <c r="BH47" s="55">
        <f t="shared" si="66"/>
        <v>0</v>
      </c>
      <c r="BI47" s="71">
        <v>0</v>
      </c>
      <c r="BJ47" s="55">
        <f t="shared" si="39"/>
        <v>0</v>
      </c>
      <c r="BK47" s="55">
        <f t="shared" si="67"/>
        <v>22400.649999999976</v>
      </c>
      <c r="BL47" s="55">
        <f t="shared" si="68"/>
        <v>984.92</v>
      </c>
      <c r="BM47" s="55">
        <f t="shared" si="42"/>
        <v>0</v>
      </c>
    </row>
    <row r="48" spans="1:65" x14ac:dyDescent="0.25">
      <c r="A48" s="70">
        <v>44805</v>
      </c>
      <c r="B48" s="55">
        <f t="shared" si="43"/>
        <v>727.41</v>
      </c>
      <c r="C48" s="55">
        <f t="shared" si="44"/>
        <v>544.78</v>
      </c>
      <c r="D48" s="55">
        <f t="shared" si="45"/>
        <v>186.04</v>
      </c>
      <c r="E48" s="55">
        <f t="shared" si="46"/>
        <v>1404.6</v>
      </c>
      <c r="F48" s="55">
        <f t="shared" si="47"/>
        <v>0</v>
      </c>
      <c r="G48" s="55">
        <f t="shared" ref="G48:G79" si="74">SUM(B48:F48)</f>
        <v>2862.83</v>
      </c>
      <c r="J48">
        <f t="shared" si="48"/>
        <v>3</v>
      </c>
      <c r="K48" s="70">
        <v>44805</v>
      </c>
      <c r="L48" s="55">
        <f t="shared" si="2"/>
        <v>142869.69</v>
      </c>
      <c r="M48" s="55">
        <f t="shared" si="3"/>
        <v>727.41</v>
      </c>
      <c r="N48" s="55">
        <f t="shared" si="4"/>
        <v>235.7</v>
      </c>
      <c r="O48" s="55">
        <f t="shared" si="5"/>
        <v>491.71</v>
      </c>
      <c r="P48" s="71">
        <v>0</v>
      </c>
      <c r="Q48" s="55">
        <f t="shared" si="6"/>
        <v>727.41</v>
      </c>
      <c r="R48" s="55">
        <f t="shared" si="7"/>
        <v>7366.0099999999993</v>
      </c>
      <c r="S48" s="55">
        <f t="shared" si="8"/>
        <v>16638.52</v>
      </c>
      <c r="T48" s="55">
        <f t="shared" si="9"/>
        <v>142633.99</v>
      </c>
      <c r="U48" s="57">
        <f t="shared" si="10"/>
        <v>37366.01</v>
      </c>
      <c r="W48" s="70">
        <v>44986</v>
      </c>
      <c r="X48" s="55">
        <f t="shared" si="69"/>
        <v>39637.657741334202</v>
      </c>
      <c r="Y48" s="55">
        <f t="shared" si="70"/>
        <v>544.78</v>
      </c>
      <c r="Z48" s="55">
        <f t="shared" si="13"/>
        <v>369.38</v>
      </c>
      <c r="AA48" s="55">
        <f t="shared" si="71"/>
        <v>175.4</v>
      </c>
      <c r="AB48" s="71">
        <v>0</v>
      </c>
      <c r="AC48" s="55">
        <f t="shared" si="15"/>
        <v>544.78</v>
      </c>
      <c r="AD48" s="55">
        <f t="shared" si="72"/>
        <v>11368.249999999996</v>
      </c>
      <c r="AE48" s="55">
        <f t="shared" si="73"/>
        <v>6609.4900000000016</v>
      </c>
      <c r="AF48" s="55">
        <f t="shared" si="18"/>
        <v>39268.277741334205</v>
      </c>
      <c r="AH48" s="70">
        <v>44986</v>
      </c>
      <c r="AI48" s="55">
        <f t="shared" si="54"/>
        <v>7880.3990847429613</v>
      </c>
      <c r="AJ48" s="55">
        <f t="shared" si="55"/>
        <v>186.04</v>
      </c>
      <c r="AK48" s="55">
        <f t="shared" si="21"/>
        <v>146.63999999999999</v>
      </c>
      <c r="AL48" s="55">
        <f t="shared" si="56"/>
        <v>39.4</v>
      </c>
      <c r="AM48" s="71">
        <v>1400</v>
      </c>
      <c r="AN48" s="55">
        <f t="shared" si="23"/>
        <v>1586.04</v>
      </c>
      <c r="AO48" s="55">
        <f t="shared" si="57"/>
        <v>10423.179999999998</v>
      </c>
      <c r="AP48" s="55">
        <f t="shared" si="58"/>
        <v>2416.14</v>
      </c>
      <c r="AQ48" s="55">
        <f t="shared" si="26"/>
        <v>6333.759084742961</v>
      </c>
      <c r="AS48" s="70">
        <v>44986</v>
      </c>
      <c r="AT48" s="55">
        <f t="shared" si="59"/>
        <v>0</v>
      </c>
      <c r="AU48" s="55">
        <f t="shared" si="60"/>
        <v>204.6</v>
      </c>
      <c r="AV48" s="55">
        <f t="shared" si="29"/>
        <v>204.6</v>
      </c>
      <c r="AW48" s="55">
        <f t="shared" si="61"/>
        <v>0</v>
      </c>
      <c r="AX48" s="71">
        <v>0</v>
      </c>
      <c r="AY48" s="55">
        <f t="shared" si="31"/>
        <v>0</v>
      </c>
      <c r="AZ48" s="55">
        <f t="shared" si="62"/>
        <v>18632.929999999997</v>
      </c>
      <c r="BA48" s="55">
        <f t="shared" si="63"/>
        <v>2100.6699999999996</v>
      </c>
      <c r="BB48" s="55">
        <f t="shared" si="34"/>
        <v>0</v>
      </c>
      <c r="BD48" s="70">
        <v>44986</v>
      </c>
      <c r="BE48" s="55">
        <f t="shared" si="64"/>
        <v>0</v>
      </c>
      <c r="BF48" s="55">
        <f t="shared" si="65"/>
        <v>221.51</v>
      </c>
      <c r="BG48" s="55">
        <f t="shared" si="37"/>
        <v>221.51</v>
      </c>
      <c r="BH48" s="55">
        <f t="shared" si="66"/>
        <v>0</v>
      </c>
      <c r="BI48" s="71">
        <v>0</v>
      </c>
      <c r="BJ48" s="55">
        <f t="shared" si="39"/>
        <v>0</v>
      </c>
      <c r="BK48" s="55">
        <f t="shared" si="67"/>
        <v>22622.159999999974</v>
      </c>
      <c r="BL48" s="55">
        <f t="shared" si="68"/>
        <v>984.92</v>
      </c>
      <c r="BM48" s="55">
        <f t="shared" si="42"/>
        <v>0</v>
      </c>
    </row>
    <row r="49" spans="1:65" x14ac:dyDescent="0.25">
      <c r="A49" s="70">
        <v>44835</v>
      </c>
      <c r="B49" s="55">
        <f t="shared" si="43"/>
        <v>727.41</v>
      </c>
      <c r="C49" s="55">
        <f t="shared" si="44"/>
        <v>544.78</v>
      </c>
      <c r="D49" s="55">
        <f t="shared" si="45"/>
        <v>186.04</v>
      </c>
      <c r="E49" s="55">
        <f t="shared" si="46"/>
        <v>1404.6</v>
      </c>
      <c r="F49" s="55">
        <f t="shared" si="47"/>
        <v>0</v>
      </c>
      <c r="G49" s="55">
        <f t="shared" si="74"/>
        <v>2862.83</v>
      </c>
      <c r="J49">
        <f t="shared" si="48"/>
        <v>3</v>
      </c>
      <c r="K49" s="70">
        <v>44835</v>
      </c>
      <c r="L49" s="55">
        <f t="shared" si="2"/>
        <v>142633.99</v>
      </c>
      <c r="M49" s="55">
        <f t="shared" si="3"/>
        <v>727.41</v>
      </c>
      <c r="N49" s="55">
        <f t="shared" si="4"/>
        <v>236.51</v>
      </c>
      <c r="O49" s="55">
        <f t="shared" si="5"/>
        <v>490.9</v>
      </c>
      <c r="P49" s="71">
        <v>0</v>
      </c>
      <c r="Q49" s="55">
        <f t="shared" si="6"/>
        <v>727.41</v>
      </c>
      <c r="R49" s="55">
        <f t="shared" si="7"/>
        <v>7602.5199999999995</v>
      </c>
      <c r="S49" s="55">
        <f t="shared" si="8"/>
        <v>17129.420000000002</v>
      </c>
      <c r="T49" s="55">
        <f t="shared" si="9"/>
        <v>142397.47999999998</v>
      </c>
      <c r="U49" s="57">
        <f t="shared" si="10"/>
        <v>37602.519999999997</v>
      </c>
      <c r="W49" s="70">
        <v>45017</v>
      </c>
      <c r="X49" s="55">
        <f t="shared" si="69"/>
        <v>39268.277741334205</v>
      </c>
      <c r="Y49" s="55">
        <f t="shared" si="70"/>
        <v>544.78</v>
      </c>
      <c r="Z49" s="55">
        <f t="shared" si="13"/>
        <v>371.02</v>
      </c>
      <c r="AA49" s="55">
        <f t="shared" si="71"/>
        <v>173.76</v>
      </c>
      <c r="AB49" s="71">
        <v>0</v>
      </c>
      <c r="AC49" s="55">
        <f t="shared" si="15"/>
        <v>544.78</v>
      </c>
      <c r="AD49" s="55">
        <f t="shared" si="72"/>
        <v>11739.269999999997</v>
      </c>
      <c r="AE49" s="55">
        <f t="shared" si="73"/>
        <v>6783.2500000000018</v>
      </c>
      <c r="AF49" s="55">
        <f t="shared" si="18"/>
        <v>38897.257741334208</v>
      </c>
      <c r="AH49" s="70">
        <v>45017</v>
      </c>
      <c r="AI49" s="55">
        <f t="shared" si="54"/>
        <v>6333.759084742961</v>
      </c>
      <c r="AJ49" s="55">
        <f t="shared" si="55"/>
        <v>186.04</v>
      </c>
      <c r="AK49" s="55">
        <f t="shared" si="21"/>
        <v>154.37</v>
      </c>
      <c r="AL49" s="55">
        <f t="shared" si="56"/>
        <v>31.67</v>
      </c>
      <c r="AM49" s="71">
        <v>1400</v>
      </c>
      <c r="AN49" s="55">
        <f t="shared" si="23"/>
        <v>1586.04</v>
      </c>
      <c r="AO49" s="55">
        <f t="shared" si="57"/>
        <v>11977.55</v>
      </c>
      <c r="AP49" s="55">
        <f t="shared" si="58"/>
        <v>2447.81</v>
      </c>
      <c r="AQ49" s="55">
        <f t="shared" si="26"/>
        <v>4779.3890847429611</v>
      </c>
      <c r="AS49" s="70">
        <v>45017</v>
      </c>
      <c r="AT49" s="55">
        <f t="shared" si="59"/>
        <v>0</v>
      </c>
      <c r="AU49" s="55">
        <f t="shared" si="60"/>
        <v>204.6</v>
      </c>
      <c r="AV49" s="55">
        <f t="shared" si="29"/>
        <v>204.6</v>
      </c>
      <c r="AW49" s="55">
        <f t="shared" si="61"/>
        <v>0</v>
      </c>
      <c r="AX49" s="71">
        <v>0</v>
      </c>
      <c r="AY49" s="55">
        <f t="shared" si="31"/>
        <v>0</v>
      </c>
      <c r="AZ49" s="55">
        <f t="shared" si="62"/>
        <v>18837.529999999995</v>
      </c>
      <c r="BA49" s="55">
        <f t="shared" si="63"/>
        <v>2100.6699999999996</v>
      </c>
      <c r="BB49" s="55">
        <f t="shared" si="34"/>
        <v>0</v>
      </c>
      <c r="BD49" s="70">
        <v>45017</v>
      </c>
      <c r="BE49" s="55">
        <f t="shared" si="64"/>
        <v>0</v>
      </c>
      <c r="BF49" s="55">
        <f t="shared" si="65"/>
        <v>221.51</v>
      </c>
      <c r="BG49" s="55">
        <f t="shared" si="37"/>
        <v>221.51</v>
      </c>
      <c r="BH49" s="55">
        <f t="shared" si="66"/>
        <v>0</v>
      </c>
      <c r="BI49" s="71">
        <v>0</v>
      </c>
      <c r="BJ49" s="55">
        <f t="shared" si="39"/>
        <v>0</v>
      </c>
      <c r="BK49" s="55">
        <f t="shared" si="67"/>
        <v>22843.669999999973</v>
      </c>
      <c r="BL49" s="55">
        <f t="shared" si="68"/>
        <v>984.92</v>
      </c>
      <c r="BM49" s="55">
        <f t="shared" si="42"/>
        <v>0</v>
      </c>
    </row>
    <row r="50" spans="1:65" x14ac:dyDescent="0.25">
      <c r="A50" s="70">
        <v>44866</v>
      </c>
      <c r="B50" s="55">
        <f t="shared" ref="B50:B66" si="75">Q50</f>
        <v>727.41</v>
      </c>
      <c r="C50" s="55">
        <f t="shared" si="44"/>
        <v>544.78</v>
      </c>
      <c r="D50" s="55">
        <f t="shared" si="45"/>
        <v>1286.04</v>
      </c>
      <c r="E50" s="55">
        <f t="shared" si="46"/>
        <v>286.39999999999998</v>
      </c>
      <c r="F50" s="55">
        <f t="shared" si="47"/>
        <v>0</v>
      </c>
      <c r="G50" s="55">
        <f t="shared" si="74"/>
        <v>2844.63</v>
      </c>
      <c r="J50">
        <f t="shared" si="48"/>
        <v>3</v>
      </c>
      <c r="K50" s="70">
        <v>44866</v>
      </c>
      <c r="L50" s="55">
        <f t="shared" si="2"/>
        <v>142397.47999999998</v>
      </c>
      <c r="M50" s="55">
        <f t="shared" si="3"/>
        <v>727.41</v>
      </c>
      <c r="N50" s="55">
        <f t="shared" si="4"/>
        <v>237.32999999999998</v>
      </c>
      <c r="O50" s="55">
        <f t="shared" si="5"/>
        <v>490.08</v>
      </c>
      <c r="P50" s="71">
        <v>0</v>
      </c>
      <c r="Q50" s="55">
        <f t="shared" si="6"/>
        <v>727.41</v>
      </c>
      <c r="R50" s="55">
        <f t="shared" si="7"/>
        <v>7839.8499999999995</v>
      </c>
      <c r="S50" s="55">
        <f t="shared" si="8"/>
        <v>17619.500000000004</v>
      </c>
      <c r="T50" s="55">
        <f t="shared" si="9"/>
        <v>142160.15</v>
      </c>
      <c r="U50" s="57">
        <f t="shared" si="10"/>
        <v>37839.85</v>
      </c>
      <c r="W50" s="70">
        <v>45047</v>
      </c>
      <c r="X50" s="55">
        <f t="shared" si="69"/>
        <v>38897.257741334208</v>
      </c>
      <c r="Y50" s="55">
        <f t="shared" si="70"/>
        <v>544.78</v>
      </c>
      <c r="Z50" s="55">
        <f t="shared" si="13"/>
        <v>372.65999999999997</v>
      </c>
      <c r="AA50" s="55">
        <f t="shared" si="71"/>
        <v>172.12</v>
      </c>
      <c r="AB50" s="71">
        <v>0</v>
      </c>
      <c r="AC50" s="55">
        <f t="shared" si="15"/>
        <v>544.78</v>
      </c>
      <c r="AD50" s="55">
        <f t="shared" si="72"/>
        <v>12111.929999999997</v>
      </c>
      <c r="AE50" s="55">
        <f t="shared" si="73"/>
        <v>6955.3700000000017</v>
      </c>
      <c r="AF50" s="55">
        <f t="shared" si="18"/>
        <v>38524.597741334204</v>
      </c>
      <c r="AH50" s="70">
        <v>45047</v>
      </c>
      <c r="AI50" s="55">
        <f t="shared" si="54"/>
        <v>4779.3890847429611</v>
      </c>
      <c r="AJ50" s="55">
        <f t="shared" si="55"/>
        <v>186.04</v>
      </c>
      <c r="AK50" s="55">
        <f t="shared" si="21"/>
        <v>162.13999999999999</v>
      </c>
      <c r="AL50" s="55">
        <f t="shared" si="56"/>
        <v>23.9</v>
      </c>
      <c r="AM50" s="71">
        <v>1400</v>
      </c>
      <c r="AN50" s="55">
        <f t="shared" si="23"/>
        <v>1586.04</v>
      </c>
      <c r="AO50" s="55">
        <f t="shared" si="57"/>
        <v>13539.689999999999</v>
      </c>
      <c r="AP50" s="55">
        <f t="shared" si="58"/>
        <v>2471.71</v>
      </c>
      <c r="AQ50" s="55">
        <f t="shared" si="26"/>
        <v>3217.2490847429608</v>
      </c>
      <c r="AS50" s="70">
        <v>45047</v>
      </c>
      <c r="AT50" s="55">
        <f t="shared" si="59"/>
        <v>0</v>
      </c>
      <c r="AU50" s="55">
        <f t="shared" si="60"/>
        <v>204.6</v>
      </c>
      <c r="AV50" s="55">
        <f t="shared" si="29"/>
        <v>204.6</v>
      </c>
      <c r="AW50" s="55">
        <f t="shared" si="61"/>
        <v>0</v>
      </c>
      <c r="AX50" s="71">
        <v>0</v>
      </c>
      <c r="AY50" s="55">
        <f t="shared" si="31"/>
        <v>0</v>
      </c>
      <c r="AZ50" s="55">
        <f t="shared" si="62"/>
        <v>19042.129999999994</v>
      </c>
      <c r="BA50" s="55">
        <f t="shared" si="63"/>
        <v>2100.6699999999996</v>
      </c>
      <c r="BB50" s="55">
        <f t="shared" si="34"/>
        <v>0</v>
      </c>
      <c r="BD50" s="70">
        <v>45047</v>
      </c>
      <c r="BE50" s="55">
        <f t="shared" si="64"/>
        <v>0</v>
      </c>
      <c r="BF50" s="55">
        <f t="shared" si="65"/>
        <v>221.51</v>
      </c>
      <c r="BG50" s="55">
        <f t="shared" si="37"/>
        <v>221.51</v>
      </c>
      <c r="BH50" s="55">
        <f t="shared" si="66"/>
        <v>0</v>
      </c>
      <c r="BI50" s="71">
        <v>0</v>
      </c>
      <c r="BJ50" s="55">
        <f t="shared" si="39"/>
        <v>0</v>
      </c>
      <c r="BK50" s="55">
        <f t="shared" si="67"/>
        <v>23065.179999999971</v>
      </c>
      <c r="BL50" s="55">
        <f t="shared" si="68"/>
        <v>984.92</v>
      </c>
      <c r="BM50" s="55">
        <f t="shared" si="42"/>
        <v>0</v>
      </c>
    </row>
    <row r="51" spans="1:65" x14ac:dyDescent="0.25">
      <c r="A51" s="70">
        <v>44896</v>
      </c>
      <c r="B51" s="55">
        <f t="shared" si="75"/>
        <v>727.41</v>
      </c>
      <c r="C51" s="55">
        <f t="shared" si="44"/>
        <v>544.78</v>
      </c>
      <c r="D51" s="55">
        <f t="shared" si="45"/>
        <v>1586.04</v>
      </c>
      <c r="E51" s="55">
        <f t="shared" si="46"/>
        <v>204.6</v>
      </c>
      <c r="F51" s="55">
        <f t="shared" si="47"/>
        <v>0</v>
      </c>
      <c r="G51" s="55">
        <f t="shared" si="74"/>
        <v>3062.83</v>
      </c>
      <c r="J51">
        <f t="shared" si="48"/>
        <v>3</v>
      </c>
      <c r="K51" s="70">
        <v>44896</v>
      </c>
      <c r="L51" s="55">
        <f t="shared" si="2"/>
        <v>142160.15</v>
      </c>
      <c r="M51" s="55">
        <f t="shared" si="3"/>
        <v>727.41</v>
      </c>
      <c r="N51" s="55">
        <f t="shared" si="4"/>
        <v>238.14</v>
      </c>
      <c r="O51" s="55">
        <f t="shared" si="5"/>
        <v>489.27</v>
      </c>
      <c r="P51" s="71">
        <v>0</v>
      </c>
      <c r="Q51" s="55">
        <f t="shared" si="6"/>
        <v>727.41</v>
      </c>
      <c r="R51" s="55">
        <f t="shared" si="7"/>
        <v>8077.99</v>
      </c>
      <c r="S51" s="55">
        <f t="shared" si="8"/>
        <v>18108.770000000004</v>
      </c>
      <c r="T51" s="55">
        <f t="shared" si="9"/>
        <v>141922.00999999998</v>
      </c>
      <c r="U51" s="57">
        <f t="shared" si="10"/>
        <v>38077.99</v>
      </c>
      <c r="W51" s="70">
        <v>45078</v>
      </c>
      <c r="X51" s="55">
        <f t="shared" si="69"/>
        <v>38524.597741334204</v>
      </c>
      <c r="Y51" s="55">
        <f t="shared" si="70"/>
        <v>544.78</v>
      </c>
      <c r="Z51" s="55">
        <f t="shared" si="13"/>
        <v>374.30999999999995</v>
      </c>
      <c r="AA51" s="55">
        <f t="shared" si="71"/>
        <v>170.47</v>
      </c>
      <c r="AB51" s="71">
        <v>0</v>
      </c>
      <c r="AC51" s="55">
        <f t="shared" si="15"/>
        <v>544.78</v>
      </c>
      <c r="AD51" s="55">
        <f t="shared" si="72"/>
        <v>12486.239999999996</v>
      </c>
      <c r="AE51" s="55">
        <f t="shared" si="73"/>
        <v>7125.840000000002</v>
      </c>
      <c r="AF51" s="55">
        <f t="shared" si="18"/>
        <v>38150.287741334207</v>
      </c>
      <c r="AH51" s="70">
        <v>45078</v>
      </c>
      <c r="AI51" s="55">
        <f t="shared" si="54"/>
        <v>3217.2490847429608</v>
      </c>
      <c r="AJ51" s="55">
        <f t="shared" si="55"/>
        <v>186.04</v>
      </c>
      <c r="AK51" s="55">
        <f t="shared" si="21"/>
        <v>169.95</v>
      </c>
      <c r="AL51" s="55">
        <f t="shared" si="56"/>
        <v>16.09</v>
      </c>
      <c r="AM51" s="71">
        <v>1400</v>
      </c>
      <c r="AN51" s="55">
        <f t="shared" si="23"/>
        <v>1586.04</v>
      </c>
      <c r="AO51" s="55">
        <f t="shared" si="57"/>
        <v>15109.64</v>
      </c>
      <c r="AP51" s="55">
        <f t="shared" si="58"/>
        <v>2487.8000000000002</v>
      </c>
      <c r="AQ51" s="55">
        <f t="shared" si="26"/>
        <v>1647.299084742961</v>
      </c>
      <c r="AS51" s="70">
        <v>45078</v>
      </c>
      <c r="AT51" s="55">
        <f t="shared" si="59"/>
        <v>0</v>
      </c>
      <c r="AU51" s="55">
        <f t="shared" si="60"/>
        <v>204.6</v>
      </c>
      <c r="AV51" s="55">
        <f t="shared" si="29"/>
        <v>204.6</v>
      </c>
      <c r="AW51" s="55">
        <f t="shared" si="61"/>
        <v>0</v>
      </c>
      <c r="AX51" s="71">
        <v>0</v>
      </c>
      <c r="AY51" s="55">
        <f t="shared" si="31"/>
        <v>0</v>
      </c>
      <c r="AZ51" s="55">
        <f t="shared" si="62"/>
        <v>19246.729999999992</v>
      </c>
      <c r="BA51" s="55">
        <f t="shared" si="63"/>
        <v>2100.6699999999996</v>
      </c>
      <c r="BB51" s="55">
        <f t="shared" si="34"/>
        <v>0</v>
      </c>
      <c r="BD51" s="70">
        <v>45078</v>
      </c>
      <c r="BE51" s="55">
        <f t="shared" si="64"/>
        <v>0</v>
      </c>
      <c r="BF51" s="55">
        <f t="shared" si="65"/>
        <v>221.51</v>
      </c>
      <c r="BG51" s="55">
        <f t="shared" si="37"/>
        <v>221.51</v>
      </c>
      <c r="BH51" s="55">
        <f t="shared" si="66"/>
        <v>0</v>
      </c>
      <c r="BI51" s="71">
        <v>0</v>
      </c>
      <c r="BJ51" s="55">
        <f t="shared" si="39"/>
        <v>0</v>
      </c>
      <c r="BK51" s="55">
        <f t="shared" si="67"/>
        <v>23286.68999999997</v>
      </c>
      <c r="BL51" s="55">
        <f t="shared" si="68"/>
        <v>984.92</v>
      </c>
      <c r="BM51" s="55">
        <f t="shared" si="42"/>
        <v>0</v>
      </c>
    </row>
    <row r="52" spans="1:65" x14ac:dyDescent="0.25">
      <c r="A52" s="70">
        <v>44927</v>
      </c>
      <c r="B52" s="55">
        <f t="shared" si="75"/>
        <v>727.41</v>
      </c>
      <c r="C52" s="55">
        <f t="shared" si="44"/>
        <v>544.78</v>
      </c>
      <c r="D52" s="55">
        <f t="shared" si="45"/>
        <v>1586.04</v>
      </c>
      <c r="E52" s="55">
        <f t="shared" si="46"/>
        <v>0</v>
      </c>
      <c r="F52" s="55">
        <f t="shared" si="47"/>
        <v>0</v>
      </c>
      <c r="G52" s="55">
        <f t="shared" si="74"/>
        <v>2858.23</v>
      </c>
      <c r="J52">
        <f t="shared" si="48"/>
        <v>4</v>
      </c>
      <c r="K52" s="70">
        <v>44927</v>
      </c>
      <c r="L52" s="55">
        <f t="shared" si="2"/>
        <v>141922.00999999998</v>
      </c>
      <c r="M52" s="55">
        <f t="shared" si="3"/>
        <v>727.41</v>
      </c>
      <c r="N52" s="55">
        <f t="shared" si="4"/>
        <v>238.95999999999998</v>
      </c>
      <c r="O52" s="55">
        <f t="shared" si="5"/>
        <v>488.45</v>
      </c>
      <c r="P52" s="71">
        <v>0</v>
      </c>
      <c r="Q52" s="55">
        <f t="shared" si="6"/>
        <v>727.41</v>
      </c>
      <c r="R52" s="55">
        <f t="shared" si="7"/>
        <v>8316.9499999999989</v>
      </c>
      <c r="S52" s="55">
        <f t="shared" si="8"/>
        <v>18597.220000000005</v>
      </c>
      <c r="T52" s="55">
        <f t="shared" si="9"/>
        <v>141683.04999999999</v>
      </c>
      <c r="U52" s="57">
        <f t="shared" si="10"/>
        <v>38316.949999999997</v>
      </c>
      <c r="W52" s="70">
        <v>45108</v>
      </c>
      <c r="X52" s="55">
        <f t="shared" si="69"/>
        <v>38150.287741334207</v>
      </c>
      <c r="Y52" s="55">
        <f t="shared" si="70"/>
        <v>544.78</v>
      </c>
      <c r="Z52" s="55">
        <f t="shared" si="13"/>
        <v>375.96</v>
      </c>
      <c r="AA52" s="55">
        <f t="shared" si="71"/>
        <v>168.82</v>
      </c>
      <c r="AB52" s="71">
        <v>0</v>
      </c>
      <c r="AC52" s="55">
        <f t="shared" si="15"/>
        <v>544.78</v>
      </c>
      <c r="AD52" s="55">
        <f t="shared" si="72"/>
        <v>12862.199999999995</v>
      </c>
      <c r="AE52" s="55">
        <f t="shared" si="73"/>
        <v>7294.6600000000017</v>
      </c>
      <c r="AF52" s="55">
        <f t="shared" si="18"/>
        <v>37774.327741334208</v>
      </c>
      <c r="AH52" s="70">
        <v>45108</v>
      </c>
      <c r="AI52" s="55">
        <f t="shared" si="54"/>
        <v>1647.299084742961</v>
      </c>
      <c r="AJ52" s="55">
        <f t="shared" si="55"/>
        <v>186.04</v>
      </c>
      <c r="AK52" s="55">
        <f t="shared" si="21"/>
        <v>177.79999999999998</v>
      </c>
      <c r="AL52" s="55">
        <f t="shared" si="56"/>
        <v>8.24</v>
      </c>
      <c r="AM52" s="71">
        <v>1400</v>
      </c>
      <c r="AN52" s="55">
        <f t="shared" si="23"/>
        <v>1586.04</v>
      </c>
      <c r="AO52" s="55">
        <f t="shared" si="57"/>
        <v>16687.439999999999</v>
      </c>
      <c r="AP52" s="55">
        <f t="shared" si="58"/>
        <v>2496.04</v>
      </c>
      <c r="AQ52" s="55">
        <f t="shared" si="26"/>
        <v>69.499084742961031</v>
      </c>
      <c r="AS52" s="70">
        <v>45108</v>
      </c>
      <c r="AT52" s="55">
        <f t="shared" si="59"/>
        <v>0</v>
      </c>
      <c r="AU52" s="55">
        <f t="shared" si="60"/>
        <v>204.6</v>
      </c>
      <c r="AV52" s="55">
        <f t="shared" si="29"/>
        <v>204.6</v>
      </c>
      <c r="AW52" s="55">
        <f t="shared" si="61"/>
        <v>0</v>
      </c>
      <c r="AX52" s="71">
        <v>0</v>
      </c>
      <c r="AY52" s="55">
        <f t="shared" si="31"/>
        <v>0</v>
      </c>
      <c r="AZ52" s="55">
        <f t="shared" si="62"/>
        <v>19451.329999999991</v>
      </c>
      <c r="BA52" s="55">
        <f t="shared" si="63"/>
        <v>2100.6699999999996</v>
      </c>
      <c r="BB52" s="55">
        <f t="shared" si="34"/>
        <v>0</v>
      </c>
      <c r="BD52" s="70">
        <v>45108</v>
      </c>
      <c r="BE52" s="55">
        <f t="shared" si="64"/>
        <v>0</v>
      </c>
      <c r="BF52" s="55">
        <f t="shared" si="65"/>
        <v>221.51</v>
      </c>
      <c r="BG52" s="55">
        <f t="shared" si="37"/>
        <v>221.51</v>
      </c>
      <c r="BH52" s="55">
        <f t="shared" si="66"/>
        <v>0</v>
      </c>
      <c r="BI52" s="71">
        <v>0</v>
      </c>
      <c r="BJ52" s="55">
        <f t="shared" si="39"/>
        <v>0</v>
      </c>
      <c r="BK52" s="55">
        <f t="shared" si="67"/>
        <v>23508.199999999968</v>
      </c>
      <c r="BL52" s="55">
        <f t="shared" si="68"/>
        <v>984.92</v>
      </c>
      <c r="BM52" s="55">
        <f t="shared" si="42"/>
        <v>0</v>
      </c>
    </row>
    <row r="53" spans="1:65" x14ac:dyDescent="0.25">
      <c r="A53" s="70">
        <v>44958</v>
      </c>
      <c r="B53" s="55">
        <f t="shared" si="75"/>
        <v>727.41</v>
      </c>
      <c r="C53" s="55">
        <f t="shared" si="44"/>
        <v>544.78</v>
      </c>
      <c r="D53" s="55">
        <f t="shared" si="45"/>
        <v>1586.04</v>
      </c>
      <c r="E53" s="55">
        <f t="shared" si="46"/>
        <v>0</v>
      </c>
      <c r="F53" s="55">
        <f t="shared" si="47"/>
        <v>0</v>
      </c>
      <c r="G53" s="55">
        <f t="shared" si="74"/>
        <v>2858.23</v>
      </c>
      <c r="J53">
        <f t="shared" si="48"/>
        <v>4</v>
      </c>
      <c r="K53" s="70">
        <v>44958</v>
      </c>
      <c r="L53" s="55">
        <f t="shared" si="2"/>
        <v>141683.04999999999</v>
      </c>
      <c r="M53" s="55">
        <f t="shared" si="3"/>
        <v>727.41</v>
      </c>
      <c r="N53" s="55">
        <f t="shared" si="4"/>
        <v>239.77999999999997</v>
      </c>
      <c r="O53" s="55">
        <f t="shared" si="5"/>
        <v>487.63</v>
      </c>
      <c r="P53" s="71">
        <v>0</v>
      </c>
      <c r="Q53" s="55">
        <f t="shared" si="6"/>
        <v>727.41</v>
      </c>
      <c r="R53" s="55">
        <f t="shared" si="7"/>
        <v>8556.73</v>
      </c>
      <c r="S53" s="55">
        <f t="shared" si="8"/>
        <v>19084.850000000006</v>
      </c>
      <c r="T53" s="55">
        <f t="shared" si="9"/>
        <v>141443.26999999999</v>
      </c>
      <c r="U53" s="57">
        <f t="shared" si="10"/>
        <v>38556.729999999996</v>
      </c>
      <c r="W53" s="70">
        <v>45139</v>
      </c>
      <c r="X53" s="55">
        <f t="shared" si="69"/>
        <v>37774.327741334208</v>
      </c>
      <c r="Y53" s="55">
        <f t="shared" si="70"/>
        <v>544.78</v>
      </c>
      <c r="Z53" s="55">
        <f t="shared" si="13"/>
        <v>377.63</v>
      </c>
      <c r="AA53" s="55">
        <f t="shared" si="71"/>
        <v>167.15</v>
      </c>
      <c r="AB53" s="71">
        <v>1600</v>
      </c>
      <c r="AC53" s="55">
        <f t="shared" si="15"/>
        <v>2144.7799999999997</v>
      </c>
      <c r="AD53" s="55">
        <f t="shared" si="72"/>
        <v>14839.829999999994</v>
      </c>
      <c r="AE53" s="55">
        <f t="shared" si="73"/>
        <v>7461.8100000000013</v>
      </c>
      <c r="AF53" s="55">
        <f t="shared" si="18"/>
        <v>35796.69774133421</v>
      </c>
      <c r="AH53" s="70">
        <v>45139</v>
      </c>
      <c r="AI53" s="55">
        <f t="shared" si="54"/>
        <v>69.499084742961031</v>
      </c>
      <c r="AJ53" s="55">
        <f t="shared" si="55"/>
        <v>186.04</v>
      </c>
      <c r="AK53" s="55">
        <f t="shared" si="21"/>
        <v>185.69</v>
      </c>
      <c r="AL53" s="55">
        <f t="shared" si="56"/>
        <v>0.35</v>
      </c>
      <c r="AM53" s="71">
        <v>0</v>
      </c>
      <c r="AN53" s="55">
        <f t="shared" si="23"/>
        <v>0</v>
      </c>
      <c r="AO53" s="55">
        <f t="shared" si="57"/>
        <v>16873.129999999997</v>
      </c>
      <c r="AP53" s="55">
        <f t="shared" si="58"/>
        <v>2496.39</v>
      </c>
      <c r="AQ53" s="55">
        <f t="shared" si="26"/>
        <v>0</v>
      </c>
      <c r="AS53" s="70">
        <v>45139</v>
      </c>
      <c r="AT53" s="55">
        <f t="shared" si="59"/>
        <v>0</v>
      </c>
      <c r="AU53" s="55">
        <f t="shared" si="60"/>
        <v>204.6</v>
      </c>
      <c r="AV53" s="55">
        <f t="shared" si="29"/>
        <v>204.6</v>
      </c>
      <c r="AW53" s="55">
        <f t="shared" si="61"/>
        <v>0</v>
      </c>
      <c r="AX53" s="71">
        <v>0</v>
      </c>
      <c r="AY53" s="55">
        <f t="shared" si="31"/>
        <v>0</v>
      </c>
      <c r="AZ53" s="55">
        <f t="shared" si="62"/>
        <v>19655.929999999989</v>
      </c>
      <c r="BA53" s="55">
        <f t="shared" si="63"/>
        <v>2100.6699999999996</v>
      </c>
      <c r="BB53" s="55">
        <f t="shared" si="34"/>
        <v>0</v>
      </c>
      <c r="BD53" s="70">
        <v>45139</v>
      </c>
      <c r="BE53" s="55">
        <f t="shared" si="64"/>
        <v>0</v>
      </c>
      <c r="BF53" s="55">
        <f t="shared" si="65"/>
        <v>221.51</v>
      </c>
      <c r="BG53" s="55">
        <f t="shared" si="37"/>
        <v>221.51</v>
      </c>
      <c r="BH53" s="55">
        <f t="shared" si="66"/>
        <v>0</v>
      </c>
      <c r="BI53" s="71">
        <v>0</v>
      </c>
      <c r="BJ53" s="55">
        <f t="shared" si="39"/>
        <v>0</v>
      </c>
      <c r="BK53" s="55">
        <f t="shared" si="67"/>
        <v>23729.709999999966</v>
      </c>
      <c r="BL53" s="55">
        <f t="shared" si="68"/>
        <v>984.92</v>
      </c>
      <c r="BM53" s="55">
        <f t="shared" si="42"/>
        <v>0</v>
      </c>
    </row>
    <row r="54" spans="1:65" x14ac:dyDescent="0.25">
      <c r="A54" s="70">
        <v>44986</v>
      </c>
      <c r="B54" s="55">
        <f t="shared" si="75"/>
        <v>727.41</v>
      </c>
      <c r="C54" s="55">
        <f t="shared" ref="C54:C85" si="76">AC48</f>
        <v>544.78</v>
      </c>
      <c r="D54" s="55">
        <f t="shared" ref="D54:D85" si="77">AN48</f>
        <v>1586.04</v>
      </c>
      <c r="E54" s="55">
        <f t="shared" ref="E54:E85" si="78">AY48</f>
        <v>0</v>
      </c>
      <c r="F54" s="55">
        <f t="shared" ref="F54:F85" si="79">BJ48</f>
        <v>0</v>
      </c>
      <c r="G54" s="55">
        <f t="shared" si="74"/>
        <v>2858.23</v>
      </c>
      <c r="J54">
        <f t="shared" si="48"/>
        <v>4</v>
      </c>
      <c r="K54" s="70">
        <v>44986</v>
      </c>
      <c r="L54" s="55">
        <f t="shared" si="2"/>
        <v>141443.26999999999</v>
      </c>
      <c r="M54" s="55">
        <f t="shared" si="3"/>
        <v>727.41</v>
      </c>
      <c r="N54" s="55">
        <f t="shared" si="4"/>
        <v>240.60999999999996</v>
      </c>
      <c r="O54" s="55">
        <f t="shared" si="5"/>
        <v>486.8</v>
      </c>
      <c r="P54" s="71">
        <v>0</v>
      </c>
      <c r="Q54" s="55">
        <f t="shared" si="6"/>
        <v>727.41</v>
      </c>
      <c r="R54" s="55">
        <f t="shared" si="7"/>
        <v>8797.34</v>
      </c>
      <c r="S54" s="55">
        <f t="shared" si="8"/>
        <v>19571.650000000005</v>
      </c>
      <c r="T54" s="55">
        <f t="shared" si="9"/>
        <v>141202.66</v>
      </c>
      <c r="U54" s="57">
        <f t="shared" si="10"/>
        <v>38797.339999999997</v>
      </c>
      <c r="W54" s="70">
        <v>45170</v>
      </c>
      <c r="X54" s="55">
        <f t="shared" si="69"/>
        <v>35796.69774133421</v>
      </c>
      <c r="Y54" s="55">
        <f t="shared" si="70"/>
        <v>544.78</v>
      </c>
      <c r="Z54" s="55">
        <f t="shared" si="13"/>
        <v>386.38</v>
      </c>
      <c r="AA54" s="55">
        <f t="shared" si="71"/>
        <v>158.4</v>
      </c>
      <c r="AB54" s="71">
        <v>1600</v>
      </c>
      <c r="AC54" s="55">
        <f t="shared" si="15"/>
        <v>2144.7799999999997</v>
      </c>
      <c r="AD54" s="55">
        <f t="shared" si="72"/>
        <v>16826.209999999995</v>
      </c>
      <c r="AE54" s="55">
        <f t="shared" si="73"/>
        <v>7620.2100000000009</v>
      </c>
      <c r="AF54" s="55">
        <f t="shared" si="18"/>
        <v>33810.317741334213</v>
      </c>
      <c r="AH54" s="70">
        <v>45170</v>
      </c>
      <c r="AI54" s="55">
        <f t="shared" si="54"/>
        <v>0</v>
      </c>
      <c r="AJ54" s="55">
        <f t="shared" si="55"/>
        <v>186.04</v>
      </c>
      <c r="AK54" s="55">
        <f t="shared" si="21"/>
        <v>186.04</v>
      </c>
      <c r="AL54" s="55">
        <f t="shared" si="56"/>
        <v>0</v>
      </c>
      <c r="AM54" s="71">
        <v>0</v>
      </c>
      <c r="AN54" s="55">
        <f t="shared" si="23"/>
        <v>0</v>
      </c>
      <c r="AO54" s="55">
        <f t="shared" si="57"/>
        <v>17059.169999999998</v>
      </c>
      <c r="AP54" s="55">
        <f t="shared" si="58"/>
        <v>2496.39</v>
      </c>
      <c r="AQ54" s="55">
        <f t="shared" si="26"/>
        <v>0</v>
      </c>
      <c r="AS54" s="70">
        <v>45170</v>
      </c>
      <c r="AT54" s="55">
        <f t="shared" si="59"/>
        <v>0</v>
      </c>
      <c r="AU54" s="55">
        <f t="shared" si="60"/>
        <v>204.6</v>
      </c>
      <c r="AV54" s="55">
        <f t="shared" si="29"/>
        <v>204.6</v>
      </c>
      <c r="AW54" s="55">
        <f t="shared" si="61"/>
        <v>0</v>
      </c>
      <c r="AX54" s="71">
        <v>0</v>
      </c>
      <c r="AY54" s="55">
        <f t="shared" si="31"/>
        <v>0</v>
      </c>
      <c r="AZ54" s="55">
        <f t="shared" si="62"/>
        <v>19860.529999999988</v>
      </c>
      <c r="BA54" s="55">
        <f t="shared" si="63"/>
        <v>2100.6699999999996</v>
      </c>
      <c r="BB54" s="55">
        <f t="shared" si="34"/>
        <v>0</v>
      </c>
      <c r="BD54" s="70">
        <v>45170</v>
      </c>
      <c r="BE54" s="55">
        <f t="shared" si="64"/>
        <v>0</v>
      </c>
      <c r="BF54" s="55">
        <f t="shared" si="65"/>
        <v>221.51</v>
      </c>
      <c r="BG54" s="55">
        <f t="shared" si="37"/>
        <v>221.51</v>
      </c>
      <c r="BH54" s="55">
        <f t="shared" si="66"/>
        <v>0</v>
      </c>
      <c r="BI54" s="71">
        <v>0</v>
      </c>
      <c r="BJ54" s="55">
        <f t="shared" si="39"/>
        <v>0</v>
      </c>
      <c r="BK54" s="55">
        <f t="shared" si="67"/>
        <v>23951.219999999965</v>
      </c>
      <c r="BL54" s="55">
        <f t="shared" si="68"/>
        <v>984.92</v>
      </c>
      <c r="BM54" s="55">
        <f t="shared" si="42"/>
        <v>0</v>
      </c>
    </row>
    <row r="55" spans="1:65" x14ac:dyDescent="0.25">
      <c r="A55" s="70">
        <v>45017</v>
      </c>
      <c r="B55" s="55">
        <f t="shared" si="75"/>
        <v>727.41</v>
      </c>
      <c r="C55" s="55">
        <f t="shared" si="76"/>
        <v>544.78</v>
      </c>
      <c r="D55" s="55">
        <f t="shared" si="77"/>
        <v>1586.04</v>
      </c>
      <c r="E55" s="55">
        <f t="shared" si="78"/>
        <v>0</v>
      </c>
      <c r="F55" s="55">
        <f t="shared" si="79"/>
        <v>0</v>
      </c>
      <c r="G55" s="55">
        <f t="shared" si="74"/>
        <v>2858.23</v>
      </c>
      <c r="J55">
        <f t="shared" si="48"/>
        <v>4</v>
      </c>
      <c r="K55" s="70">
        <v>45017</v>
      </c>
      <c r="L55" s="55">
        <f t="shared" si="2"/>
        <v>141202.66</v>
      </c>
      <c r="M55" s="55">
        <f t="shared" si="3"/>
        <v>727.41</v>
      </c>
      <c r="N55" s="55">
        <f t="shared" si="4"/>
        <v>241.43999999999994</v>
      </c>
      <c r="O55" s="55">
        <f t="shared" si="5"/>
        <v>485.97</v>
      </c>
      <c r="P55" s="71">
        <v>0</v>
      </c>
      <c r="Q55" s="55">
        <f t="shared" si="6"/>
        <v>727.41</v>
      </c>
      <c r="R55" s="55">
        <f t="shared" si="7"/>
        <v>9038.7800000000007</v>
      </c>
      <c r="S55" s="55">
        <f t="shared" si="8"/>
        <v>20057.620000000006</v>
      </c>
      <c r="T55" s="55">
        <f t="shared" si="9"/>
        <v>140961.22</v>
      </c>
      <c r="U55" s="57">
        <f t="shared" si="10"/>
        <v>39038.78</v>
      </c>
      <c r="W55" s="70">
        <v>45200</v>
      </c>
      <c r="X55" s="55">
        <f t="shared" si="69"/>
        <v>33810.317741334213</v>
      </c>
      <c r="Y55" s="55">
        <f t="shared" si="70"/>
        <v>544.78</v>
      </c>
      <c r="Z55" s="55">
        <f t="shared" si="13"/>
        <v>395.16999999999996</v>
      </c>
      <c r="AA55" s="55">
        <f t="shared" si="71"/>
        <v>149.61000000000001</v>
      </c>
      <c r="AB55" s="71">
        <v>1600</v>
      </c>
      <c r="AC55" s="55">
        <f t="shared" si="15"/>
        <v>2144.7799999999997</v>
      </c>
      <c r="AD55" s="55">
        <f t="shared" si="72"/>
        <v>18821.379999999997</v>
      </c>
      <c r="AE55" s="55">
        <f t="shared" si="73"/>
        <v>7769.8200000000006</v>
      </c>
      <c r="AF55" s="55">
        <f t="shared" si="18"/>
        <v>31815.147741334215</v>
      </c>
      <c r="AH55" s="70">
        <v>45200</v>
      </c>
      <c r="AI55" s="55">
        <f t="shared" si="54"/>
        <v>0</v>
      </c>
      <c r="AJ55" s="55">
        <f t="shared" si="55"/>
        <v>186.04</v>
      </c>
      <c r="AK55" s="55">
        <f t="shared" si="21"/>
        <v>186.04</v>
      </c>
      <c r="AL55" s="55">
        <f t="shared" si="56"/>
        <v>0</v>
      </c>
      <c r="AM55" s="71">
        <v>0</v>
      </c>
      <c r="AN55" s="55">
        <f t="shared" si="23"/>
        <v>0</v>
      </c>
      <c r="AO55" s="55">
        <f t="shared" si="57"/>
        <v>17245.21</v>
      </c>
      <c r="AP55" s="55">
        <f t="shared" si="58"/>
        <v>2496.39</v>
      </c>
      <c r="AQ55" s="55">
        <f t="shared" si="26"/>
        <v>0</v>
      </c>
      <c r="AS55" s="70">
        <v>45200</v>
      </c>
      <c r="AT55" s="55">
        <f t="shared" si="59"/>
        <v>0</v>
      </c>
      <c r="AU55" s="55">
        <f t="shared" si="60"/>
        <v>204.6</v>
      </c>
      <c r="AV55" s="55">
        <f t="shared" si="29"/>
        <v>204.6</v>
      </c>
      <c r="AW55" s="55">
        <f t="shared" si="61"/>
        <v>0</v>
      </c>
      <c r="AX55" s="71">
        <v>0</v>
      </c>
      <c r="AY55" s="55">
        <f t="shared" si="31"/>
        <v>0</v>
      </c>
      <c r="AZ55" s="55">
        <f t="shared" si="62"/>
        <v>20065.129999999986</v>
      </c>
      <c r="BA55" s="55">
        <f t="shared" si="63"/>
        <v>2100.6699999999996</v>
      </c>
      <c r="BB55" s="55">
        <f t="shared" si="34"/>
        <v>0</v>
      </c>
      <c r="BD55" s="70">
        <v>45200</v>
      </c>
      <c r="BE55" s="55">
        <f t="shared" si="64"/>
        <v>0</v>
      </c>
      <c r="BF55" s="55">
        <f t="shared" si="65"/>
        <v>221.51</v>
      </c>
      <c r="BG55" s="55">
        <f t="shared" si="37"/>
        <v>221.51</v>
      </c>
      <c r="BH55" s="55">
        <f t="shared" si="66"/>
        <v>0</v>
      </c>
      <c r="BI55" s="71">
        <v>0</v>
      </c>
      <c r="BJ55" s="55">
        <f t="shared" si="39"/>
        <v>0</v>
      </c>
      <c r="BK55" s="55">
        <f t="shared" si="67"/>
        <v>24172.729999999963</v>
      </c>
      <c r="BL55" s="55">
        <f t="shared" si="68"/>
        <v>984.92</v>
      </c>
      <c r="BM55" s="55">
        <f t="shared" si="42"/>
        <v>0</v>
      </c>
    </row>
    <row r="56" spans="1:65" x14ac:dyDescent="0.25">
      <c r="A56" s="70">
        <v>45047</v>
      </c>
      <c r="B56" s="55">
        <f t="shared" si="75"/>
        <v>727.41</v>
      </c>
      <c r="C56" s="55">
        <f t="shared" si="76"/>
        <v>544.78</v>
      </c>
      <c r="D56" s="55">
        <f t="shared" si="77"/>
        <v>1586.04</v>
      </c>
      <c r="E56" s="55">
        <f t="shared" si="78"/>
        <v>0</v>
      </c>
      <c r="F56" s="55">
        <f t="shared" si="79"/>
        <v>0</v>
      </c>
      <c r="G56" s="55">
        <f t="shared" si="74"/>
        <v>2858.23</v>
      </c>
      <c r="J56">
        <f t="shared" si="48"/>
        <v>4</v>
      </c>
      <c r="K56" s="70">
        <v>45047</v>
      </c>
      <c r="L56" s="55">
        <f t="shared" si="2"/>
        <v>140961.22</v>
      </c>
      <c r="M56" s="55">
        <f t="shared" si="3"/>
        <v>727.41</v>
      </c>
      <c r="N56" s="55">
        <f t="shared" si="4"/>
        <v>242.26999999999998</v>
      </c>
      <c r="O56" s="55">
        <f t="shared" si="5"/>
        <v>485.14</v>
      </c>
      <c r="P56" s="71">
        <v>0</v>
      </c>
      <c r="Q56" s="55">
        <f t="shared" si="6"/>
        <v>727.41</v>
      </c>
      <c r="R56" s="55">
        <f t="shared" si="7"/>
        <v>9281.0500000000011</v>
      </c>
      <c r="S56" s="55">
        <f t="shared" si="8"/>
        <v>20542.760000000006</v>
      </c>
      <c r="T56" s="55">
        <f t="shared" si="9"/>
        <v>140718.95000000001</v>
      </c>
      <c r="U56" s="57">
        <f t="shared" si="10"/>
        <v>39281.050000000003</v>
      </c>
      <c r="W56" s="70">
        <v>45231</v>
      </c>
      <c r="X56" s="55">
        <f t="shared" si="69"/>
        <v>31815.147741334215</v>
      </c>
      <c r="Y56" s="55">
        <f t="shared" si="70"/>
        <v>544.78</v>
      </c>
      <c r="Z56" s="55">
        <f t="shared" si="13"/>
        <v>404</v>
      </c>
      <c r="AA56" s="55">
        <f t="shared" si="71"/>
        <v>140.78</v>
      </c>
      <c r="AB56" s="71">
        <v>1600</v>
      </c>
      <c r="AC56" s="55">
        <f t="shared" si="15"/>
        <v>2144.7799999999997</v>
      </c>
      <c r="AD56" s="55">
        <f t="shared" si="72"/>
        <v>20825.379999999997</v>
      </c>
      <c r="AE56" s="55">
        <f t="shared" si="73"/>
        <v>7910.6</v>
      </c>
      <c r="AF56" s="55">
        <f t="shared" si="18"/>
        <v>29811.147741334215</v>
      </c>
      <c r="AH56" s="70">
        <v>45231</v>
      </c>
      <c r="AI56" s="55">
        <f t="shared" si="54"/>
        <v>0</v>
      </c>
      <c r="AJ56" s="55">
        <f t="shared" si="55"/>
        <v>186.04</v>
      </c>
      <c r="AK56" s="55">
        <f t="shared" si="21"/>
        <v>186.04</v>
      </c>
      <c r="AL56" s="55">
        <f t="shared" si="56"/>
        <v>0</v>
      </c>
      <c r="AM56" s="71">
        <v>0</v>
      </c>
      <c r="AN56" s="55">
        <f t="shared" si="23"/>
        <v>0</v>
      </c>
      <c r="AO56" s="55">
        <f t="shared" si="57"/>
        <v>17431.25</v>
      </c>
      <c r="AP56" s="55">
        <f t="shared" si="58"/>
        <v>2496.39</v>
      </c>
      <c r="AQ56" s="55">
        <f t="shared" si="26"/>
        <v>0</v>
      </c>
      <c r="AS56" s="70">
        <v>45231</v>
      </c>
      <c r="AT56" s="55">
        <f t="shared" si="59"/>
        <v>0</v>
      </c>
      <c r="AU56" s="55">
        <f t="shared" si="60"/>
        <v>204.6</v>
      </c>
      <c r="AV56" s="55">
        <f t="shared" si="29"/>
        <v>204.6</v>
      </c>
      <c r="AW56" s="55">
        <f t="shared" si="61"/>
        <v>0</v>
      </c>
      <c r="AX56" s="71">
        <v>0</v>
      </c>
      <c r="AY56" s="55">
        <f t="shared" si="31"/>
        <v>0</v>
      </c>
      <c r="AZ56" s="55">
        <f t="shared" si="62"/>
        <v>20269.729999999985</v>
      </c>
      <c r="BA56" s="55">
        <f t="shared" si="63"/>
        <v>2100.6699999999996</v>
      </c>
      <c r="BB56" s="55">
        <f t="shared" si="34"/>
        <v>0</v>
      </c>
      <c r="BD56" s="70">
        <v>45231</v>
      </c>
      <c r="BE56" s="55">
        <f t="shared" si="64"/>
        <v>0</v>
      </c>
      <c r="BF56" s="55">
        <f t="shared" si="65"/>
        <v>221.51</v>
      </c>
      <c r="BG56" s="55">
        <f t="shared" si="37"/>
        <v>221.51</v>
      </c>
      <c r="BH56" s="55">
        <f t="shared" si="66"/>
        <v>0</v>
      </c>
      <c r="BI56" s="71">
        <v>0</v>
      </c>
      <c r="BJ56" s="55">
        <f t="shared" si="39"/>
        <v>0</v>
      </c>
      <c r="BK56" s="55">
        <f t="shared" si="67"/>
        <v>24394.239999999962</v>
      </c>
      <c r="BL56" s="55">
        <f t="shared" si="68"/>
        <v>984.92</v>
      </c>
      <c r="BM56" s="55">
        <f t="shared" si="42"/>
        <v>0</v>
      </c>
    </row>
    <row r="57" spans="1:65" x14ac:dyDescent="0.25">
      <c r="A57" s="70">
        <v>45078</v>
      </c>
      <c r="B57" s="55">
        <f t="shared" si="75"/>
        <v>727.41</v>
      </c>
      <c r="C57" s="55">
        <f t="shared" si="76"/>
        <v>544.78</v>
      </c>
      <c r="D57" s="55">
        <f t="shared" si="77"/>
        <v>1586.04</v>
      </c>
      <c r="E57" s="55">
        <f t="shared" si="78"/>
        <v>0</v>
      </c>
      <c r="F57" s="55">
        <f t="shared" si="79"/>
        <v>0</v>
      </c>
      <c r="G57" s="55">
        <f t="shared" si="74"/>
        <v>2858.23</v>
      </c>
      <c r="J57">
        <f t="shared" si="48"/>
        <v>4</v>
      </c>
      <c r="K57" s="70">
        <v>45078</v>
      </c>
      <c r="L57" s="55">
        <f t="shared" si="2"/>
        <v>140718.95000000001</v>
      </c>
      <c r="M57" s="55">
        <f t="shared" si="3"/>
        <v>727.41</v>
      </c>
      <c r="N57" s="55">
        <f t="shared" si="4"/>
        <v>243.09999999999997</v>
      </c>
      <c r="O57" s="55">
        <f t="shared" si="5"/>
        <v>484.31</v>
      </c>
      <c r="P57" s="71">
        <v>0</v>
      </c>
      <c r="Q57" s="55">
        <f t="shared" si="6"/>
        <v>727.41</v>
      </c>
      <c r="R57" s="55">
        <f t="shared" si="7"/>
        <v>9524.1500000000015</v>
      </c>
      <c r="S57" s="55">
        <f t="shared" si="8"/>
        <v>21027.070000000007</v>
      </c>
      <c r="T57" s="55">
        <f t="shared" si="9"/>
        <v>140475.85</v>
      </c>
      <c r="U57" s="57">
        <f t="shared" si="10"/>
        <v>39524.15</v>
      </c>
      <c r="W57" s="70">
        <v>45261</v>
      </c>
      <c r="X57" s="55">
        <f t="shared" si="69"/>
        <v>29811.147741334215</v>
      </c>
      <c r="Y57" s="55">
        <f t="shared" si="70"/>
        <v>544.78</v>
      </c>
      <c r="Z57" s="55">
        <f t="shared" si="13"/>
        <v>412.87</v>
      </c>
      <c r="AA57" s="55">
        <f t="shared" si="71"/>
        <v>131.91</v>
      </c>
      <c r="AB57" s="71">
        <v>1600</v>
      </c>
      <c r="AC57" s="55">
        <f t="shared" si="15"/>
        <v>2144.7799999999997</v>
      </c>
      <c r="AD57" s="55">
        <f t="shared" si="72"/>
        <v>22838.249999999996</v>
      </c>
      <c r="AE57" s="55">
        <f t="shared" si="73"/>
        <v>8042.51</v>
      </c>
      <c r="AF57" s="55">
        <f t="shared" si="18"/>
        <v>27798.277741334216</v>
      </c>
      <c r="AH57" s="70">
        <v>45261</v>
      </c>
      <c r="AI57" s="55">
        <f t="shared" si="54"/>
        <v>0</v>
      </c>
      <c r="AJ57" s="55">
        <f t="shared" si="55"/>
        <v>186.04</v>
      </c>
      <c r="AK57" s="55">
        <f t="shared" si="21"/>
        <v>186.04</v>
      </c>
      <c r="AL57" s="55">
        <f t="shared" si="56"/>
        <v>0</v>
      </c>
      <c r="AM57" s="71">
        <v>0</v>
      </c>
      <c r="AN57" s="55">
        <f t="shared" si="23"/>
        <v>0</v>
      </c>
      <c r="AO57" s="55">
        <f t="shared" si="57"/>
        <v>17617.29</v>
      </c>
      <c r="AP57" s="55">
        <f t="shared" si="58"/>
        <v>2496.39</v>
      </c>
      <c r="AQ57" s="55">
        <f t="shared" si="26"/>
        <v>0</v>
      </c>
      <c r="AS57" s="70">
        <v>45261</v>
      </c>
      <c r="AT57" s="55">
        <f t="shared" si="59"/>
        <v>0</v>
      </c>
      <c r="AU57" s="55">
        <f t="shared" si="60"/>
        <v>204.6</v>
      </c>
      <c r="AV57" s="55">
        <f t="shared" si="29"/>
        <v>204.6</v>
      </c>
      <c r="AW57" s="55">
        <f t="shared" si="61"/>
        <v>0</v>
      </c>
      <c r="AX57" s="71">
        <v>0</v>
      </c>
      <c r="AY57" s="55">
        <f t="shared" si="31"/>
        <v>0</v>
      </c>
      <c r="AZ57" s="55">
        <f t="shared" si="62"/>
        <v>20474.329999999984</v>
      </c>
      <c r="BA57" s="55">
        <f t="shared" si="63"/>
        <v>2100.6699999999996</v>
      </c>
      <c r="BB57" s="55">
        <f t="shared" si="34"/>
        <v>0</v>
      </c>
      <c r="BD57" s="70">
        <v>45261</v>
      </c>
      <c r="BE57" s="55">
        <f t="shared" si="64"/>
        <v>0</v>
      </c>
      <c r="BF57" s="55">
        <f t="shared" si="65"/>
        <v>221.51</v>
      </c>
      <c r="BG57" s="55">
        <f t="shared" si="37"/>
        <v>221.51</v>
      </c>
      <c r="BH57" s="55">
        <f t="shared" si="66"/>
        <v>0</v>
      </c>
      <c r="BI57" s="71">
        <v>0</v>
      </c>
      <c r="BJ57" s="55">
        <f t="shared" si="39"/>
        <v>0</v>
      </c>
      <c r="BK57" s="55">
        <f t="shared" si="67"/>
        <v>24615.74999999996</v>
      </c>
      <c r="BL57" s="55">
        <f t="shared" si="68"/>
        <v>984.92</v>
      </c>
      <c r="BM57" s="55">
        <f t="shared" si="42"/>
        <v>0</v>
      </c>
    </row>
    <row r="58" spans="1:65" x14ac:dyDescent="0.25">
      <c r="A58" s="70">
        <v>45108</v>
      </c>
      <c r="B58" s="55">
        <f t="shared" si="75"/>
        <v>727.41</v>
      </c>
      <c r="C58" s="55">
        <f t="shared" si="76"/>
        <v>544.78</v>
      </c>
      <c r="D58" s="55">
        <f t="shared" si="77"/>
        <v>1586.04</v>
      </c>
      <c r="E58" s="55">
        <f t="shared" si="78"/>
        <v>0</v>
      </c>
      <c r="F58" s="55">
        <f t="shared" si="79"/>
        <v>0</v>
      </c>
      <c r="G58" s="55">
        <f t="shared" si="74"/>
        <v>2858.23</v>
      </c>
      <c r="J58">
        <f t="shared" si="48"/>
        <v>4</v>
      </c>
      <c r="K58" s="70">
        <v>45108</v>
      </c>
      <c r="L58" s="55">
        <f t="shared" si="2"/>
        <v>140475.85</v>
      </c>
      <c r="M58" s="55">
        <f t="shared" si="3"/>
        <v>727.41</v>
      </c>
      <c r="N58" s="55">
        <f t="shared" si="4"/>
        <v>243.93999999999994</v>
      </c>
      <c r="O58" s="55">
        <f t="shared" si="5"/>
        <v>483.47</v>
      </c>
      <c r="P58" s="71">
        <v>0</v>
      </c>
      <c r="Q58" s="55">
        <f t="shared" si="6"/>
        <v>727.41</v>
      </c>
      <c r="R58" s="55">
        <f t="shared" si="7"/>
        <v>9768.090000000002</v>
      </c>
      <c r="S58" s="55">
        <f t="shared" si="8"/>
        <v>21510.540000000008</v>
      </c>
      <c r="T58" s="55">
        <f t="shared" si="9"/>
        <v>140231.91</v>
      </c>
      <c r="U58" s="57">
        <f t="shared" si="10"/>
        <v>39768.090000000004</v>
      </c>
      <c r="W58" s="70">
        <v>45292</v>
      </c>
      <c r="X58" s="55">
        <f t="shared" si="69"/>
        <v>27798.277741334216</v>
      </c>
      <c r="Y58" s="55">
        <f t="shared" si="70"/>
        <v>544.78</v>
      </c>
      <c r="Z58" s="55">
        <f t="shared" si="13"/>
        <v>421.77</v>
      </c>
      <c r="AA58" s="55">
        <f t="shared" si="71"/>
        <v>123.01</v>
      </c>
      <c r="AB58" s="71">
        <v>1600</v>
      </c>
      <c r="AC58" s="55">
        <f t="shared" si="15"/>
        <v>2144.7799999999997</v>
      </c>
      <c r="AD58" s="55">
        <f t="shared" si="72"/>
        <v>24860.019999999997</v>
      </c>
      <c r="AE58" s="55">
        <f t="shared" si="73"/>
        <v>8165.52</v>
      </c>
      <c r="AF58" s="55">
        <f t="shared" si="18"/>
        <v>25776.507741334215</v>
      </c>
      <c r="AH58" s="70">
        <v>45292</v>
      </c>
      <c r="AI58" s="55">
        <f t="shared" si="54"/>
        <v>0</v>
      </c>
      <c r="AJ58" s="55">
        <f t="shared" si="55"/>
        <v>186.04</v>
      </c>
      <c r="AK58" s="55">
        <f t="shared" si="21"/>
        <v>186.04</v>
      </c>
      <c r="AL58" s="55">
        <f t="shared" si="56"/>
        <v>0</v>
      </c>
      <c r="AM58" s="71">
        <v>0</v>
      </c>
      <c r="AN58" s="55">
        <f t="shared" si="23"/>
        <v>0</v>
      </c>
      <c r="AO58" s="55">
        <f t="shared" si="57"/>
        <v>17803.330000000002</v>
      </c>
      <c r="AP58" s="55">
        <f t="shared" si="58"/>
        <v>2496.39</v>
      </c>
      <c r="AQ58" s="55">
        <f t="shared" si="26"/>
        <v>0</v>
      </c>
      <c r="AS58" s="70">
        <v>45292</v>
      </c>
      <c r="AT58" s="55">
        <f t="shared" si="59"/>
        <v>0</v>
      </c>
      <c r="AU58" s="55">
        <f t="shared" si="60"/>
        <v>204.6</v>
      </c>
      <c r="AV58" s="55">
        <f t="shared" si="29"/>
        <v>204.6</v>
      </c>
      <c r="AW58" s="55">
        <f t="shared" si="61"/>
        <v>0</v>
      </c>
      <c r="AX58" s="71">
        <v>0</v>
      </c>
      <c r="AY58" s="55">
        <f t="shared" si="31"/>
        <v>0</v>
      </c>
      <c r="AZ58" s="55">
        <f t="shared" si="62"/>
        <v>20678.929999999982</v>
      </c>
      <c r="BA58" s="55">
        <f t="shared" si="63"/>
        <v>2100.6699999999996</v>
      </c>
      <c r="BB58" s="55">
        <f t="shared" si="34"/>
        <v>0</v>
      </c>
      <c r="BD58" s="70">
        <v>45292</v>
      </c>
      <c r="BE58" s="55">
        <f t="shared" si="64"/>
        <v>0</v>
      </c>
      <c r="BF58" s="55">
        <f t="shared" si="65"/>
        <v>221.51</v>
      </c>
      <c r="BG58" s="55">
        <f t="shared" si="37"/>
        <v>221.51</v>
      </c>
      <c r="BH58" s="55">
        <f t="shared" si="66"/>
        <v>0</v>
      </c>
      <c r="BI58" s="71">
        <v>0</v>
      </c>
      <c r="BJ58" s="55">
        <f t="shared" si="39"/>
        <v>0</v>
      </c>
      <c r="BK58" s="55">
        <f t="shared" si="67"/>
        <v>24837.259999999958</v>
      </c>
      <c r="BL58" s="55">
        <f t="shared" si="68"/>
        <v>984.92</v>
      </c>
      <c r="BM58" s="55">
        <f t="shared" si="42"/>
        <v>0</v>
      </c>
    </row>
    <row r="59" spans="1:65" x14ac:dyDescent="0.25">
      <c r="A59" s="70">
        <v>45139</v>
      </c>
      <c r="B59" s="55">
        <f t="shared" si="75"/>
        <v>727.41</v>
      </c>
      <c r="C59" s="55">
        <f t="shared" si="76"/>
        <v>2144.7799999999997</v>
      </c>
      <c r="D59" s="55">
        <f t="shared" si="77"/>
        <v>0</v>
      </c>
      <c r="E59" s="55">
        <f t="shared" si="78"/>
        <v>0</v>
      </c>
      <c r="F59" s="55">
        <f t="shared" si="79"/>
        <v>0</v>
      </c>
      <c r="G59" s="55">
        <f t="shared" si="74"/>
        <v>2872.1899999999996</v>
      </c>
      <c r="J59">
        <f t="shared" si="48"/>
        <v>4</v>
      </c>
      <c r="K59" s="70">
        <v>45139</v>
      </c>
      <c r="L59" s="55">
        <f t="shared" si="2"/>
        <v>140231.91</v>
      </c>
      <c r="M59" s="55">
        <f t="shared" si="3"/>
        <v>727.41</v>
      </c>
      <c r="N59" s="55">
        <f t="shared" si="4"/>
        <v>244.77999999999997</v>
      </c>
      <c r="O59" s="55">
        <f t="shared" si="5"/>
        <v>482.63</v>
      </c>
      <c r="P59" s="71">
        <v>0</v>
      </c>
      <c r="Q59" s="55">
        <f t="shared" si="6"/>
        <v>727.41</v>
      </c>
      <c r="R59" s="55">
        <f t="shared" si="7"/>
        <v>10012.870000000003</v>
      </c>
      <c r="S59" s="55">
        <f t="shared" si="8"/>
        <v>21993.170000000009</v>
      </c>
      <c r="T59" s="55">
        <f t="shared" si="9"/>
        <v>139987.13</v>
      </c>
      <c r="U59" s="57">
        <f t="shared" si="10"/>
        <v>40012.870000000003</v>
      </c>
      <c r="W59" s="70">
        <v>45323</v>
      </c>
      <c r="X59" s="55">
        <f t="shared" si="69"/>
        <v>25776.507741334215</v>
      </c>
      <c r="Y59" s="55">
        <f t="shared" si="70"/>
        <v>544.78</v>
      </c>
      <c r="Z59" s="55">
        <f t="shared" si="13"/>
        <v>430.71999999999997</v>
      </c>
      <c r="AA59" s="55">
        <f t="shared" si="71"/>
        <v>114.06</v>
      </c>
      <c r="AB59" s="71">
        <v>1600</v>
      </c>
      <c r="AC59" s="55">
        <f t="shared" si="15"/>
        <v>2144.7799999999997</v>
      </c>
      <c r="AD59" s="55">
        <f t="shared" si="72"/>
        <v>26890.739999999998</v>
      </c>
      <c r="AE59" s="55">
        <f t="shared" si="73"/>
        <v>8279.58</v>
      </c>
      <c r="AF59" s="55">
        <f t="shared" si="18"/>
        <v>23745.787741334214</v>
      </c>
      <c r="AH59" s="70">
        <v>45323</v>
      </c>
      <c r="AI59" s="55">
        <f t="shared" si="54"/>
        <v>0</v>
      </c>
      <c r="AJ59" s="55">
        <f t="shared" si="55"/>
        <v>186.04</v>
      </c>
      <c r="AK59" s="55">
        <f t="shared" si="21"/>
        <v>186.04</v>
      </c>
      <c r="AL59" s="55">
        <f t="shared" si="56"/>
        <v>0</v>
      </c>
      <c r="AM59" s="71">
        <v>0</v>
      </c>
      <c r="AN59" s="55">
        <f t="shared" si="23"/>
        <v>0</v>
      </c>
      <c r="AO59" s="55">
        <f t="shared" si="57"/>
        <v>17989.370000000003</v>
      </c>
      <c r="AP59" s="55">
        <f t="shared" si="58"/>
        <v>2496.39</v>
      </c>
      <c r="AQ59" s="55">
        <f t="shared" si="26"/>
        <v>0</v>
      </c>
      <c r="AS59" s="70">
        <v>45323</v>
      </c>
      <c r="AT59" s="55">
        <f t="shared" si="59"/>
        <v>0</v>
      </c>
      <c r="AU59" s="55">
        <f t="shared" si="60"/>
        <v>204.6</v>
      </c>
      <c r="AV59" s="55">
        <f t="shared" si="29"/>
        <v>204.6</v>
      </c>
      <c r="AW59" s="55">
        <f t="shared" si="61"/>
        <v>0</v>
      </c>
      <c r="AX59" s="71">
        <v>0</v>
      </c>
      <c r="AY59" s="55">
        <f t="shared" si="31"/>
        <v>0</v>
      </c>
      <c r="AZ59" s="55">
        <f t="shared" si="62"/>
        <v>20883.529999999981</v>
      </c>
      <c r="BA59" s="55">
        <f t="shared" si="63"/>
        <v>2100.6699999999996</v>
      </c>
      <c r="BB59" s="55">
        <f t="shared" si="34"/>
        <v>0</v>
      </c>
      <c r="BD59" s="70">
        <v>45323</v>
      </c>
      <c r="BE59" s="55">
        <f t="shared" si="64"/>
        <v>0</v>
      </c>
      <c r="BF59" s="55">
        <f t="shared" si="65"/>
        <v>221.51</v>
      </c>
      <c r="BG59" s="55">
        <f t="shared" si="37"/>
        <v>221.51</v>
      </c>
      <c r="BH59" s="55">
        <f t="shared" si="66"/>
        <v>0</v>
      </c>
      <c r="BI59" s="71">
        <v>0</v>
      </c>
      <c r="BJ59" s="55">
        <f t="shared" si="39"/>
        <v>0</v>
      </c>
      <c r="BK59" s="55">
        <f t="shared" si="67"/>
        <v>25058.769999999957</v>
      </c>
      <c r="BL59" s="55">
        <f t="shared" si="68"/>
        <v>984.92</v>
      </c>
      <c r="BM59" s="55">
        <f t="shared" si="42"/>
        <v>0</v>
      </c>
    </row>
    <row r="60" spans="1:65" x14ac:dyDescent="0.25">
      <c r="A60" s="70">
        <v>45170</v>
      </c>
      <c r="B60" s="55">
        <f t="shared" si="75"/>
        <v>727.41</v>
      </c>
      <c r="C60" s="55">
        <f t="shared" si="76"/>
        <v>2144.7799999999997</v>
      </c>
      <c r="D60" s="55">
        <f t="shared" si="77"/>
        <v>0</v>
      </c>
      <c r="E60" s="55">
        <f t="shared" si="78"/>
        <v>0</v>
      </c>
      <c r="F60" s="55">
        <f t="shared" si="79"/>
        <v>0</v>
      </c>
      <c r="G60" s="55">
        <f t="shared" si="74"/>
        <v>2872.1899999999996</v>
      </c>
      <c r="J60">
        <f t="shared" si="48"/>
        <v>4</v>
      </c>
      <c r="K60" s="70">
        <v>45170</v>
      </c>
      <c r="L60" s="55">
        <f t="shared" si="2"/>
        <v>139987.13</v>
      </c>
      <c r="M60" s="55">
        <f t="shared" si="3"/>
        <v>727.41</v>
      </c>
      <c r="N60" s="55">
        <f t="shared" si="4"/>
        <v>245.61999999999995</v>
      </c>
      <c r="O60" s="55">
        <f t="shared" si="5"/>
        <v>481.79</v>
      </c>
      <c r="P60" s="71">
        <v>0</v>
      </c>
      <c r="Q60" s="55">
        <f t="shared" si="6"/>
        <v>727.41</v>
      </c>
      <c r="R60" s="55">
        <f t="shared" si="7"/>
        <v>10258.490000000003</v>
      </c>
      <c r="S60" s="55">
        <f t="shared" si="8"/>
        <v>22474.96000000001</v>
      </c>
      <c r="T60" s="55">
        <f t="shared" si="9"/>
        <v>139741.51</v>
      </c>
      <c r="U60" s="57">
        <f t="shared" si="10"/>
        <v>40258.490000000005</v>
      </c>
      <c r="W60" s="70">
        <v>45352</v>
      </c>
      <c r="X60" s="55">
        <f t="shared" si="69"/>
        <v>23745.787741334214</v>
      </c>
      <c r="Y60" s="55">
        <f t="shared" si="70"/>
        <v>544.78</v>
      </c>
      <c r="Z60" s="55">
        <f t="shared" si="13"/>
        <v>439.7</v>
      </c>
      <c r="AA60" s="55">
        <f t="shared" si="71"/>
        <v>105.08</v>
      </c>
      <c r="AB60" s="71">
        <v>1600</v>
      </c>
      <c r="AC60" s="55">
        <f t="shared" si="15"/>
        <v>2144.7799999999997</v>
      </c>
      <c r="AD60" s="55">
        <f t="shared" si="72"/>
        <v>28930.44</v>
      </c>
      <c r="AE60" s="55">
        <f t="shared" si="73"/>
        <v>8384.66</v>
      </c>
      <c r="AF60" s="55">
        <f t="shared" si="18"/>
        <v>21706.087741334213</v>
      </c>
      <c r="AH60" s="70">
        <v>45352</v>
      </c>
      <c r="AI60" s="55">
        <f t="shared" si="54"/>
        <v>0</v>
      </c>
      <c r="AJ60" s="55">
        <f t="shared" si="55"/>
        <v>186.04</v>
      </c>
      <c r="AK60" s="55">
        <f t="shared" si="21"/>
        <v>186.04</v>
      </c>
      <c r="AL60" s="55">
        <f t="shared" si="56"/>
        <v>0</v>
      </c>
      <c r="AM60" s="71">
        <v>0</v>
      </c>
      <c r="AN60" s="55">
        <f t="shared" si="23"/>
        <v>0</v>
      </c>
      <c r="AO60" s="55">
        <f t="shared" si="57"/>
        <v>18175.410000000003</v>
      </c>
      <c r="AP60" s="55">
        <f t="shared" si="58"/>
        <v>2496.39</v>
      </c>
      <c r="AQ60" s="55">
        <f t="shared" si="26"/>
        <v>0</v>
      </c>
      <c r="AS60" s="70">
        <v>45352</v>
      </c>
      <c r="AT60" s="55">
        <f t="shared" si="59"/>
        <v>0</v>
      </c>
      <c r="AU60" s="55">
        <f t="shared" si="60"/>
        <v>204.6</v>
      </c>
      <c r="AV60" s="55">
        <f t="shared" si="29"/>
        <v>204.6</v>
      </c>
      <c r="AW60" s="55">
        <f t="shared" si="61"/>
        <v>0</v>
      </c>
      <c r="AX60" s="71">
        <v>0</v>
      </c>
      <c r="AY60" s="55">
        <f t="shared" si="31"/>
        <v>0</v>
      </c>
      <c r="AZ60" s="55">
        <f t="shared" si="62"/>
        <v>21088.129999999979</v>
      </c>
      <c r="BA60" s="55">
        <f t="shared" si="63"/>
        <v>2100.6699999999996</v>
      </c>
      <c r="BB60" s="55">
        <f t="shared" si="34"/>
        <v>0</v>
      </c>
      <c r="BD60" s="70">
        <v>45352</v>
      </c>
      <c r="BE60" s="55">
        <f t="shared" si="64"/>
        <v>0</v>
      </c>
      <c r="BF60" s="55">
        <f t="shared" si="65"/>
        <v>221.51</v>
      </c>
      <c r="BG60" s="55">
        <f t="shared" si="37"/>
        <v>221.51</v>
      </c>
      <c r="BH60" s="55">
        <f t="shared" si="66"/>
        <v>0</v>
      </c>
      <c r="BI60" s="71">
        <v>0</v>
      </c>
      <c r="BJ60" s="55">
        <f t="shared" si="39"/>
        <v>0</v>
      </c>
      <c r="BK60" s="55">
        <f t="shared" si="67"/>
        <v>25280.279999999955</v>
      </c>
      <c r="BL60" s="55">
        <f t="shared" si="68"/>
        <v>984.92</v>
      </c>
      <c r="BM60" s="55">
        <f t="shared" si="42"/>
        <v>0</v>
      </c>
    </row>
    <row r="61" spans="1:65" x14ac:dyDescent="0.25">
      <c r="A61" s="70">
        <v>45200</v>
      </c>
      <c r="B61" s="55">
        <f t="shared" si="75"/>
        <v>727.41</v>
      </c>
      <c r="C61" s="55">
        <f t="shared" si="76"/>
        <v>2144.7799999999997</v>
      </c>
      <c r="D61" s="55">
        <f t="shared" si="77"/>
        <v>0</v>
      </c>
      <c r="E61" s="55">
        <f t="shared" si="78"/>
        <v>0</v>
      </c>
      <c r="F61" s="55">
        <f t="shared" si="79"/>
        <v>0</v>
      </c>
      <c r="G61" s="55">
        <f t="shared" si="74"/>
        <v>2872.1899999999996</v>
      </c>
      <c r="J61">
        <f t="shared" si="48"/>
        <v>4</v>
      </c>
      <c r="K61" s="70">
        <v>45200</v>
      </c>
      <c r="L61" s="55">
        <f t="shared" si="2"/>
        <v>139741.51</v>
      </c>
      <c r="M61" s="55">
        <f t="shared" si="3"/>
        <v>727.41</v>
      </c>
      <c r="N61" s="55">
        <f t="shared" si="4"/>
        <v>246.46999999999997</v>
      </c>
      <c r="O61" s="55">
        <f t="shared" si="5"/>
        <v>480.94</v>
      </c>
      <c r="P61" s="71">
        <v>0</v>
      </c>
      <c r="Q61" s="55">
        <f t="shared" si="6"/>
        <v>727.41</v>
      </c>
      <c r="R61" s="55">
        <f t="shared" si="7"/>
        <v>10504.960000000003</v>
      </c>
      <c r="S61" s="55">
        <f t="shared" si="8"/>
        <v>22955.900000000009</v>
      </c>
      <c r="T61" s="55">
        <f t="shared" si="9"/>
        <v>139495.04000000001</v>
      </c>
      <c r="U61" s="57">
        <f t="shared" si="10"/>
        <v>40504.960000000006</v>
      </c>
      <c r="W61" s="70">
        <v>45383</v>
      </c>
      <c r="X61" s="55">
        <f t="shared" ref="X61:X65" si="80">AF60</f>
        <v>21706.087741334213</v>
      </c>
      <c r="Y61" s="55">
        <f t="shared" ref="Y61:Y65" si="81">W$11</f>
        <v>544.78</v>
      </c>
      <c r="Z61" s="55">
        <f t="shared" si="13"/>
        <v>448.72999999999996</v>
      </c>
      <c r="AA61" s="55">
        <f t="shared" ref="AA61:AA65" si="82">ROUND(X61*W$8/12,2)</f>
        <v>96.05</v>
      </c>
      <c r="AB61" s="71">
        <v>1600</v>
      </c>
      <c r="AC61" s="55">
        <f t="shared" si="15"/>
        <v>2144.7799999999997</v>
      </c>
      <c r="AD61" s="55">
        <f t="shared" ref="AD61:AD65" si="83">Z61+AB61+AD60</f>
        <v>30979.17</v>
      </c>
      <c r="AE61" s="55">
        <f t="shared" ref="AE61:AE65" si="84">AA61+AE60</f>
        <v>8480.7099999999991</v>
      </c>
      <c r="AF61" s="55">
        <f t="shared" si="18"/>
        <v>19657.357741334214</v>
      </c>
      <c r="AH61" s="70">
        <v>45383</v>
      </c>
      <c r="AI61" s="55">
        <f t="shared" si="54"/>
        <v>0</v>
      </c>
      <c r="AJ61" s="55">
        <f t="shared" si="55"/>
        <v>186.04</v>
      </c>
      <c r="AK61" s="55">
        <f t="shared" si="21"/>
        <v>186.04</v>
      </c>
      <c r="AL61" s="55">
        <f t="shared" si="56"/>
        <v>0</v>
      </c>
      <c r="AM61" s="71">
        <v>0</v>
      </c>
      <c r="AN61" s="55">
        <f t="shared" si="23"/>
        <v>0</v>
      </c>
      <c r="AO61" s="55">
        <f t="shared" si="57"/>
        <v>18361.450000000004</v>
      </c>
      <c r="AP61" s="55">
        <f t="shared" si="58"/>
        <v>2496.39</v>
      </c>
      <c r="AQ61" s="55">
        <f t="shared" si="26"/>
        <v>0</v>
      </c>
      <c r="AS61" s="70">
        <v>45383</v>
      </c>
      <c r="AT61" s="55">
        <f t="shared" si="59"/>
        <v>0</v>
      </c>
      <c r="AU61" s="55">
        <f t="shared" si="60"/>
        <v>204.6</v>
      </c>
      <c r="AV61" s="55">
        <f t="shared" si="29"/>
        <v>204.6</v>
      </c>
      <c r="AW61" s="55">
        <f t="shared" si="61"/>
        <v>0</v>
      </c>
      <c r="AX61" s="71">
        <v>0</v>
      </c>
      <c r="AY61" s="55">
        <f t="shared" si="31"/>
        <v>0</v>
      </c>
      <c r="AZ61" s="55">
        <f t="shared" si="62"/>
        <v>21292.729999999978</v>
      </c>
      <c r="BA61" s="55">
        <f t="shared" si="63"/>
        <v>2100.6699999999996</v>
      </c>
      <c r="BB61" s="55">
        <f t="shared" si="34"/>
        <v>0</v>
      </c>
      <c r="BD61" s="70">
        <v>45383</v>
      </c>
      <c r="BE61" s="55">
        <f t="shared" si="64"/>
        <v>0</v>
      </c>
      <c r="BF61" s="55">
        <f t="shared" si="65"/>
        <v>221.51</v>
      </c>
      <c r="BG61" s="55">
        <f t="shared" si="37"/>
        <v>221.51</v>
      </c>
      <c r="BH61" s="55">
        <f t="shared" si="66"/>
        <v>0</v>
      </c>
      <c r="BI61" s="71">
        <v>0</v>
      </c>
      <c r="BJ61" s="55">
        <f t="shared" si="39"/>
        <v>0</v>
      </c>
      <c r="BK61" s="55">
        <f t="shared" si="67"/>
        <v>25501.789999999954</v>
      </c>
      <c r="BL61" s="55">
        <f t="shared" si="68"/>
        <v>984.92</v>
      </c>
      <c r="BM61" s="55">
        <f t="shared" si="42"/>
        <v>0</v>
      </c>
    </row>
    <row r="62" spans="1:65" x14ac:dyDescent="0.25">
      <c r="A62" s="70">
        <v>45231</v>
      </c>
      <c r="B62" s="55">
        <f t="shared" si="75"/>
        <v>727.41</v>
      </c>
      <c r="C62" s="55">
        <f t="shared" si="76"/>
        <v>2144.7799999999997</v>
      </c>
      <c r="D62" s="55">
        <f t="shared" si="77"/>
        <v>0</v>
      </c>
      <c r="E62" s="55">
        <f t="shared" si="78"/>
        <v>0</v>
      </c>
      <c r="F62" s="55">
        <f t="shared" si="79"/>
        <v>0</v>
      </c>
      <c r="G62" s="55">
        <f t="shared" si="74"/>
        <v>2872.1899999999996</v>
      </c>
      <c r="J62">
        <f t="shared" si="48"/>
        <v>4</v>
      </c>
      <c r="K62" s="70">
        <v>45231</v>
      </c>
      <c r="L62" s="55">
        <f t="shared" si="2"/>
        <v>139495.04000000001</v>
      </c>
      <c r="M62" s="55">
        <f t="shared" si="3"/>
        <v>727.41</v>
      </c>
      <c r="N62" s="55">
        <f t="shared" si="4"/>
        <v>247.30999999999995</v>
      </c>
      <c r="O62" s="55">
        <f t="shared" si="5"/>
        <v>480.1</v>
      </c>
      <c r="P62" s="71">
        <v>0</v>
      </c>
      <c r="Q62" s="55">
        <f t="shared" si="6"/>
        <v>727.41</v>
      </c>
      <c r="R62" s="55">
        <f t="shared" si="7"/>
        <v>10752.270000000002</v>
      </c>
      <c r="S62" s="55">
        <f t="shared" si="8"/>
        <v>23436.000000000007</v>
      </c>
      <c r="T62" s="55">
        <f t="shared" si="9"/>
        <v>139247.73000000001</v>
      </c>
      <c r="U62" s="57">
        <f t="shared" si="10"/>
        <v>40752.270000000004</v>
      </c>
      <c r="W62" s="70">
        <v>45413</v>
      </c>
      <c r="X62" s="55">
        <f t="shared" si="80"/>
        <v>19657.357741334214</v>
      </c>
      <c r="Y62" s="55">
        <f t="shared" si="81"/>
        <v>544.78</v>
      </c>
      <c r="Z62" s="55">
        <f t="shared" si="13"/>
        <v>457.79999999999995</v>
      </c>
      <c r="AA62" s="55">
        <f t="shared" si="82"/>
        <v>86.98</v>
      </c>
      <c r="AB62" s="71">
        <v>1600</v>
      </c>
      <c r="AC62" s="55">
        <f t="shared" si="15"/>
        <v>2144.7799999999997</v>
      </c>
      <c r="AD62" s="55">
        <f t="shared" si="83"/>
        <v>33036.97</v>
      </c>
      <c r="AE62" s="55">
        <f t="shared" si="84"/>
        <v>8567.6899999999987</v>
      </c>
      <c r="AF62" s="55">
        <f t="shared" si="18"/>
        <v>17599.557741334214</v>
      </c>
      <c r="AH62" s="70">
        <v>45413</v>
      </c>
      <c r="AI62" s="55">
        <f t="shared" si="54"/>
        <v>0</v>
      </c>
      <c r="AJ62" s="55">
        <f t="shared" si="55"/>
        <v>186.04</v>
      </c>
      <c r="AK62" s="55">
        <f t="shared" si="21"/>
        <v>186.04</v>
      </c>
      <c r="AL62" s="55">
        <f t="shared" si="56"/>
        <v>0</v>
      </c>
      <c r="AM62" s="71">
        <v>0</v>
      </c>
      <c r="AN62" s="55">
        <f t="shared" si="23"/>
        <v>0</v>
      </c>
      <c r="AO62" s="55">
        <f t="shared" si="57"/>
        <v>18547.490000000005</v>
      </c>
      <c r="AP62" s="55">
        <f t="shared" si="58"/>
        <v>2496.39</v>
      </c>
      <c r="AQ62" s="55">
        <f t="shared" si="26"/>
        <v>0</v>
      </c>
      <c r="AS62" s="70">
        <v>45413</v>
      </c>
      <c r="AT62" s="55">
        <f t="shared" si="59"/>
        <v>0</v>
      </c>
      <c r="AU62" s="55">
        <f t="shared" si="60"/>
        <v>204.6</v>
      </c>
      <c r="AV62" s="55">
        <f t="shared" si="29"/>
        <v>204.6</v>
      </c>
      <c r="AW62" s="55">
        <f t="shared" si="61"/>
        <v>0</v>
      </c>
      <c r="AX62" s="71">
        <v>0</v>
      </c>
      <c r="AY62" s="55">
        <f t="shared" si="31"/>
        <v>0</v>
      </c>
      <c r="AZ62" s="55">
        <f t="shared" si="62"/>
        <v>21497.329999999976</v>
      </c>
      <c r="BA62" s="55">
        <f t="shared" si="63"/>
        <v>2100.6699999999996</v>
      </c>
      <c r="BB62" s="55">
        <f t="shared" si="34"/>
        <v>0</v>
      </c>
      <c r="BD62" s="70">
        <v>45413</v>
      </c>
      <c r="BE62" s="55">
        <f t="shared" si="64"/>
        <v>0</v>
      </c>
      <c r="BF62" s="55">
        <f t="shared" si="65"/>
        <v>221.51</v>
      </c>
      <c r="BG62" s="55">
        <f t="shared" si="37"/>
        <v>221.51</v>
      </c>
      <c r="BH62" s="55">
        <f t="shared" si="66"/>
        <v>0</v>
      </c>
      <c r="BI62" s="71">
        <v>0</v>
      </c>
      <c r="BJ62" s="55">
        <f t="shared" si="39"/>
        <v>0</v>
      </c>
      <c r="BK62" s="55">
        <f t="shared" si="67"/>
        <v>25723.299999999952</v>
      </c>
      <c r="BL62" s="55">
        <f t="shared" si="68"/>
        <v>984.92</v>
      </c>
      <c r="BM62" s="55">
        <f t="shared" si="42"/>
        <v>0</v>
      </c>
    </row>
    <row r="63" spans="1:65" x14ac:dyDescent="0.25">
      <c r="A63" s="70">
        <v>45261</v>
      </c>
      <c r="B63" s="55">
        <f t="shared" si="75"/>
        <v>727.41</v>
      </c>
      <c r="C63" s="55">
        <f t="shared" si="76"/>
        <v>2144.7799999999997</v>
      </c>
      <c r="D63" s="55">
        <f t="shared" si="77"/>
        <v>0</v>
      </c>
      <c r="E63" s="55">
        <f t="shared" si="78"/>
        <v>0</v>
      </c>
      <c r="F63" s="55">
        <f t="shared" si="79"/>
        <v>0</v>
      </c>
      <c r="G63" s="55">
        <f t="shared" si="74"/>
        <v>2872.1899999999996</v>
      </c>
      <c r="J63">
        <f t="shared" si="48"/>
        <v>4</v>
      </c>
      <c r="K63" s="70">
        <v>45261</v>
      </c>
      <c r="L63" s="55">
        <f t="shared" si="2"/>
        <v>139247.73000000001</v>
      </c>
      <c r="M63" s="55">
        <f t="shared" si="3"/>
        <v>727.41</v>
      </c>
      <c r="N63" s="55">
        <f t="shared" si="4"/>
        <v>248.16999999999996</v>
      </c>
      <c r="O63" s="55">
        <f t="shared" si="5"/>
        <v>479.24</v>
      </c>
      <c r="P63" s="71">
        <v>0</v>
      </c>
      <c r="Q63" s="55">
        <f t="shared" si="6"/>
        <v>727.41</v>
      </c>
      <c r="R63" s="55">
        <f t="shared" si="7"/>
        <v>11000.440000000002</v>
      </c>
      <c r="S63" s="55">
        <f t="shared" si="8"/>
        <v>23915.240000000009</v>
      </c>
      <c r="T63" s="55">
        <f t="shared" si="9"/>
        <v>138999.56</v>
      </c>
      <c r="U63" s="57">
        <f t="shared" si="10"/>
        <v>41000.44</v>
      </c>
      <c r="W63" s="70">
        <v>45444</v>
      </c>
      <c r="X63" s="55">
        <f t="shared" si="80"/>
        <v>17599.557741334214</v>
      </c>
      <c r="Y63" s="55">
        <f t="shared" si="81"/>
        <v>544.78</v>
      </c>
      <c r="Z63" s="55">
        <f t="shared" si="13"/>
        <v>466.9</v>
      </c>
      <c r="AA63" s="55">
        <f t="shared" si="82"/>
        <v>77.88</v>
      </c>
      <c r="AB63" s="71">
        <v>1600</v>
      </c>
      <c r="AC63" s="55">
        <f t="shared" si="15"/>
        <v>2144.7799999999997</v>
      </c>
      <c r="AD63" s="55">
        <f t="shared" si="83"/>
        <v>35103.870000000003</v>
      </c>
      <c r="AE63" s="55">
        <f t="shared" si="84"/>
        <v>8645.5699999999979</v>
      </c>
      <c r="AF63" s="55">
        <f t="shared" si="18"/>
        <v>15532.657741334213</v>
      </c>
      <c r="AH63" s="70">
        <v>45444</v>
      </c>
      <c r="AI63" s="55">
        <f t="shared" si="54"/>
        <v>0</v>
      </c>
      <c r="AJ63" s="55">
        <f t="shared" si="55"/>
        <v>186.04</v>
      </c>
      <c r="AK63" s="55">
        <f t="shared" si="21"/>
        <v>186.04</v>
      </c>
      <c r="AL63" s="55">
        <f t="shared" si="56"/>
        <v>0</v>
      </c>
      <c r="AM63" s="71">
        <v>0</v>
      </c>
      <c r="AN63" s="55">
        <f t="shared" si="23"/>
        <v>0</v>
      </c>
      <c r="AO63" s="55">
        <f t="shared" si="57"/>
        <v>18733.530000000006</v>
      </c>
      <c r="AP63" s="55">
        <f t="shared" si="58"/>
        <v>2496.39</v>
      </c>
      <c r="AQ63" s="55">
        <f t="shared" si="26"/>
        <v>0</v>
      </c>
      <c r="AS63" s="70">
        <v>45444</v>
      </c>
      <c r="AT63" s="55">
        <f t="shared" si="59"/>
        <v>0</v>
      </c>
      <c r="AU63" s="55">
        <f t="shared" si="60"/>
        <v>204.6</v>
      </c>
      <c r="AV63" s="55">
        <f t="shared" si="29"/>
        <v>204.6</v>
      </c>
      <c r="AW63" s="55">
        <f t="shared" si="61"/>
        <v>0</v>
      </c>
      <c r="AX63" s="71">
        <v>0</v>
      </c>
      <c r="AY63" s="55">
        <f t="shared" si="31"/>
        <v>0</v>
      </c>
      <c r="AZ63" s="55">
        <f t="shared" si="62"/>
        <v>21701.929999999975</v>
      </c>
      <c r="BA63" s="55">
        <f t="shared" si="63"/>
        <v>2100.6699999999996</v>
      </c>
      <c r="BB63" s="55">
        <f t="shared" si="34"/>
        <v>0</v>
      </c>
      <c r="BD63" s="70">
        <v>45444</v>
      </c>
      <c r="BE63" s="55">
        <f t="shared" si="64"/>
        <v>0</v>
      </c>
      <c r="BF63" s="55">
        <f t="shared" si="65"/>
        <v>221.51</v>
      </c>
      <c r="BG63" s="55">
        <f t="shared" si="37"/>
        <v>221.51</v>
      </c>
      <c r="BH63" s="55">
        <f t="shared" si="66"/>
        <v>0</v>
      </c>
      <c r="BI63" s="71">
        <v>0</v>
      </c>
      <c r="BJ63" s="55">
        <f t="shared" si="39"/>
        <v>0</v>
      </c>
      <c r="BK63" s="55">
        <f t="shared" si="67"/>
        <v>25944.80999999995</v>
      </c>
      <c r="BL63" s="55">
        <f t="shared" si="68"/>
        <v>984.92</v>
      </c>
      <c r="BM63" s="55">
        <f t="shared" si="42"/>
        <v>0</v>
      </c>
    </row>
    <row r="64" spans="1:65" x14ac:dyDescent="0.25">
      <c r="A64" s="70">
        <v>45292</v>
      </c>
      <c r="B64" s="55">
        <f t="shared" si="75"/>
        <v>727.41</v>
      </c>
      <c r="C64" s="55">
        <f t="shared" si="76"/>
        <v>2144.7799999999997</v>
      </c>
      <c r="D64" s="55">
        <f t="shared" si="77"/>
        <v>0</v>
      </c>
      <c r="E64" s="55">
        <f t="shared" si="78"/>
        <v>0</v>
      </c>
      <c r="F64" s="55">
        <f t="shared" si="79"/>
        <v>0</v>
      </c>
      <c r="G64" s="55">
        <f t="shared" si="74"/>
        <v>2872.1899999999996</v>
      </c>
      <c r="J64">
        <f t="shared" si="48"/>
        <v>5</v>
      </c>
      <c r="K64" s="70">
        <v>45292</v>
      </c>
      <c r="L64" s="55">
        <f t="shared" si="2"/>
        <v>138999.56</v>
      </c>
      <c r="M64" s="55">
        <f t="shared" si="3"/>
        <v>727.41</v>
      </c>
      <c r="N64" s="55">
        <f t="shared" si="4"/>
        <v>249.01999999999998</v>
      </c>
      <c r="O64" s="55">
        <f t="shared" si="5"/>
        <v>478.39</v>
      </c>
      <c r="P64" s="71">
        <v>0</v>
      </c>
      <c r="Q64" s="55">
        <f t="shared" si="6"/>
        <v>727.41</v>
      </c>
      <c r="R64" s="55">
        <f t="shared" si="7"/>
        <v>11249.460000000003</v>
      </c>
      <c r="S64" s="55">
        <f t="shared" si="8"/>
        <v>24393.630000000008</v>
      </c>
      <c r="T64" s="55">
        <f t="shared" si="9"/>
        <v>138750.54</v>
      </c>
      <c r="U64" s="57">
        <f t="shared" si="10"/>
        <v>41249.460000000006</v>
      </c>
      <c r="W64" s="70">
        <v>45474</v>
      </c>
      <c r="X64" s="55">
        <f t="shared" si="80"/>
        <v>15532.657741334213</v>
      </c>
      <c r="Y64" s="55">
        <f t="shared" si="81"/>
        <v>544.78</v>
      </c>
      <c r="Z64" s="55">
        <f t="shared" si="13"/>
        <v>476.04999999999995</v>
      </c>
      <c r="AA64" s="55">
        <f t="shared" si="82"/>
        <v>68.73</v>
      </c>
      <c r="AB64" s="71">
        <v>1600</v>
      </c>
      <c r="AC64" s="55">
        <f t="shared" si="15"/>
        <v>2144.7799999999997</v>
      </c>
      <c r="AD64" s="55">
        <f t="shared" si="83"/>
        <v>37179.920000000006</v>
      </c>
      <c r="AE64" s="55">
        <f t="shared" si="84"/>
        <v>8714.2999999999975</v>
      </c>
      <c r="AF64" s="55">
        <f t="shared" si="18"/>
        <v>13456.607741334214</v>
      </c>
      <c r="AH64" s="70">
        <v>45474</v>
      </c>
      <c r="AI64" s="55">
        <f t="shared" ref="AI64:AI127" si="85">AQ63</f>
        <v>0</v>
      </c>
      <c r="AJ64" s="55">
        <f t="shared" ref="AJ64:AJ127" si="86">AH$11</f>
        <v>186.04</v>
      </c>
      <c r="AK64" s="55">
        <f t="shared" si="21"/>
        <v>186.04</v>
      </c>
      <c r="AL64" s="55">
        <f t="shared" ref="AL64:AL127" si="87">ROUND(AI64*AH$8/12,2)</f>
        <v>0</v>
      </c>
      <c r="AM64" s="71">
        <v>0</v>
      </c>
      <c r="AN64" s="55">
        <f t="shared" si="23"/>
        <v>0</v>
      </c>
      <c r="AO64" s="55">
        <f t="shared" ref="AO64:AO127" si="88">AK64+AM64+AO63</f>
        <v>18919.570000000007</v>
      </c>
      <c r="AP64" s="55">
        <f t="shared" ref="AP64:AP127" si="89">AL64+AP63</f>
        <v>2496.39</v>
      </c>
      <c r="AQ64" s="55">
        <f t="shared" si="26"/>
        <v>0</v>
      </c>
      <c r="AS64" s="70">
        <v>45474</v>
      </c>
      <c r="AT64" s="55">
        <f t="shared" ref="AT64:AT127" si="90">BB63</f>
        <v>0</v>
      </c>
      <c r="AU64" s="55">
        <f t="shared" ref="AU64:AU127" si="91">AS$11</f>
        <v>204.6</v>
      </c>
      <c r="AV64" s="55">
        <f t="shared" si="29"/>
        <v>204.6</v>
      </c>
      <c r="AW64" s="55">
        <f t="shared" ref="AW64:AW127" si="92">ROUND(AT64*AS$8/12,2)</f>
        <v>0</v>
      </c>
      <c r="AX64" s="71">
        <v>0</v>
      </c>
      <c r="AY64" s="55">
        <f t="shared" si="31"/>
        <v>0</v>
      </c>
      <c r="AZ64" s="55">
        <f t="shared" ref="AZ64:AZ127" si="93">AV64+AX64+AZ63</f>
        <v>21906.529999999973</v>
      </c>
      <c r="BA64" s="55">
        <f t="shared" ref="BA64:BA127" si="94">AW64+BA63</f>
        <v>2100.6699999999996</v>
      </c>
      <c r="BB64" s="55">
        <f t="shared" si="34"/>
        <v>0</v>
      </c>
      <c r="BD64" s="70">
        <v>45474</v>
      </c>
      <c r="BE64" s="55">
        <f t="shared" ref="BE64:BE127" si="95">BM63</f>
        <v>0</v>
      </c>
      <c r="BF64" s="55">
        <f t="shared" ref="BF64:BF127" si="96">BD$11</f>
        <v>221.51</v>
      </c>
      <c r="BG64" s="55">
        <f t="shared" si="37"/>
        <v>221.51</v>
      </c>
      <c r="BH64" s="55">
        <f t="shared" ref="BH64:BH127" si="97">ROUND(BE64*BD$8/12,2)</f>
        <v>0</v>
      </c>
      <c r="BI64" s="71">
        <v>0</v>
      </c>
      <c r="BJ64" s="55">
        <f t="shared" si="39"/>
        <v>0</v>
      </c>
      <c r="BK64" s="55">
        <f t="shared" ref="BK64:BK127" si="98">BG64+BI64+BK63</f>
        <v>26166.319999999949</v>
      </c>
      <c r="BL64" s="55">
        <f t="shared" ref="BL64:BL127" si="99">BH64+BL63</f>
        <v>984.92</v>
      </c>
      <c r="BM64" s="55">
        <f t="shared" si="42"/>
        <v>0</v>
      </c>
    </row>
    <row r="65" spans="1:65" x14ac:dyDescent="0.25">
      <c r="A65" s="70">
        <v>45323</v>
      </c>
      <c r="B65" s="55">
        <f t="shared" si="75"/>
        <v>727.41</v>
      </c>
      <c r="C65" s="55">
        <f t="shared" si="76"/>
        <v>2144.7799999999997</v>
      </c>
      <c r="D65" s="55">
        <f t="shared" si="77"/>
        <v>0</v>
      </c>
      <c r="E65" s="55">
        <f t="shared" si="78"/>
        <v>0</v>
      </c>
      <c r="F65" s="55">
        <f t="shared" si="79"/>
        <v>0</v>
      </c>
      <c r="G65" s="55">
        <f t="shared" si="74"/>
        <v>2872.1899999999996</v>
      </c>
      <c r="J65">
        <f t="shared" si="48"/>
        <v>5</v>
      </c>
      <c r="K65" s="70">
        <v>45323</v>
      </c>
      <c r="L65" s="55">
        <f t="shared" si="2"/>
        <v>138750.54</v>
      </c>
      <c r="M65" s="55">
        <f t="shared" si="3"/>
        <v>727.41</v>
      </c>
      <c r="N65" s="55">
        <f t="shared" si="4"/>
        <v>249.88</v>
      </c>
      <c r="O65" s="55">
        <f t="shared" si="5"/>
        <v>477.53</v>
      </c>
      <c r="P65" s="71">
        <v>0</v>
      </c>
      <c r="Q65" s="55">
        <f t="shared" si="6"/>
        <v>727.41</v>
      </c>
      <c r="R65" s="55">
        <f t="shared" si="7"/>
        <v>11499.340000000002</v>
      </c>
      <c r="S65" s="55">
        <f t="shared" si="8"/>
        <v>24871.160000000007</v>
      </c>
      <c r="T65" s="55">
        <f t="shared" si="9"/>
        <v>138500.66</v>
      </c>
      <c r="U65" s="57">
        <f t="shared" si="10"/>
        <v>41499.340000000004</v>
      </c>
      <c r="W65" s="70">
        <v>45505</v>
      </c>
      <c r="X65" s="55">
        <f t="shared" si="80"/>
        <v>13456.607741334214</v>
      </c>
      <c r="Y65" s="55">
        <f t="shared" si="81"/>
        <v>544.78</v>
      </c>
      <c r="Z65" s="55">
        <f t="shared" si="13"/>
        <v>485.22999999999996</v>
      </c>
      <c r="AA65" s="55">
        <f t="shared" si="82"/>
        <v>59.55</v>
      </c>
      <c r="AB65" s="71">
        <v>1600</v>
      </c>
      <c r="AC65" s="55">
        <f t="shared" si="15"/>
        <v>2144.7799999999997</v>
      </c>
      <c r="AD65" s="55">
        <f t="shared" si="83"/>
        <v>39265.150000000009</v>
      </c>
      <c r="AE65" s="55">
        <f t="shared" si="84"/>
        <v>8773.8499999999967</v>
      </c>
      <c r="AF65" s="55">
        <f t="shared" si="18"/>
        <v>11371.377741334214</v>
      </c>
      <c r="AH65" s="70">
        <v>45505</v>
      </c>
      <c r="AI65" s="55">
        <f t="shared" si="85"/>
        <v>0</v>
      </c>
      <c r="AJ65" s="55">
        <f t="shared" si="86"/>
        <v>186.04</v>
      </c>
      <c r="AK65" s="55">
        <f t="shared" si="21"/>
        <v>186.04</v>
      </c>
      <c r="AL65" s="55">
        <f t="shared" si="87"/>
        <v>0</v>
      </c>
      <c r="AM65" s="71">
        <v>0</v>
      </c>
      <c r="AN65" s="55">
        <f t="shared" si="23"/>
        <v>0</v>
      </c>
      <c r="AO65" s="55">
        <f t="shared" si="88"/>
        <v>19105.610000000008</v>
      </c>
      <c r="AP65" s="55">
        <f t="shared" si="89"/>
        <v>2496.39</v>
      </c>
      <c r="AQ65" s="55">
        <f t="shared" si="26"/>
        <v>0</v>
      </c>
      <c r="AS65" s="70">
        <v>45505</v>
      </c>
      <c r="AT65" s="55">
        <f t="shared" si="90"/>
        <v>0</v>
      </c>
      <c r="AU65" s="55">
        <f t="shared" si="91"/>
        <v>204.6</v>
      </c>
      <c r="AV65" s="55">
        <f t="shared" si="29"/>
        <v>204.6</v>
      </c>
      <c r="AW65" s="55">
        <f t="shared" si="92"/>
        <v>0</v>
      </c>
      <c r="AX65" s="71">
        <v>0</v>
      </c>
      <c r="AY65" s="55">
        <f t="shared" si="31"/>
        <v>0</v>
      </c>
      <c r="AZ65" s="55">
        <f t="shared" si="93"/>
        <v>22111.129999999972</v>
      </c>
      <c r="BA65" s="55">
        <f t="shared" si="94"/>
        <v>2100.6699999999996</v>
      </c>
      <c r="BB65" s="55">
        <f t="shared" si="34"/>
        <v>0</v>
      </c>
      <c r="BD65" s="70">
        <v>45505</v>
      </c>
      <c r="BE65" s="55">
        <f t="shared" si="95"/>
        <v>0</v>
      </c>
      <c r="BF65" s="55">
        <f t="shared" si="96"/>
        <v>221.51</v>
      </c>
      <c r="BG65" s="55">
        <f t="shared" si="37"/>
        <v>221.51</v>
      </c>
      <c r="BH65" s="55">
        <f t="shared" si="97"/>
        <v>0</v>
      </c>
      <c r="BI65" s="71">
        <v>0</v>
      </c>
      <c r="BJ65" s="55">
        <f t="shared" si="39"/>
        <v>0</v>
      </c>
      <c r="BK65" s="55">
        <f t="shared" si="98"/>
        <v>26387.829999999947</v>
      </c>
      <c r="BL65" s="55">
        <f t="shared" si="99"/>
        <v>984.92</v>
      </c>
      <c r="BM65" s="55">
        <f t="shared" si="42"/>
        <v>0</v>
      </c>
    </row>
    <row r="66" spans="1:65" x14ac:dyDescent="0.25">
      <c r="A66" s="70">
        <v>45352</v>
      </c>
      <c r="B66" s="55">
        <f t="shared" si="75"/>
        <v>727.41</v>
      </c>
      <c r="C66" s="55">
        <f t="shared" si="76"/>
        <v>2144.7799999999997</v>
      </c>
      <c r="D66" s="55">
        <f t="shared" si="77"/>
        <v>0</v>
      </c>
      <c r="E66" s="55">
        <f t="shared" si="78"/>
        <v>0</v>
      </c>
      <c r="F66" s="55">
        <f t="shared" si="79"/>
        <v>0</v>
      </c>
      <c r="G66" s="55">
        <f t="shared" si="74"/>
        <v>2872.1899999999996</v>
      </c>
      <c r="J66">
        <f t="shared" si="48"/>
        <v>5</v>
      </c>
      <c r="K66" s="70">
        <v>45352</v>
      </c>
      <c r="L66" s="55">
        <f t="shared" si="2"/>
        <v>138500.66</v>
      </c>
      <c r="M66" s="55">
        <f t="shared" si="3"/>
        <v>727.41</v>
      </c>
      <c r="N66" s="55">
        <f t="shared" si="4"/>
        <v>250.73999999999995</v>
      </c>
      <c r="O66" s="55">
        <f t="shared" si="5"/>
        <v>476.67</v>
      </c>
      <c r="P66" s="71">
        <v>0</v>
      </c>
      <c r="Q66" s="55">
        <f t="shared" si="6"/>
        <v>727.41</v>
      </c>
      <c r="R66" s="55">
        <f t="shared" si="7"/>
        <v>11750.080000000002</v>
      </c>
      <c r="S66" s="55">
        <f t="shared" si="8"/>
        <v>25347.830000000005</v>
      </c>
      <c r="T66" s="55">
        <f t="shared" si="9"/>
        <v>138249.92000000001</v>
      </c>
      <c r="U66" s="57">
        <f t="shared" si="10"/>
        <v>41750.080000000002</v>
      </c>
      <c r="W66" s="70">
        <v>45536</v>
      </c>
      <c r="X66" s="55">
        <f t="shared" ref="X66:X129" si="100">AF65</f>
        <v>11371.377741334214</v>
      </c>
      <c r="Y66" s="55">
        <f t="shared" ref="Y66:Y129" si="101">W$11</f>
        <v>544.78</v>
      </c>
      <c r="Z66" s="55">
        <f t="shared" si="13"/>
        <v>494.46</v>
      </c>
      <c r="AA66" s="55">
        <f t="shared" ref="AA66:AA129" si="102">ROUND(X66*W$8/12,2)</f>
        <v>50.32</v>
      </c>
      <c r="AB66" s="71">
        <v>1600</v>
      </c>
      <c r="AC66" s="55">
        <f t="shared" si="15"/>
        <v>2144.7799999999997</v>
      </c>
      <c r="AD66" s="55">
        <f t="shared" ref="AD66:AD129" si="103">Z66+AB66+AD65</f>
        <v>41359.610000000008</v>
      </c>
      <c r="AE66" s="55">
        <f t="shared" ref="AE66:AE129" si="104">AA66+AE65</f>
        <v>8824.1699999999964</v>
      </c>
      <c r="AF66" s="55">
        <f t="shared" si="18"/>
        <v>9276.917741334215</v>
      </c>
      <c r="AH66" s="70">
        <v>45536</v>
      </c>
      <c r="AI66" s="55">
        <f t="shared" si="85"/>
        <v>0</v>
      </c>
      <c r="AJ66" s="55">
        <f t="shared" si="86"/>
        <v>186.04</v>
      </c>
      <c r="AK66" s="55">
        <f t="shared" si="21"/>
        <v>186.04</v>
      </c>
      <c r="AL66" s="55">
        <f t="shared" si="87"/>
        <v>0</v>
      </c>
      <c r="AM66" s="71">
        <v>0</v>
      </c>
      <c r="AN66" s="55">
        <f t="shared" si="23"/>
        <v>0</v>
      </c>
      <c r="AO66" s="55">
        <f t="shared" si="88"/>
        <v>19291.650000000009</v>
      </c>
      <c r="AP66" s="55">
        <f t="shared" si="89"/>
        <v>2496.39</v>
      </c>
      <c r="AQ66" s="55">
        <f t="shared" si="26"/>
        <v>0</v>
      </c>
      <c r="AS66" s="70">
        <v>45536</v>
      </c>
      <c r="AT66" s="55">
        <f t="shared" si="90"/>
        <v>0</v>
      </c>
      <c r="AU66" s="55">
        <f t="shared" si="91"/>
        <v>204.6</v>
      </c>
      <c r="AV66" s="55">
        <f t="shared" si="29"/>
        <v>204.6</v>
      </c>
      <c r="AW66" s="55">
        <f t="shared" si="92"/>
        <v>0</v>
      </c>
      <c r="AX66" s="71">
        <v>0</v>
      </c>
      <c r="AY66" s="55">
        <f t="shared" si="31"/>
        <v>0</v>
      </c>
      <c r="AZ66" s="55">
        <f t="shared" si="93"/>
        <v>22315.72999999997</v>
      </c>
      <c r="BA66" s="55">
        <f t="shared" si="94"/>
        <v>2100.6699999999996</v>
      </c>
      <c r="BB66" s="55">
        <f t="shared" si="34"/>
        <v>0</v>
      </c>
      <c r="BD66" s="70">
        <v>45536</v>
      </c>
      <c r="BE66" s="55">
        <f t="shared" si="95"/>
        <v>0</v>
      </c>
      <c r="BF66" s="55">
        <f t="shared" si="96"/>
        <v>221.51</v>
      </c>
      <c r="BG66" s="55">
        <f t="shared" si="37"/>
        <v>221.51</v>
      </c>
      <c r="BH66" s="55">
        <f t="shared" si="97"/>
        <v>0</v>
      </c>
      <c r="BI66" s="71">
        <v>0</v>
      </c>
      <c r="BJ66" s="55">
        <f t="shared" si="39"/>
        <v>0</v>
      </c>
      <c r="BK66" s="55">
        <f t="shared" si="98"/>
        <v>26609.339999999946</v>
      </c>
      <c r="BL66" s="55">
        <f t="shared" si="99"/>
        <v>984.92</v>
      </c>
      <c r="BM66" s="55">
        <f t="shared" si="42"/>
        <v>0</v>
      </c>
    </row>
    <row r="67" spans="1:65" x14ac:dyDescent="0.25">
      <c r="A67" s="70">
        <v>45383</v>
      </c>
      <c r="B67" s="55">
        <f t="shared" ref="B67:B81" si="105">Q67</f>
        <v>727.41</v>
      </c>
      <c r="C67" s="55">
        <f t="shared" si="76"/>
        <v>2144.7799999999997</v>
      </c>
      <c r="D67" s="55">
        <f t="shared" si="77"/>
        <v>0</v>
      </c>
      <c r="E67" s="55">
        <f t="shared" si="78"/>
        <v>0</v>
      </c>
      <c r="F67" s="55">
        <f t="shared" si="79"/>
        <v>0</v>
      </c>
      <c r="G67" s="55">
        <f t="shared" si="74"/>
        <v>2872.1899999999996</v>
      </c>
      <c r="J67">
        <f t="shared" si="48"/>
        <v>5</v>
      </c>
      <c r="K67" s="70">
        <v>45383</v>
      </c>
      <c r="L67" s="55">
        <f t="shared" si="2"/>
        <v>138249.92000000001</v>
      </c>
      <c r="M67" s="55">
        <f t="shared" si="3"/>
        <v>727.41</v>
      </c>
      <c r="N67" s="55">
        <f t="shared" si="4"/>
        <v>251.59999999999997</v>
      </c>
      <c r="O67" s="55">
        <f t="shared" si="5"/>
        <v>475.81</v>
      </c>
      <c r="P67" s="71">
        <v>0</v>
      </c>
      <c r="Q67" s="55">
        <f t="shared" si="6"/>
        <v>727.41</v>
      </c>
      <c r="R67" s="55">
        <f t="shared" si="7"/>
        <v>12001.680000000002</v>
      </c>
      <c r="S67" s="55">
        <f t="shared" si="8"/>
        <v>25823.640000000007</v>
      </c>
      <c r="T67" s="55">
        <f t="shared" si="9"/>
        <v>137998.32</v>
      </c>
      <c r="U67" s="57">
        <f t="shared" si="10"/>
        <v>42001.68</v>
      </c>
      <c r="W67" s="70">
        <v>45566</v>
      </c>
      <c r="X67" s="55">
        <f t="shared" si="100"/>
        <v>9276.917741334215</v>
      </c>
      <c r="Y67" s="55">
        <f t="shared" si="101"/>
        <v>544.78</v>
      </c>
      <c r="Z67" s="55">
        <f t="shared" si="13"/>
        <v>503.72999999999996</v>
      </c>
      <c r="AA67" s="55">
        <f t="shared" si="102"/>
        <v>41.05</v>
      </c>
      <c r="AB67" s="71">
        <v>1600</v>
      </c>
      <c r="AC67" s="55">
        <f t="shared" si="15"/>
        <v>2144.7799999999997</v>
      </c>
      <c r="AD67" s="55">
        <f t="shared" si="103"/>
        <v>43463.340000000011</v>
      </c>
      <c r="AE67" s="55">
        <f t="shared" si="104"/>
        <v>8865.2199999999957</v>
      </c>
      <c r="AF67" s="55">
        <f t="shared" si="18"/>
        <v>7173.1877413342154</v>
      </c>
      <c r="AH67" s="70">
        <v>45566</v>
      </c>
      <c r="AI67" s="55">
        <f t="shared" si="85"/>
        <v>0</v>
      </c>
      <c r="AJ67" s="55">
        <f t="shared" si="86"/>
        <v>186.04</v>
      </c>
      <c r="AK67" s="55">
        <f t="shared" si="21"/>
        <v>186.04</v>
      </c>
      <c r="AL67" s="55">
        <f t="shared" si="87"/>
        <v>0</v>
      </c>
      <c r="AM67" s="71">
        <v>0</v>
      </c>
      <c r="AN67" s="55">
        <f t="shared" si="23"/>
        <v>0</v>
      </c>
      <c r="AO67" s="55">
        <f t="shared" si="88"/>
        <v>19477.69000000001</v>
      </c>
      <c r="AP67" s="55">
        <f t="shared" si="89"/>
        <v>2496.39</v>
      </c>
      <c r="AQ67" s="55">
        <f t="shared" si="26"/>
        <v>0</v>
      </c>
      <c r="AS67" s="70">
        <v>45566</v>
      </c>
      <c r="AT67" s="55">
        <f t="shared" si="90"/>
        <v>0</v>
      </c>
      <c r="AU67" s="55">
        <f t="shared" si="91"/>
        <v>204.6</v>
      </c>
      <c r="AV67" s="55">
        <f t="shared" si="29"/>
        <v>204.6</v>
      </c>
      <c r="AW67" s="55">
        <f t="shared" si="92"/>
        <v>0</v>
      </c>
      <c r="AX67" s="71">
        <v>0</v>
      </c>
      <c r="AY67" s="55">
        <f t="shared" si="31"/>
        <v>0</v>
      </c>
      <c r="AZ67" s="55">
        <f t="shared" si="93"/>
        <v>22520.329999999969</v>
      </c>
      <c r="BA67" s="55">
        <f t="shared" si="94"/>
        <v>2100.6699999999996</v>
      </c>
      <c r="BB67" s="55">
        <f t="shared" si="34"/>
        <v>0</v>
      </c>
      <c r="BD67" s="70">
        <v>45566</v>
      </c>
      <c r="BE67" s="55">
        <f t="shared" si="95"/>
        <v>0</v>
      </c>
      <c r="BF67" s="55">
        <f t="shared" si="96"/>
        <v>221.51</v>
      </c>
      <c r="BG67" s="55">
        <f t="shared" si="37"/>
        <v>221.51</v>
      </c>
      <c r="BH67" s="55">
        <f t="shared" si="97"/>
        <v>0</v>
      </c>
      <c r="BI67" s="71">
        <v>0</v>
      </c>
      <c r="BJ67" s="55">
        <f t="shared" si="39"/>
        <v>0</v>
      </c>
      <c r="BK67" s="55">
        <f t="shared" si="98"/>
        <v>26830.849999999944</v>
      </c>
      <c r="BL67" s="55">
        <f t="shared" si="99"/>
        <v>984.92</v>
      </c>
      <c r="BM67" s="55">
        <f t="shared" si="42"/>
        <v>0</v>
      </c>
    </row>
    <row r="68" spans="1:65" x14ac:dyDescent="0.25">
      <c r="A68" s="70">
        <v>45413</v>
      </c>
      <c r="B68" s="55">
        <f t="shared" si="105"/>
        <v>727.41</v>
      </c>
      <c r="C68" s="55">
        <f t="shared" si="76"/>
        <v>2144.7799999999997</v>
      </c>
      <c r="D68" s="55">
        <f t="shared" si="77"/>
        <v>0</v>
      </c>
      <c r="E68" s="55">
        <f t="shared" si="78"/>
        <v>0</v>
      </c>
      <c r="F68" s="55">
        <f t="shared" si="79"/>
        <v>0</v>
      </c>
      <c r="G68" s="55">
        <f t="shared" si="74"/>
        <v>2872.1899999999996</v>
      </c>
      <c r="J68">
        <f t="shared" si="48"/>
        <v>5</v>
      </c>
      <c r="K68" s="70">
        <v>45413</v>
      </c>
      <c r="L68" s="55">
        <f t="shared" si="2"/>
        <v>137998.32</v>
      </c>
      <c r="M68" s="55">
        <f t="shared" si="3"/>
        <v>727.41</v>
      </c>
      <c r="N68" s="55">
        <f t="shared" si="4"/>
        <v>252.46999999999997</v>
      </c>
      <c r="O68" s="55">
        <f t="shared" si="5"/>
        <v>474.94</v>
      </c>
      <c r="P68" s="71">
        <v>0</v>
      </c>
      <c r="Q68" s="55">
        <f t="shared" si="6"/>
        <v>727.41</v>
      </c>
      <c r="R68" s="55">
        <f t="shared" si="7"/>
        <v>12254.150000000001</v>
      </c>
      <c r="S68" s="55">
        <f t="shared" si="8"/>
        <v>26298.580000000005</v>
      </c>
      <c r="T68" s="55">
        <f t="shared" si="9"/>
        <v>137745.85</v>
      </c>
      <c r="U68" s="57">
        <f t="shared" si="10"/>
        <v>42254.15</v>
      </c>
      <c r="W68" s="70">
        <v>45597</v>
      </c>
      <c r="X68" s="55">
        <f t="shared" si="100"/>
        <v>7173.1877413342154</v>
      </c>
      <c r="Y68" s="55">
        <f t="shared" si="101"/>
        <v>544.78</v>
      </c>
      <c r="Z68" s="55">
        <f t="shared" si="13"/>
        <v>513.04</v>
      </c>
      <c r="AA68" s="55">
        <f t="shared" si="102"/>
        <v>31.74</v>
      </c>
      <c r="AB68" s="71">
        <v>1600</v>
      </c>
      <c r="AC68" s="55">
        <f t="shared" si="15"/>
        <v>2144.7799999999997</v>
      </c>
      <c r="AD68" s="55">
        <f t="shared" si="103"/>
        <v>45576.380000000012</v>
      </c>
      <c r="AE68" s="55">
        <f t="shared" si="104"/>
        <v>8896.9599999999955</v>
      </c>
      <c r="AF68" s="55">
        <f t="shared" si="18"/>
        <v>5060.1477413342154</v>
      </c>
      <c r="AH68" s="70">
        <v>45597</v>
      </c>
      <c r="AI68" s="55">
        <f t="shared" si="85"/>
        <v>0</v>
      </c>
      <c r="AJ68" s="55">
        <f t="shared" si="86"/>
        <v>186.04</v>
      </c>
      <c r="AK68" s="55">
        <f t="shared" si="21"/>
        <v>186.04</v>
      </c>
      <c r="AL68" s="55">
        <f t="shared" si="87"/>
        <v>0</v>
      </c>
      <c r="AM68" s="71">
        <v>0</v>
      </c>
      <c r="AN68" s="55">
        <f t="shared" si="23"/>
        <v>0</v>
      </c>
      <c r="AO68" s="55">
        <f t="shared" si="88"/>
        <v>19663.73000000001</v>
      </c>
      <c r="AP68" s="55">
        <f t="shared" si="89"/>
        <v>2496.39</v>
      </c>
      <c r="AQ68" s="55">
        <f t="shared" si="26"/>
        <v>0</v>
      </c>
      <c r="AS68" s="70">
        <v>45597</v>
      </c>
      <c r="AT68" s="55">
        <f t="shared" si="90"/>
        <v>0</v>
      </c>
      <c r="AU68" s="55">
        <f t="shared" si="91"/>
        <v>204.6</v>
      </c>
      <c r="AV68" s="55">
        <f t="shared" si="29"/>
        <v>204.6</v>
      </c>
      <c r="AW68" s="55">
        <f t="shared" si="92"/>
        <v>0</v>
      </c>
      <c r="AX68" s="71">
        <v>0</v>
      </c>
      <c r="AY68" s="55">
        <f t="shared" si="31"/>
        <v>0</v>
      </c>
      <c r="AZ68" s="55">
        <f t="shared" si="93"/>
        <v>22724.929999999968</v>
      </c>
      <c r="BA68" s="55">
        <f t="shared" si="94"/>
        <v>2100.6699999999996</v>
      </c>
      <c r="BB68" s="55">
        <f t="shared" si="34"/>
        <v>0</v>
      </c>
      <c r="BD68" s="70">
        <v>45597</v>
      </c>
      <c r="BE68" s="55">
        <f t="shared" si="95"/>
        <v>0</v>
      </c>
      <c r="BF68" s="55">
        <f t="shared" si="96"/>
        <v>221.51</v>
      </c>
      <c r="BG68" s="55">
        <f t="shared" si="37"/>
        <v>221.51</v>
      </c>
      <c r="BH68" s="55">
        <f t="shared" si="97"/>
        <v>0</v>
      </c>
      <c r="BI68" s="71">
        <v>0</v>
      </c>
      <c r="BJ68" s="55">
        <f t="shared" si="39"/>
        <v>0</v>
      </c>
      <c r="BK68" s="55">
        <f t="shared" si="98"/>
        <v>27052.359999999942</v>
      </c>
      <c r="BL68" s="55">
        <f t="shared" si="99"/>
        <v>984.92</v>
      </c>
      <c r="BM68" s="55">
        <f t="shared" si="42"/>
        <v>0</v>
      </c>
    </row>
    <row r="69" spans="1:65" x14ac:dyDescent="0.25">
      <c r="A69" s="70">
        <v>45444</v>
      </c>
      <c r="B69" s="55">
        <f t="shared" si="105"/>
        <v>727.41</v>
      </c>
      <c r="C69" s="55">
        <f t="shared" si="76"/>
        <v>2144.7799999999997</v>
      </c>
      <c r="D69" s="55">
        <f t="shared" si="77"/>
        <v>0</v>
      </c>
      <c r="E69" s="55">
        <f t="shared" si="78"/>
        <v>0</v>
      </c>
      <c r="F69" s="55">
        <f t="shared" si="79"/>
        <v>0</v>
      </c>
      <c r="G69" s="55">
        <f t="shared" si="74"/>
        <v>2872.1899999999996</v>
      </c>
      <c r="J69">
        <f t="shared" si="48"/>
        <v>5</v>
      </c>
      <c r="K69" s="70">
        <v>45444</v>
      </c>
      <c r="L69" s="55">
        <f t="shared" si="2"/>
        <v>137745.85</v>
      </c>
      <c r="M69" s="55">
        <f t="shared" si="3"/>
        <v>727.41</v>
      </c>
      <c r="N69" s="55">
        <f t="shared" si="4"/>
        <v>253.32999999999998</v>
      </c>
      <c r="O69" s="55">
        <f t="shared" si="5"/>
        <v>474.08</v>
      </c>
      <c r="P69" s="71">
        <v>0</v>
      </c>
      <c r="Q69" s="55">
        <f t="shared" si="6"/>
        <v>727.41</v>
      </c>
      <c r="R69" s="55">
        <f t="shared" si="7"/>
        <v>12507.480000000001</v>
      </c>
      <c r="S69" s="55">
        <f t="shared" si="8"/>
        <v>26772.660000000007</v>
      </c>
      <c r="T69" s="55">
        <f t="shared" si="9"/>
        <v>137492.52000000002</v>
      </c>
      <c r="U69" s="57">
        <f t="shared" si="10"/>
        <v>42507.48</v>
      </c>
      <c r="W69" s="70">
        <v>45627</v>
      </c>
      <c r="X69" s="55">
        <f t="shared" si="100"/>
        <v>5060.1477413342154</v>
      </c>
      <c r="Y69" s="55">
        <f t="shared" si="101"/>
        <v>544.78</v>
      </c>
      <c r="Z69" s="55">
        <f t="shared" si="13"/>
        <v>522.39</v>
      </c>
      <c r="AA69" s="55">
        <f t="shared" si="102"/>
        <v>22.39</v>
      </c>
      <c r="AB69" s="71">
        <v>1600</v>
      </c>
      <c r="AC69" s="55">
        <f t="shared" si="15"/>
        <v>2144.7799999999997</v>
      </c>
      <c r="AD69" s="55">
        <f t="shared" si="103"/>
        <v>47698.770000000011</v>
      </c>
      <c r="AE69" s="55">
        <f t="shared" si="104"/>
        <v>8919.3499999999949</v>
      </c>
      <c r="AF69" s="55">
        <f t="shared" si="18"/>
        <v>2937.7577413342151</v>
      </c>
      <c r="AH69" s="70">
        <v>45627</v>
      </c>
      <c r="AI69" s="55">
        <f t="shared" si="85"/>
        <v>0</v>
      </c>
      <c r="AJ69" s="55">
        <f t="shared" si="86"/>
        <v>186.04</v>
      </c>
      <c r="AK69" s="55">
        <f t="shared" si="21"/>
        <v>186.04</v>
      </c>
      <c r="AL69" s="55">
        <f t="shared" si="87"/>
        <v>0</v>
      </c>
      <c r="AM69" s="71">
        <v>0</v>
      </c>
      <c r="AN69" s="55">
        <f t="shared" si="23"/>
        <v>0</v>
      </c>
      <c r="AO69" s="55">
        <f t="shared" si="88"/>
        <v>19849.770000000011</v>
      </c>
      <c r="AP69" s="55">
        <f t="shared" si="89"/>
        <v>2496.39</v>
      </c>
      <c r="AQ69" s="55">
        <f t="shared" si="26"/>
        <v>0</v>
      </c>
      <c r="AS69" s="70">
        <v>45627</v>
      </c>
      <c r="AT69" s="55">
        <f t="shared" si="90"/>
        <v>0</v>
      </c>
      <c r="AU69" s="55">
        <f t="shared" si="91"/>
        <v>204.6</v>
      </c>
      <c r="AV69" s="55">
        <f t="shared" si="29"/>
        <v>204.6</v>
      </c>
      <c r="AW69" s="55">
        <f t="shared" si="92"/>
        <v>0</v>
      </c>
      <c r="AX69" s="71">
        <v>0</v>
      </c>
      <c r="AY69" s="55">
        <f t="shared" si="31"/>
        <v>0</v>
      </c>
      <c r="AZ69" s="55">
        <f t="shared" si="93"/>
        <v>22929.529999999966</v>
      </c>
      <c r="BA69" s="55">
        <f t="shared" si="94"/>
        <v>2100.6699999999996</v>
      </c>
      <c r="BB69" s="55">
        <f t="shared" si="34"/>
        <v>0</v>
      </c>
      <c r="BD69" s="70">
        <v>45627</v>
      </c>
      <c r="BE69" s="55">
        <f t="shared" si="95"/>
        <v>0</v>
      </c>
      <c r="BF69" s="55">
        <f t="shared" si="96"/>
        <v>221.51</v>
      </c>
      <c r="BG69" s="55">
        <f t="shared" si="37"/>
        <v>221.51</v>
      </c>
      <c r="BH69" s="55">
        <f t="shared" si="97"/>
        <v>0</v>
      </c>
      <c r="BI69" s="71">
        <v>0</v>
      </c>
      <c r="BJ69" s="55">
        <f t="shared" si="39"/>
        <v>0</v>
      </c>
      <c r="BK69" s="55">
        <f t="shared" si="98"/>
        <v>27273.869999999941</v>
      </c>
      <c r="BL69" s="55">
        <f t="shared" si="99"/>
        <v>984.92</v>
      </c>
      <c r="BM69" s="55">
        <f t="shared" si="42"/>
        <v>0</v>
      </c>
    </row>
    <row r="70" spans="1:65" x14ac:dyDescent="0.25">
      <c r="A70" s="70">
        <v>45474</v>
      </c>
      <c r="B70" s="55">
        <f t="shared" si="105"/>
        <v>727.41</v>
      </c>
      <c r="C70" s="55">
        <f t="shared" si="76"/>
        <v>2144.7799999999997</v>
      </c>
      <c r="D70" s="55">
        <f t="shared" si="77"/>
        <v>0</v>
      </c>
      <c r="E70" s="55">
        <f t="shared" si="78"/>
        <v>0</v>
      </c>
      <c r="F70" s="55">
        <f t="shared" si="79"/>
        <v>0</v>
      </c>
      <c r="G70" s="55">
        <f t="shared" si="74"/>
        <v>2872.1899999999996</v>
      </c>
      <c r="J70">
        <f t="shared" si="48"/>
        <v>5</v>
      </c>
      <c r="K70" s="70">
        <v>45474</v>
      </c>
      <c r="L70" s="55">
        <f t="shared" si="2"/>
        <v>137492.52000000002</v>
      </c>
      <c r="M70" s="55">
        <f t="shared" si="3"/>
        <v>727.41</v>
      </c>
      <c r="N70" s="55">
        <f t="shared" si="4"/>
        <v>254.20999999999998</v>
      </c>
      <c r="O70" s="55">
        <f t="shared" si="5"/>
        <v>473.2</v>
      </c>
      <c r="P70" s="71">
        <v>0</v>
      </c>
      <c r="Q70" s="55">
        <f t="shared" si="6"/>
        <v>727.41</v>
      </c>
      <c r="R70" s="55">
        <f t="shared" si="7"/>
        <v>12761.69</v>
      </c>
      <c r="S70" s="55">
        <f t="shared" si="8"/>
        <v>27245.860000000008</v>
      </c>
      <c r="T70" s="55">
        <f t="shared" si="9"/>
        <v>137238.31000000003</v>
      </c>
      <c r="U70" s="57">
        <f t="shared" si="10"/>
        <v>42761.69</v>
      </c>
      <c r="W70" s="70">
        <v>45658</v>
      </c>
      <c r="X70" s="55">
        <f t="shared" si="100"/>
        <v>2937.7577413342151</v>
      </c>
      <c r="Y70" s="55">
        <f t="shared" si="101"/>
        <v>544.78</v>
      </c>
      <c r="Z70" s="55">
        <f t="shared" si="13"/>
        <v>531.78</v>
      </c>
      <c r="AA70" s="55">
        <f t="shared" si="102"/>
        <v>13</v>
      </c>
      <c r="AB70" s="71">
        <v>1600</v>
      </c>
      <c r="AC70" s="55">
        <f t="shared" si="15"/>
        <v>2144.7799999999997</v>
      </c>
      <c r="AD70" s="55">
        <f t="shared" si="103"/>
        <v>49830.55000000001</v>
      </c>
      <c r="AE70" s="55">
        <f t="shared" si="104"/>
        <v>8932.3499999999949</v>
      </c>
      <c r="AF70" s="55">
        <f t="shared" si="18"/>
        <v>805.97774133421535</v>
      </c>
      <c r="AH70" s="70">
        <v>45658</v>
      </c>
      <c r="AI70" s="55">
        <f t="shared" si="85"/>
        <v>0</v>
      </c>
      <c r="AJ70" s="55">
        <f t="shared" si="86"/>
        <v>186.04</v>
      </c>
      <c r="AK70" s="55">
        <f t="shared" si="21"/>
        <v>186.04</v>
      </c>
      <c r="AL70" s="55">
        <f t="shared" si="87"/>
        <v>0</v>
      </c>
      <c r="AM70" s="71">
        <v>0</v>
      </c>
      <c r="AN70" s="55">
        <f t="shared" si="23"/>
        <v>0</v>
      </c>
      <c r="AO70" s="55">
        <f t="shared" si="88"/>
        <v>20035.810000000012</v>
      </c>
      <c r="AP70" s="55">
        <f t="shared" si="89"/>
        <v>2496.39</v>
      </c>
      <c r="AQ70" s="55">
        <f t="shared" si="26"/>
        <v>0</v>
      </c>
      <c r="AS70" s="70">
        <v>45658</v>
      </c>
      <c r="AT70" s="55">
        <f t="shared" si="90"/>
        <v>0</v>
      </c>
      <c r="AU70" s="55">
        <f t="shared" si="91"/>
        <v>204.6</v>
      </c>
      <c r="AV70" s="55">
        <f t="shared" si="29"/>
        <v>204.6</v>
      </c>
      <c r="AW70" s="55">
        <f t="shared" si="92"/>
        <v>0</v>
      </c>
      <c r="AX70" s="71">
        <v>0</v>
      </c>
      <c r="AY70" s="55">
        <f t="shared" si="31"/>
        <v>0</v>
      </c>
      <c r="AZ70" s="55">
        <f t="shared" si="93"/>
        <v>23134.129999999965</v>
      </c>
      <c r="BA70" s="55">
        <f t="shared" si="94"/>
        <v>2100.6699999999996</v>
      </c>
      <c r="BB70" s="55">
        <f t="shared" si="34"/>
        <v>0</v>
      </c>
      <c r="BD70" s="70">
        <v>45658</v>
      </c>
      <c r="BE70" s="55">
        <f t="shared" si="95"/>
        <v>0</v>
      </c>
      <c r="BF70" s="55">
        <f t="shared" si="96"/>
        <v>221.51</v>
      </c>
      <c r="BG70" s="55">
        <f t="shared" si="37"/>
        <v>221.51</v>
      </c>
      <c r="BH70" s="55">
        <f t="shared" si="97"/>
        <v>0</v>
      </c>
      <c r="BI70" s="71">
        <v>0</v>
      </c>
      <c r="BJ70" s="55">
        <f t="shared" si="39"/>
        <v>0</v>
      </c>
      <c r="BK70" s="55">
        <f t="shared" si="98"/>
        <v>27495.379999999939</v>
      </c>
      <c r="BL70" s="55">
        <f t="shared" si="99"/>
        <v>984.92</v>
      </c>
      <c r="BM70" s="55">
        <f t="shared" si="42"/>
        <v>0</v>
      </c>
    </row>
    <row r="71" spans="1:65" x14ac:dyDescent="0.25">
      <c r="A71" s="70">
        <v>45505</v>
      </c>
      <c r="B71" s="55">
        <f t="shared" si="105"/>
        <v>727.41</v>
      </c>
      <c r="C71" s="55">
        <f t="shared" si="76"/>
        <v>2144.7799999999997</v>
      </c>
      <c r="D71" s="55">
        <f t="shared" si="77"/>
        <v>0</v>
      </c>
      <c r="E71" s="55">
        <f t="shared" si="78"/>
        <v>0</v>
      </c>
      <c r="F71" s="55">
        <f t="shared" si="79"/>
        <v>0</v>
      </c>
      <c r="G71" s="55">
        <f t="shared" si="74"/>
        <v>2872.1899999999996</v>
      </c>
      <c r="J71">
        <f t="shared" si="48"/>
        <v>5</v>
      </c>
      <c r="K71" s="70">
        <v>45505</v>
      </c>
      <c r="L71" s="55">
        <f t="shared" si="2"/>
        <v>137238.31000000003</v>
      </c>
      <c r="M71" s="55">
        <f t="shared" si="3"/>
        <v>727.41</v>
      </c>
      <c r="N71" s="55">
        <f t="shared" si="4"/>
        <v>255.07999999999998</v>
      </c>
      <c r="O71" s="55">
        <f t="shared" si="5"/>
        <v>472.33</v>
      </c>
      <c r="P71" s="71">
        <v>0</v>
      </c>
      <c r="Q71" s="55">
        <f t="shared" si="6"/>
        <v>727.41</v>
      </c>
      <c r="R71" s="55">
        <f t="shared" si="7"/>
        <v>13016.77</v>
      </c>
      <c r="S71" s="55">
        <f t="shared" si="8"/>
        <v>27718.19000000001</v>
      </c>
      <c r="T71" s="55">
        <f t="shared" si="9"/>
        <v>136983.23000000004</v>
      </c>
      <c r="U71" s="57">
        <f t="shared" si="10"/>
        <v>43016.770000000004</v>
      </c>
      <c r="W71" s="70">
        <v>45689</v>
      </c>
      <c r="X71" s="55">
        <f t="shared" si="100"/>
        <v>805.97774133421535</v>
      </c>
      <c r="Y71" s="55">
        <f t="shared" si="101"/>
        <v>544.78</v>
      </c>
      <c r="Z71" s="55">
        <f t="shared" si="13"/>
        <v>541.20999999999992</v>
      </c>
      <c r="AA71" s="55">
        <f t="shared" si="102"/>
        <v>3.57</v>
      </c>
      <c r="AB71" s="71">
        <v>264.77</v>
      </c>
      <c r="AC71" s="55">
        <f t="shared" si="15"/>
        <v>809.55</v>
      </c>
      <c r="AD71" s="55">
        <f t="shared" si="103"/>
        <v>50636.530000000013</v>
      </c>
      <c r="AE71" s="55">
        <f t="shared" si="104"/>
        <v>8935.9199999999946</v>
      </c>
      <c r="AF71" s="55">
        <f t="shared" si="18"/>
        <v>-2.2586657845522495E-3</v>
      </c>
      <c r="AH71" s="70">
        <v>45689</v>
      </c>
      <c r="AI71" s="55">
        <f t="shared" si="85"/>
        <v>0</v>
      </c>
      <c r="AJ71" s="55">
        <f t="shared" si="86"/>
        <v>186.04</v>
      </c>
      <c r="AK71" s="55">
        <f t="shared" si="21"/>
        <v>186.04</v>
      </c>
      <c r="AL71" s="55">
        <f t="shared" si="87"/>
        <v>0</v>
      </c>
      <c r="AM71" s="71">
        <v>0</v>
      </c>
      <c r="AN71" s="55">
        <f t="shared" si="23"/>
        <v>0</v>
      </c>
      <c r="AO71" s="55">
        <f t="shared" si="88"/>
        <v>20221.850000000013</v>
      </c>
      <c r="AP71" s="55">
        <f t="shared" si="89"/>
        <v>2496.39</v>
      </c>
      <c r="AQ71" s="55">
        <f t="shared" si="26"/>
        <v>0</v>
      </c>
      <c r="AS71" s="70">
        <v>45689</v>
      </c>
      <c r="AT71" s="55">
        <f t="shared" si="90"/>
        <v>0</v>
      </c>
      <c r="AU71" s="55">
        <f t="shared" si="91"/>
        <v>204.6</v>
      </c>
      <c r="AV71" s="55">
        <f t="shared" si="29"/>
        <v>204.6</v>
      </c>
      <c r="AW71" s="55">
        <f t="shared" si="92"/>
        <v>0</v>
      </c>
      <c r="AX71" s="71">
        <v>0</v>
      </c>
      <c r="AY71" s="55">
        <f t="shared" si="31"/>
        <v>0</v>
      </c>
      <c r="AZ71" s="55">
        <f t="shared" si="93"/>
        <v>23338.729999999963</v>
      </c>
      <c r="BA71" s="55">
        <f t="shared" si="94"/>
        <v>2100.6699999999996</v>
      </c>
      <c r="BB71" s="55">
        <f t="shared" si="34"/>
        <v>0</v>
      </c>
      <c r="BD71" s="70">
        <v>45689</v>
      </c>
      <c r="BE71" s="55">
        <f t="shared" si="95"/>
        <v>0</v>
      </c>
      <c r="BF71" s="55">
        <f t="shared" si="96"/>
        <v>221.51</v>
      </c>
      <c r="BG71" s="55">
        <f t="shared" si="37"/>
        <v>221.51</v>
      </c>
      <c r="BH71" s="55">
        <f t="shared" si="97"/>
        <v>0</v>
      </c>
      <c r="BI71" s="71">
        <v>0</v>
      </c>
      <c r="BJ71" s="55">
        <f t="shared" si="39"/>
        <v>0</v>
      </c>
      <c r="BK71" s="55">
        <f t="shared" si="98"/>
        <v>27716.889999999938</v>
      </c>
      <c r="BL71" s="55">
        <f t="shared" si="99"/>
        <v>984.92</v>
      </c>
      <c r="BM71" s="55">
        <f t="shared" si="42"/>
        <v>0</v>
      </c>
    </row>
    <row r="72" spans="1:65" x14ac:dyDescent="0.25">
      <c r="A72" s="70">
        <v>45536</v>
      </c>
      <c r="B72" s="55">
        <f t="shared" si="105"/>
        <v>727.41</v>
      </c>
      <c r="C72" s="55">
        <f t="shared" si="76"/>
        <v>2144.7799999999997</v>
      </c>
      <c r="D72" s="55">
        <f t="shared" si="77"/>
        <v>0</v>
      </c>
      <c r="E72" s="55">
        <f t="shared" si="78"/>
        <v>0</v>
      </c>
      <c r="F72" s="55">
        <f t="shared" si="79"/>
        <v>0</v>
      </c>
      <c r="G72" s="55">
        <f t="shared" si="74"/>
        <v>2872.1899999999996</v>
      </c>
      <c r="J72">
        <f t="shared" si="48"/>
        <v>5</v>
      </c>
      <c r="K72" s="70">
        <v>45536</v>
      </c>
      <c r="L72" s="55">
        <f t="shared" si="2"/>
        <v>136983.23000000004</v>
      </c>
      <c r="M72" s="55">
        <f t="shared" si="3"/>
        <v>727.41</v>
      </c>
      <c r="N72" s="55">
        <f t="shared" si="4"/>
        <v>255.95999999999998</v>
      </c>
      <c r="O72" s="55">
        <f t="shared" si="5"/>
        <v>471.45</v>
      </c>
      <c r="P72" s="71">
        <v>0</v>
      </c>
      <c r="Q72" s="55">
        <f t="shared" si="6"/>
        <v>727.41</v>
      </c>
      <c r="R72" s="55">
        <f t="shared" si="7"/>
        <v>13272.73</v>
      </c>
      <c r="S72" s="55">
        <f t="shared" si="8"/>
        <v>28189.64000000001</v>
      </c>
      <c r="T72" s="55">
        <f t="shared" si="9"/>
        <v>136727.27000000005</v>
      </c>
      <c r="U72" s="57">
        <f t="shared" si="10"/>
        <v>43272.729999999996</v>
      </c>
      <c r="W72" s="70">
        <v>45717</v>
      </c>
      <c r="X72" s="55">
        <f t="shared" si="100"/>
        <v>-2.2586657845522495E-3</v>
      </c>
      <c r="Y72" s="55">
        <f t="shared" si="101"/>
        <v>544.78</v>
      </c>
      <c r="Z72" s="55">
        <f t="shared" si="13"/>
        <v>544.78</v>
      </c>
      <c r="AA72" s="55">
        <f t="shared" si="102"/>
        <v>0</v>
      </c>
      <c r="AB72" s="71">
        <v>0</v>
      </c>
      <c r="AC72" s="55">
        <f t="shared" si="15"/>
        <v>0</v>
      </c>
      <c r="AD72" s="55">
        <f t="shared" si="103"/>
        <v>51181.310000000012</v>
      </c>
      <c r="AE72" s="55">
        <f t="shared" si="104"/>
        <v>8935.9199999999946</v>
      </c>
      <c r="AF72" s="55">
        <f t="shared" si="18"/>
        <v>0</v>
      </c>
      <c r="AH72" s="70">
        <v>45717</v>
      </c>
      <c r="AI72" s="55">
        <f t="shared" si="85"/>
        <v>0</v>
      </c>
      <c r="AJ72" s="55">
        <f t="shared" si="86"/>
        <v>186.04</v>
      </c>
      <c r="AK72" s="55">
        <f t="shared" si="21"/>
        <v>186.04</v>
      </c>
      <c r="AL72" s="55">
        <f t="shared" si="87"/>
        <v>0</v>
      </c>
      <c r="AM72" s="71">
        <v>0</v>
      </c>
      <c r="AN72" s="55">
        <f t="shared" si="23"/>
        <v>0</v>
      </c>
      <c r="AO72" s="55">
        <f t="shared" si="88"/>
        <v>20407.890000000014</v>
      </c>
      <c r="AP72" s="55">
        <f t="shared" si="89"/>
        <v>2496.39</v>
      </c>
      <c r="AQ72" s="55">
        <f t="shared" si="26"/>
        <v>0</v>
      </c>
      <c r="AS72" s="70">
        <v>45717</v>
      </c>
      <c r="AT72" s="55">
        <f t="shared" si="90"/>
        <v>0</v>
      </c>
      <c r="AU72" s="55">
        <f t="shared" si="91"/>
        <v>204.6</v>
      </c>
      <c r="AV72" s="55">
        <f t="shared" si="29"/>
        <v>204.6</v>
      </c>
      <c r="AW72" s="55">
        <f t="shared" si="92"/>
        <v>0</v>
      </c>
      <c r="AX72" s="71">
        <v>0</v>
      </c>
      <c r="AY72" s="55">
        <f t="shared" si="31"/>
        <v>0</v>
      </c>
      <c r="AZ72" s="55">
        <f t="shared" si="93"/>
        <v>23543.329999999962</v>
      </c>
      <c r="BA72" s="55">
        <f t="shared" si="94"/>
        <v>2100.6699999999996</v>
      </c>
      <c r="BB72" s="55">
        <f t="shared" si="34"/>
        <v>0</v>
      </c>
      <c r="BD72" s="70">
        <v>45717</v>
      </c>
      <c r="BE72" s="55">
        <f t="shared" si="95"/>
        <v>0</v>
      </c>
      <c r="BF72" s="55">
        <f t="shared" si="96"/>
        <v>221.51</v>
      </c>
      <c r="BG72" s="55">
        <f t="shared" si="37"/>
        <v>221.51</v>
      </c>
      <c r="BH72" s="55">
        <f t="shared" si="97"/>
        <v>0</v>
      </c>
      <c r="BI72" s="71">
        <v>0</v>
      </c>
      <c r="BJ72" s="55">
        <f t="shared" si="39"/>
        <v>0</v>
      </c>
      <c r="BK72" s="55">
        <f t="shared" si="98"/>
        <v>27938.399999999936</v>
      </c>
      <c r="BL72" s="55">
        <f t="shared" si="99"/>
        <v>984.92</v>
      </c>
      <c r="BM72" s="55">
        <f t="shared" si="42"/>
        <v>0</v>
      </c>
    </row>
    <row r="73" spans="1:65" x14ac:dyDescent="0.25">
      <c r="A73" s="70">
        <v>45566</v>
      </c>
      <c r="B73" s="55">
        <f t="shared" si="105"/>
        <v>727.41</v>
      </c>
      <c r="C73" s="55">
        <f t="shared" si="76"/>
        <v>2144.7799999999997</v>
      </c>
      <c r="D73" s="55">
        <f t="shared" si="77"/>
        <v>0</v>
      </c>
      <c r="E73" s="55">
        <f t="shared" si="78"/>
        <v>0</v>
      </c>
      <c r="F73" s="55">
        <f t="shared" si="79"/>
        <v>0</v>
      </c>
      <c r="G73" s="55">
        <f t="shared" si="74"/>
        <v>2872.1899999999996</v>
      </c>
      <c r="J73">
        <f t="shared" si="48"/>
        <v>5</v>
      </c>
      <c r="K73" s="70">
        <v>45566</v>
      </c>
      <c r="L73" s="55">
        <f t="shared" si="2"/>
        <v>136727.27000000005</v>
      </c>
      <c r="M73" s="55">
        <f t="shared" si="3"/>
        <v>727.41</v>
      </c>
      <c r="N73" s="55">
        <f t="shared" si="4"/>
        <v>256.83999999999997</v>
      </c>
      <c r="O73" s="55">
        <f t="shared" si="5"/>
        <v>470.57</v>
      </c>
      <c r="P73" s="71">
        <v>0</v>
      </c>
      <c r="Q73" s="55">
        <f t="shared" si="6"/>
        <v>727.41</v>
      </c>
      <c r="R73" s="55">
        <f t="shared" si="7"/>
        <v>13529.57</v>
      </c>
      <c r="S73" s="55">
        <f t="shared" si="8"/>
        <v>28660.21000000001</v>
      </c>
      <c r="T73" s="55">
        <f t="shared" si="9"/>
        <v>136470.43000000005</v>
      </c>
      <c r="U73" s="57">
        <f t="shared" si="10"/>
        <v>43529.57</v>
      </c>
      <c r="W73" s="70">
        <v>45748</v>
      </c>
      <c r="X73" s="55">
        <f t="shared" si="100"/>
        <v>0</v>
      </c>
      <c r="Y73" s="55">
        <f t="shared" si="101"/>
        <v>544.78</v>
      </c>
      <c r="Z73" s="55">
        <f t="shared" si="13"/>
        <v>544.78</v>
      </c>
      <c r="AA73" s="55">
        <f t="shared" si="102"/>
        <v>0</v>
      </c>
      <c r="AB73" s="71">
        <v>0</v>
      </c>
      <c r="AC73" s="55">
        <f t="shared" si="15"/>
        <v>0</v>
      </c>
      <c r="AD73" s="55">
        <f t="shared" si="103"/>
        <v>51726.090000000011</v>
      </c>
      <c r="AE73" s="55">
        <f t="shared" si="104"/>
        <v>8935.9199999999946</v>
      </c>
      <c r="AF73" s="55">
        <f t="shared" si="18"/>
        <v>0</v>
      </c>
      <c r="AH73" s="70">
        <v>45748</v>
      </c>
      <c r="AI73" s="55">
        <f t="shared" si="85"/>
        <v>0</v>
      </c>
      <c r="AJ73" s="55">
        <f t="shared" si="86"/>
        <v>186.04</v>
      </c>
      <c r="AK73" s="55">
        <f t="shared" si="21"/>
        <v>186.04</v>
      </c>
      <c r="AL73" s="55">
        <f t="shared" si="87"/>
        <v>0</v>
      </c>
      <c r="AM73" s="71">
        <v>0</v>
      </c>
      <c r="AN73" s="55">
        <f t="shared" si="23"/>
        <v>0</v>
      </c>
      <c r="AO73" s="55">
        <f t="shared" si="88"/>
        <v>20593.930000000015</v>
      </c>
      <c r="AP73" s="55">
        <f t="shared" si="89"/>
        <v>2496.39</v>
      </c>
      <c r="AQ73" s="55">
        <f t="shared" si="26"/>
        <v>0</v>
      </c>
      <c r="AS73" s="70">
        <v>45748</v>
      </c>
      <c r="AT73" s="55">
        <f t="shared" si="90"/>
        <v>0</v>
      </c>
      <c r="AU73" s="55">
        <f t="shared" si="91"/>
        <v>204.6</v>
      </c>
      <c r="AV73" s="55">
        <f t="shared" si="29"/>
        <v>204.6</v>
      </c>
      <c r="AW73" s="55">
        <f t="shared" si="92"/>
        <v>0</v>
      </c>
      <c r="AX73" s="71">
        <v>0</v>
      </c>
      <c r="AY73" s="55">
        <f t="shared" si="31"/>
        <v>0</v>
      </c>
      <c r="AZ73" s="55">
        <f t="shared" si="93"/>
        <v>23747.92999999996</v>
      </c>
      <c r="BA73" s="55">
        <f t="shared" si="94"/>
        <v>2100.6699999999996</v>
      </c>
      <c r="BB73" s="55">
        <f t="shared" si="34"/>
        <v>0</v>
      </c>
      <c r="BD73" s="70">
        <v>45748</v>
      </c>
      <c r="BE73" s="55">
        <f t="shared" si="95"/>
        <v>0</v>
      </c>
      <c r="BF73" s="55">
        <f t="shared" si="96"/>
        <v>221.51</v>
      </c>
      <c r="BG73" s="55">
        <f t="shared" si="37"/>
        <v>221.51</v>
      </c>
      <c r="BH73" s="55">
        <f t="shared" si="97"/>
        <v>0</v>
      </c>
      <c r="BI73" s="71">
        <v>0</v>
      </c>
      <c r="BJ73" s="55">
        <f t="shared" si="39"/>
        <v>0</v>
      </c>
      <c r="BK73" s="55">
        <f t="shared" si="98"/>
        <v>28159.909999999934</v>
      </c>
      <c r="BL73" s="55">
        <f t="shared" si="99"/>
        <v>984.92</v>
      </c>
      <c r="BM73" s="55">
        <f t="shared" si="42"/>
        <v>0</v>
      </c>
    </row>
    <row r="74" spans="1:65" x14ac:dyDescent="0.25">
      <c r="A74" s="70">
        <v>45597</v>
      </c>
      <c r="B74" s="55">
        <f t="shared" si="105"/>
        <v>727.41</v>
      </c>
      <c r="C74" s="55">
        <f t="shared" si="76"/>
        <v>2144.7799999999997</v>
      </c>
      <c r="D74" s="55">
        <f t="shared" si="77"/>
        <v>0</v>
      </c>
      <c r="E74" s="55">
        <f t="shared" si="78"/>
        <v>0</v>
      </c>
      <c r="F74" s="55">
        <f t="shared" si="79"/>
        <v>0</v>
      </c>
      <c r="G74" s="55">
        <f t="shared" si="74"/>
        <v>2872.1899999999996</v>
      </c>
      <c r="J74">
        <f t="shared" si="48"/>
        <v>5</v>
      </c>
      <c r="K74" s="70">
        <v>45597</v>
      </c>
      <c r="L74" s="55">
        <f t="shared" si="2"/>
        <v>136470.43000000005</v>
      </c>
      <c r="M74" s="55">
        <f t="shared" si="3"/>
        <v>727.41</v>
      </c>
      <c r="N74" s="55">
        <f t="shared" si="4"/>
        <v>257.71999999999997</v>
      </c>
      <c r="O74" s="55">
        <f t="shared" si="5"/>
        <v>469.69</v>
      </c>
      <c r="P74" s="71">
        <v>0</v>
      </c>
      <c r="Q74" s="55">
        <f t="shared" si="6"/>
        <v>727.41</v>
      </c>
      <c r="R74" s="55">
        <f t="shared" si="7"/>
        <v>13787.289999999999</v>
      </c>
      <c r="S74" s="55">
        <f t="shared" si="8"/>
        <v>29129.900000000009</v>
      </c>
      <c r="T74" s="55">
        <f t="shared" si="9"/>
        <v>136212.71000000005</v>
      </c>
      <c r="U74" s="57">
        <f t="shared" si="10"/>
        <v>43787.29</v>
      </c>
      <c r="W74" s="70">
        <v>45778</v>
      </c>
      <c r="X74" s="55">
        <f t="shared" si="100"/>
        <v>0</v>
      </c>
      <c r="Y74" s="55">
        <f t="shared" si="101"/>
        <v>544.78</v>
      </c>
      <c r="Z74" s="55">
        <f t="shared" si="13"/>
        <v>544.78</v>
      </c>
      <c r="AA74" s="55">
        <f t="shared" si="102"/>
        <v>0</v>
      </c>
      <c r="AB74" s="71">
        <v>0</v>
      </c>
      <c r="AC74" s="55">
        <f t="shared" si="15"/>
        <v>0</v>
      </c>
      <c r="AD74" s="55">
        <f t="shared" si="103"/>
        <v>52270.87000000001</v>
      </c>
      <c r="AE74" s="55">
        <f t="shared" si="104"/>
        <v>8935.9199999999946</v>
      </c>
      <c r="AF74" s="55">
        <f t="shared" si="18"/>
        <v>0</v>
      </c>
      <c r="AH74" s="70">
        <v>45778</v>
      </c>
      <c r="AI74" s="55">
        <f t="shared" si="85"/>
        <v>0</v>
      </c>
      <c r="AJ74" s="55">
        <f t="shared" si="86"/>
        <v>186.04</v>
      </c>
      <c r="AK74" s="55">
        <f t="shared" si="21"/>
        <v>186.04</v>
      </c>
      <c r="AL74" s="55">
        <f t="shared" si="87"/>
        <v>0</v>
      </c>
      <c r="AM74" s="71">
        <v>0</v>
      </c>
      <c r="AN74" s="55">
        <f t="shared" si="23"/>
        <v>0</v>
      </c>
      <c r="AO74" s="55">
        <f t="shared" si="88"/>
        <v>20779.970000000016</v>
      </c>
      <c r="AP74" s="55">
        <f t="shared" si="89"/>
        <v>2496.39</v>
      </c>
      <c r="AQ74" s="55">
        <f t="shared" si="26"/>
        <v>0</v>
      </c>
      <c r="AS74" s="70">
        <v>45778</v>
      </c>
      <c r="AT74" s="55">
        <f t="shared" si="90"/>
        <v>0</v>
      </c>
      <c r="AU74" s="55">
        <f t="shared" si="91"/>
        <v>204.6</v>
      </c>
      <c r="AV74" s="55">
        <f t="shared" si="29"/>
        <v>204.6</v>
      </c>
      <c r="AW74" s="55">
        <f t="shared" si="92"/>
        <v>0</v>
      </c>
      <c r="AX74" s="71">
        <v>0</v>
      </c>
      <c r="AY74" s="55">
        <f t="shared" si="31"/>
        <v>0</v>
      </c>
      <c r="AZ74" s="55">
        <f t="shared" si="93"/>
        <v>23952.529999999959</v>
      </c>
      <c r="BA74" s="55">
        <f t="shared" si="94"/>
        <v>2100.6699999999996</v>
      </c>
      <c r="BB74" s="55">
        <f t="shared" si="34"/>
        <v>0</v>
      </c>
      <c r="BD74" s="70">
        <v>45778</v>
      </c>
      <c r="BE74" s="55">
        <f t="shared" si="95"/>
        <v>0</v>
      </c>
      <c r="BF74" s="55">
        <f t="shared" si="96"/>
        <v>221.51</v>
      </c>
      <c r="BG74" s="55">
        <f t="shared" si="37"/>
        <v>221.51</v>
      </c>
      <c r="BH74" s="55">
        <f t="shared" si="97"/>
        <v>0</v>
      </c>
      <c r="BI74" s="71">
        <v>0</v>
      </c>
      <c r="BJ74" s="55">
        <f t="shared" si="39"/>
        <v>0</v>
      </c>
      <c r="BK74" s="55">
        <f t="shared" si="98"/>
        <v>28381.419999999933</v>
      </c>
      <c r="BL74" s="55">
        <f t="shared" si="99"/>
        <v>984.92</v>
      </c>
      <c r="BM74" s="55">
        <f t="shared" si="42"/>
        <v>0</v>
      </c>
    </row>
    <row r="75" spans="1:65" x14ac:dyDescent="0.25">
      <c r="A75" s="70">
        <v>45627</v>
      </c>
      <c r="B75" s="55">
        <f t="shared" si="105"/>
        <v>727.41</v>
      </c>
      <c r="C75" s="55">
        <f t="shared" si="76"/>
        <v>2144.7799999999997</v>
      </c>
      <c r="D75" s="55">
        <f t="shared" si="77"/>
        <v>0</v>
      </c>
      <c r="E75" s="55">
        <f t="shared" si="78"/>
        <v>0</v>
      </c>
      <c r="F75" s="55">
        <f t="shared" si="79"/>
        <v>0</v>
      </c>
      <c r="G75" s="55">
        <f t="shared" si="74"/>
        <v>2872.1899999999996</v>
      </c>
      <c r="J75">
        <f t="shared" si="48"/>
        <v>5</v>
      </c>
      <c r="K75" s="70">
        <v>45627</v>
      </c>
      <c r="L75" s="55">
        <f t="shared" si="2"/>
        <v>136212.71000000005</v>
      </c>
      <c r="M75" s="55">
        <f t="shared" si="3"/>
        <v>727.41</v>
      </c>
      <c r="N75" s="55">
        <f t="shared" si="4"/>
        <v>258.60999999999996</v>
      </c>
      <c r="O75" s="55">
        <f t="shared" si="5"/>
        <v>468.8</v>
      </c>
      <c r="P75" s="71">
        <v>0</v>
      </c>
      <c r="Q75" s="55">
        <f t="shared" si="6"/>
        <v>727.41</v>
      </c>
      <c r="R75" s="55">
        <f t="shared" si="7"/>
        <v>14045.9</v>
      </c>
      <c r="S75" s="55">
        <f t="shared" si="8"/>
        <v>29598.700000000008</v>
      </c>
      <c r="T75" s="55">
        <f t="shared" si="9"/>
        <v>135954.10000000006</v>
      </c>
      <c r="U75" s="57">
        <f t="shared" si="10"/>
        <v>44045.9</v>
      </c>
      <c r="W75" s="70">
        <v>45809</v>
      </c>
      <c r="X75" s="55">
        <f t="shared" si="100"/>
        <v>0</v>
      </c>
      <c r="Y75" s="55">
        <f t="shared" si="101"/>
        <v>544.78</v>
      </c>
      <c r="Z75" s="55">
        <f t="shared" si="13"/>
        <v>544.78</v>
      </c>
      <c r="AA75" s="55">
        <f t="shared" si="102"/>
        <v>0</v>
      </c>
      <c r="AB75" s="71">
        <v>0</v>
      </c>
      <c r="AC75" s="55">
        <f t="shared" si="15"/>
        <v>0</v>
      </c>
      <c r="AD75" s="55">
        <f t="shared" si="103"/>
        <v>52815.650000000009</v>
      </c>
      <c r="AE75" s="55">
        <f t="shared" si="104"/>
        <v>8935.9199999999946</v>
      </c>
      <c r="AF75" s="55">
        <f t="shared" si="18"/>
        <v>0</v>
      </c>
      <c r="AH75" s="70">
        <v>45809</v>
      </c>
      <c r="AI75" s="55">
        <f t="shared" si="85"/>
        <v>0</v>
      </c>
      <c r="AJ75" s="55">
        <f t="shared" si="86"/>
        <v>186.04</v>
      </c>
      <c r="AK75" s="55">
        <f t="shared" si="21"/>
        <v>186.04</v>
      </c>
      <c r="AL75" s="55">
        <f t="shared" si="87"/>
        <v>0</v>
      </c>
      <c r="AM75" s="71">
        <v>0</v>
      </c>
      <c r="AN75" s="55">
        <f t="shared" si="23"/>
        <v>0</v>
      </c>
      <c r="AO75" s="55">
        <f t="shared" si="88"/>
        <v>20966.010000000017</v>
      </c>
      <c r="AP75" s="55">
        <f t="shared" si="89"/>
        <v>2496.39</v>
      </c>
      <c r="AQ75" s="55">
        <f t="shared" si="26"/>
        <v>0</v>
      </c>
      <c r="AS75" s="70">
        <v>45809</v>
      </c>
      <c r="AT75" s="55">
        <f t="shared" si="90"/>
        <v>0</v>
      </c>
      <c r="AU75" s="55">
        <f t="shared" si="91"/>
        <v>204.6</v>
      </c>
      <c r="AV75" s="55">
        <f t="shared" si="29"/>
        <v>204.6</v>
      </c>
      <c r="AW75" s="55">
        <f t="shared" si="92"/>
        <v>0</v>
      </c>
      <c r="AX75" s="71">
        <v>0</v>
      </c>
      <c r="AY75" s="55">
        <f t="shared" si="31"/>
        <v>0</v>
      </c>
      <c r="AZ75" s="55">
        <f t="shared" si="93"/>
        <v>24157.129999999957</v>
      </c>
      <c r="BA75" s="55">
        <f t="shared" si="94"/>
        <v>2100.6699999999996</v>
      </c>
      <c r="BB75" s="55">
        <f t="shared" si="34"/>
        <v>0</v>
      </c>
      <c r="BD75" s="70">
        <v>45809</v>
      </c>
      <c r="BE75" s="55">
        <f t="shared" si="95"/>
        <v>0</v>
      </c>
      <c r="BF75" s="55">
        <f t="shared" si="96"/>
        <v>221.51</v>
      </c>
      <c r="BG75" s="55">
        <f t="shared" si="37"/>
        <v>221.51</v>
      </c>
      <c r="BH75" s="55">
        <f t="shared" si="97"/>
        <v>0</v>
      </c>
      <c r="BI75" s="71">
        <v>0</v>
      </c>
      <c r="BJ75" s="55">
        <f t="shared" si="39"/>
        <v>0</v>
      </c>
      <c r="BK75" s="55">
        <f t="shared" si="98"/>
        <v>28602.929999999931</v>
      </c>
      <c r="BL75" s="55">
        <f t="shared" si="99"/>
        <v>984.92</v>
      </c>
      <c r="BM75" s="55">
        <f t="shared" si="42"/>
        <v>0</v>
      </c>
    </row>
    <row r="76" spans="1:65" x14ac:dyDescent="0.25">
      <c r="A76" s="70">
        <v>45658</v>
      </c>
      <c r="B76" s="55">
        <f t="shared" si="105"/>
        <v>727.41</v>
      </c>
      <c r="C76" s="55">
        <f t="shared" si="76"/>
        <v>2144.7799999999997</v>
      </c>
      <c r="D76" s="55">
        <f t="shared" si="77"/>
        <v>0</v>
      </c>
      <c r="E76" s="55">
        <f t="shared" si="78"/>
        <v>0</v>
      </c>
      <c r="F76" s="55">
        <f t="shared" si="79"/>
        <v>0</v>
      </c>
      <c r="G76" s="55">
        <f t="shared" si="74"/>
        <v>2872.1899999999996</v>
      </c>
      <c r="J76">
        <f t="shared" si="48"/>
        <v>6</v>
      </c>
      <c r="K76" s="70">
        <v>45658</v>
      </c>
      <c r="L76" s="55">
        <f t="shared" si="2"/>
        <v>135954.10000000006</v>
      </c>
      <c r="M76" s="55">
        <f t="shared" si="3"/>
        <v>727.41</v>
      </c>
      <c r="N76" s="55">
        <f t="shared" si="4"/>
        <v>259.49999999999994</v>
      </c>
      <c r="O76" s="55">
        <f t="shared" si="5"/>
        <v>467.91</v>
      </c>
      <c r="P76" s="71">
        <v>0</v>
      </c>
      <c r="Q76" s="55">
        <f t="shared" si="6"/>
        <v>727.41</v>
      </c>
      <c r="R76" s="55">
        <f t="shared" si="7"/>
        <v>14305.4</v>
      </c>
      <c r="S76" s="55">
        <f t="shared" si="8"/>
        <v>30066.610000000008</v>
      </c>
      <c r="T76" s="55">
        <f t="shared" si="9"/>
        <v>135694.60000000006</v>
      </c>
      <c r="U76" s="57">
        <f t="shared" si="10"/>
        <v>44305.4</v>
      </c>
      <c r="W76" s="70">
        <v>45839</v>
      </c>
      <c r="X76" s="55">
        <f t="shared" si="100"/>
        <v>0</v>
      </c>
      <c r="Y76" s="55">
        <f t="shared" si="101"/>
        <v>544.78</v>
      </c>
      <c r="Z76" s="55">
        <f t="shared" si="13"/>
        <v>544.78</v>
      </c>
      <c r="AA76" s="55">
        <f t="shared" si="102"/>
        <v>0</v>
      </c>
      <c r="AB76" s="71">
        <v>0</v>
      </c>
      <c r="AC76" s="55">
        <f t="shared" si="15"/>
        <v>0</v>
      </c>
      <c r="AD76" s="55">
        <f t="shared" si="103"/>
        <v>53360.430000000008</v>
      </c>
      <c r="AE76" s="55">
        <f t="shared" si="104"/>
        <v>8935.9199999999946</v>
      </c>
      <c r="AF76" s="55">
        <f t="shared" si="18"/>
        <v>0</v>
      </c>
      <c r="AH76" s="70">
        <v>45839</v>
      </c>
      <c r="AI76" s="55">
        <f t="shared" si="85"/>
        <v>0</v>
      </c>
      <c r="AJ76" s="55">
        <f t="shared" si="86"/>
        <v>186.04</v>
      </c>
      <c r="AK76" s="55">
        <f t="shared" si="21"/>
        <v>186.04</v>
      </c>
      <c r="AL76" s="55">
        <f t="shared" si="87"/>
        <v>0</v>
      </c>
      <c r="AM76" s="71">
        <v>0</v>
      </c>
      <c r="AN76" s="55">
        <f t="shared" si="23"/>
        <v>0</v>
      </c>
      <c r="AO76" s="55">
        <f t="shared" si="88"/>
        <v>21152.050000000017</v>
      </c>
      <c r="AP76" s="55">
        <f t="shared" si="89"/>
        <v>2496.39</v>
      </c>
      <c r="AQ76" s="55">
        <f t="shared" si="26"/>
        <v>0</v>
      </c>
      <c r="AS76" s="70">
        <v>45839</v>
      </c>
      <c r="AT76" s="55">
        <f t="shared" si="90"/>
        <v>0</v>
      </c>
      <c r="AU76" s="55">
        <f t="shared" si="91"/>
        <v>204.6</v>
      </c>
      <c r="AV76" s="55">
        <f t="shared" si="29"/>
        <v>204.6</v>
      </c>
      <c r="AW76" s="55">
        <f t="shared" si="92"/>
        <v>0</v>
      </c>
      <c r="AX76" s="71">
        <v>0</v>
      </c>
      <c r="AY76" s="55">
        <f t="shared" si="31"/>
        <v>0</v>
      </c>
      <c r="AZ76" s="55">
        <f t="shared" si="93"/>
        <v>24361.729999999956</v>
      </c>
      <c r="BA76" s="55">
        <f t="shared" si="94"/>
        <v>2100.6699999999996</v>
      </c>
      <c r="BB76" s="55">
        <f t="shared" si="34"/>
        <v>0</v>
      </c>
      <c r="BD76" s="70">
        <v>45839</v>
      </c>
      <c r="BE76" s="55">
        <f t="shared" si="95"/>
        <v>0</v>
      </c>
      <c r="BF76" s="55">
        <f t="shared" si="96"/>
        <v>221.51</v>
      </c>
      <c r="BG76" s="55">
        <f t="shared" si="37"/>
        <v>221.51</v>
      </c>
      <c r="BH76" s="55">
        <f t="shared" si="97"/>
        <v>0</v>
      </c>
      <c r="BI76" s="71">
        <v>0</v>
      </c>
      <c r="BJ76" s="55">
        <f t="shared" si="39"/>
        <v>0</v>
      </c>
      <c r="BK76" s="55">
        <f t="shared" si="98"/>
        <v>28824.43999999993</v>
      </c>
      <c r="BL76" s="55">
        <f t="shared" si="99"/>
        <v>984.92</v>
      </c>
      <c r="BM76" s="55">
        <f t="shared" si="42"/>
        <v>0</v>
      </c>
    </row>
    <row r="77" spans="1:65" x14ac:dyDescent="0.25">
      <c r="A77" s="70">
        <v>45689</v>
      </c>
      <c r="B77" s="55">
        <f t="shared" si="105"/>
        <v>727.41</v>
      </c>
      <c r="C77" s="55">
        <f t="shared" si="76"/>
        <v>809.55</v>
      </c>
      <c r="D77" s="55">
        <f t="shared" si="77"/>
        <v>0</v>
      </c>
      <c r="E77" s="55">
        <f t="shared" si="78"/>
        <v>0</v>
      </c>
      <c r="F77" s="55">
        <f t="shared" si="79"/>
        <v>0</v>
      </c>
      <c r="G77" s="55">
        <f t="shared" si="74"/>
        <v>1536.96</v>
      </c>
      <c r="J77">
        <f t="shared" si="48"/>
        <v>6</v>
      </c>
      <c r="K77" s="70">
        <v>45689</v>
      </c>
      <c r="L77" s="55">
        <f t="shared" si="2"/>
        <v>135694.60000000006</v>
      </c>
      <c r="M77" s="55">
        <f t="shared" si="3"/>
        <v>727.41</v>
      </c>
      <c r="N77" s="55">
        <f t="shared" si="4"/>
        <v>260.39</v>
      </c>
      <c r="O77" s="55">
        <f t="shared" si="5"/>
        <v>467.02</v>
      </c>
      <c r="P77" s="71">
        <v>0</v>
      </c>
      <c r="Q77" s="55">
        <f t="shared" si="6"/>
        <v>727.41</v>
      </c>
      <c r="R77" s="55">
        <f t="shared" si="7"/>
        <v>14565.789999999999</v>
      </c>
      <c r="S77" s="55">
        <f t="shared" si="8"/>
        <v>30533.630000000008</v>
      </c>
      <c r="T77" s="55">
        <f t="shared" si="9"/>
        <v>135434.21000000005</v>
      </c>
      <c r="U77" s="57">
        <f t="shared" si="10"/>
        <v>44565.79</v>
      </c>
      <c r="W77" s="70">
        <v>45870</v>
      </c>
      <c r="X77" s="55">
        <f t="shared" si="100"/>
        <v>0</v>
      </c>
      <c r="Y77" s="55">
        <f t="shared" si="101"/>
        <v>544.78</v>
      </c>
      <c r="Z77" s="55">
        <f t="shared" si="13"/>
        <v>544.78</v>
      </c>
      <c r="AA77" s="55">
        <f t="shared" si="102"/>
        <v>0</v>
      </c>
      <c r="AB77" s="71">
        <v>0</v>
      </c>
      <c r="AC77" s="55">
        <f t="shared" si="15"/>
        <v>0</v>
      </c>
      <c r="AD77" s="55">
        <f t="shared" si="103"/>
        <v>53905.210000000006</v>
      </c>
      <c r="AE77" s="55">
        <f t="shared" si="104"/>
        <v>8935.9199999999946</v>
      </c>
      <c r="AF77" s="55">
        <f t="shared" si="18"/>
        <v>0</v>
      </c>
      <c r="AH77" s="70">
        <v>45870</v>
      </c>
      <c r="AI77" s="55">
        <f t="shared" si="85"/>
        <v>0</v>
      </c>
      <c r="AJ77" s="55">
        <f t="shared" si="86"/>
        <v>186.04</v>
      </c>
      <c r="AK77" s="55">
        <f t="shared" si="21"/>
        <v>186.04</v>
      </c>
      <c r="AL77" s="55">
        <f t="shared" si="87"/>
        <v>0</v>
      </c>
      <c r="AM77" s="71">
        <v>0</v>
      </c>
      <c r="AN77" s="55">
        <f t="shared" si="23"/>
        <v>0</v>
      </c>
      <c r="AO77" s="55">
        <f t="shared" si="88"/>
        <v>21338.090000000018</v>
      </c>
      <c r="AP77" s="55">
        <f t="shared" si="89"/>
        <v>2496.39</v>
      </c>
      <c r="AQ77" s="55">
        <f t="shared" si="26"/>
        <v>0</v>
      </c>
      <c r="AS77" s="70">
        <v>45870</v>
      </c>
      <c r="AT77" s="55">
        <f t="shared" si="90"/>
        <v>0</v>
      </c>
      <c r="AU77" s="55">
        <f t="shared" si="91"/>
        <v>204.6</v>
      </c>
      <c r="AV77" s="55">
        <f t="shared" si="29"/>
        <v>204.6</v>
      </c>
      <c r="AW77" s="55">
        <f t="shared" si="92"/>
        <v>0</v>
      </c>
      <c r="AX77" s="71">
        <v>0</v>
      </c>
      <c r="AY77" s="55">
        <f t="shared" si="31"/>
        <v>0</v>
      </c>
      <c r="AZ77" s="55">
        <f t="shared" si="93"/>
        <v>24566.329999999954</v>
      </c>
      <c r="BA77" s="55">
        <f t="shared" si="94"/>
        <v>2100.6699999999996</v>
      </c>
      <c r="BB77" s="55">
        <f t="shared" si="34"/>
        <v>0</v>
      </c>
      <c r="BD77" s="70">
        <v>45870</v>
      </c>
      <c r="BE77" s="55">
        <f t="shared" si="95"/>
        <v>0</v>
      </c>
      <c r="BF77" s="55">
        <f t="shared" si="96"/>
        <v>221.51</v>
      </c>
      <c r="BG77" s="55">
        <f t="shared" si="37"/>
        <v>221.51</v>
      </c>
      <c r="BH77" s="55">
        <f t="shared" si="97"/>
        <v>0</v>
      </c>
      <c r="BI77" s="71">
        <v>0</v>
      </c>
      <c r="BJ77" s="55">
        <f t="shared" si="39"/>
        <v>0</v>
      </c>
      <c r="BK77" s="55">
        <f t="shared" si="98"/>
        <v>29045.949999999928</v>
      </c>
      <c r="BL77" s="55">
        <f t="shared" si="99"/>
        <v>984.92</v>
      </c>
      <c r="BM77" s="55">
        <f t="shared" si="42"/>
        <v>0</v>
      </c>
    </row>
    <row r="78" spans="1:65" x14ac:dyDescent="0.25">
      <c r="A78" s="70">
        <v>45717</v>
      </c>
      <c r="B78" s="55">
        <f t="shared" si="105"/>
        <v>1454.82</v>
      </c>
      <c r="C78" s="55">
        <f t="shared" si="76"/>
        <v>0</v>
      </c>
      <c r="D78" s="55">
        <f t="shared" si="77"/>
        <v>0</v>
      </c>
      <c r="E78" s="55">
        <f t="shared" si="78"/>
        <v>0</v>
      </c>
      <c r="F78" s="55">
        <f t="shared" si="79"/>
        <v>0</v>
      </c>
      <c r="G78" s="55">
        <f t="shared" si="74"/>
        <v>1454.82</v>
      </c>
      <c r="J78">
        <f t="shared" si="48"/>
        <v>6</v>
      </c>
      <c r="K78" s="70">
        <v>45717</v>
      </c>
      <c r="L78" s="55">
        <f t="shared" si="2"/>
        <v>135434.21000000005</v>
      </c>
      <c r="M78" s="55">
        <f t="shared" si="3"/>
        <v>727.41</v>
      </c>
      <c r="N78" s="55">
        <f t="shared" si="4"/>
        <v>261.28999999999996</v>
      </c>
      <c r="O78" s="55">
        <f t="shared" si="5"/>
        <v>466.12</v>
      </c>
      <c r="P78" s="71">
        <v>727.41</v>
      </c>
      <c r="Q78" s="55">
        <f t="shared" si="6"/>
        <v>1454.82</v>
      </c>
      <c r="R78" s="55">
        <f t="shared" si="7"/>
        <v>15554.49</v>
      </c>
      <c r="S78" s="55">
        <f t="shared" si="8"/>
        <v>30999.750000000007</v>
      </c>
      <c r="T78" s="55">
        <f t="shared" si="9"/>
        <v>134445.51000000004</v>
      </c>
      <c r="U78" s="57">
        <f t="shared" si="10"/>
        <v>45554.49</v>
      </c>
      <c r="W78" s="70">
        <v>45901</v>
      </c>
      <c r="X78" s="55">
        <f t="shared" si="100"/>
        <v>0</v>
      </c>
      <c r="Y78" s="55">
        <f t="shared" si="101"/>
        <v>544.78</v>
      </c>
      <c r="Z78" s="55">
        <f t="shared" si="13"/>
        <v>544.78</v>
      </c>
      <c r="AA78" s="55">
        <f t="shared" si="102"/>
        <v>0</v>
      </c>
      <c r="AB78" s="71">
        <v>0</v>
      </c>
      <c r="AC78" s="55">
        <f t="shared" si="15"/>
        <v>0</v>
      </c>
      <c r="AD78" s="55">
        <f t="shared" si="103"/>
        <v>54449.990000000005</v>
      </c>
      <c r="AE78" s="55">
        <f t="shared" si="104"/>
        <v>8935.9199999999946</v>
      </c>
      <c r="AF78" s="55">
        <f t="shared" si="18"/>
        <v>0</v>
      </c>
      <c r="AH78" s="70">
        <v>45901</v>
      </c>
      <c r="AI78" s="55">
        <f t="shared" si="85"/>
        <v>0</v>
      </c>
      <c r="AJ78" s="55">
        <f t="shared" si="86"/>
        <v>186.04</v>
      </c>
      <c r="AK78" s="55">
        <f t="shared" si="21"/>
        <v>186.04</v>
      </c>
      <c r="AL78" s="55">
        <f t="shared" si="87"/>
        <v>0</v>
      </c>
      <c r="AM78" s="71">
        <v>0</v>
      </c>
      <c r="AN78" s="55">
        <f t="shared" si="23"/>
        <v>0</v>
      </c>
      <c r="AO78" s="55">
        <f t="shared" si="88"/>
        <v>21524.130000000019</v>
      </c>
      <c r="AP78" s="55">
        <f t="shared" si="89"/>
        <v>2496.39</v>
      </c>
      <c r="AQ78" s="55">
        <f t="shared" si="26"/>
        <v>0</v>
      </c>
      <c r="AS78" s="70">
        <v>45901</v>
      </c>
      <c r="AT78" s="55">
        <f t="shared" si="90"/>
        <v>0</v>
      </c>
      <c r="AU78" s="55">
        <f t="shared" si="91"/>
        <v>204.6</v>
      </c>
      <c r="AV78" s="55">
        <f t="shared" si="29"/>
        <v>204.6</v>
      </c>
      <c r="AW78" s="55">
        <f t="shared" si="92"/>
        <v>0</v>
      </c>
      <c r="AX78" s="71">
        <v>0</v>
      </c>
      <c r="AY78" s="55">
        <f t="shared" si="31"/>
        <v>0</v>
      </c>
      <c r="AZ78" s="55">
        <f t="shared" si="93"/>
        <v>24770.929999999953</v>
      </c>
      <c r="BA78" s="55">
        <f t="shared" si="94"/>
        <v>2100.6699999999996</v>
      </c>
      <c r="BB78" s="55">
        <f t="shared" si="34"/>
        <v>0</v>
      </c>
      <c r="BD78" s="70">
        <v>45901</v>
      </c>
      <c r="BE78" s="55">
        <f t="shared" si="95"/>
        <v>0</v>
      </c>
      <c r="BF78" s="55">
        <f t="shared" si="96"/>
        <v>221.51</v>
      </c>
      <c r="BG78" s="55">
        <f t="shared" si="37"/>
        <v>221.51</v>
      </c>
      <c r="BH78" s="55">
        <f t="shared" si="97"/>
        <v>0</v>
      </c>
      <c r="BI78" s="71">
        <v>0</v>
      </c>
      <c r="BJ78" s="55">
        <f t="shared" si="39"/>
        <v>0</v>
      </c>
      <c r="BK78" s="55">
        <f t="shared" si="98"/>
        <v>29267.459999999926</v>
      </c>
      <c r="BL78" s="55">
        <f t="shared" si="99"/>
        <v>984.92</v>
      </c>
      <c r="BM78" s="55">
        <f t="shared" si="42"/>
        <v>0</v>
      </c>
    </row>
    <row r="79" spans="1:65" x14ac:dyDescent="0.25">
      <c r="A79" s="70">
        <v>45748</v>
      </c>
      <c r="B79" s="55">
        <f t="shared" si="105"/>
        <v>1454.82</v>
      </c>
      <c r="C79" s="55">
        <f t="shared" si="76"/>
        <v>0</v>
      </c>
      <c r="D79" s="55">
        <f t="shared" si="77"/>
        <v>0</v>
      </c>
      <c r="E79" s="55">
        <f t="shared" si="78"/>
        <v>0</v>
      </c>
      <c r="F79" s="55">
        <f t="shared" si="79"/>
        <v>0</v>
      </c>
      <c r="G79" s="55">
        <f t="shared" si="74"/>
        <v>1454.82</v>
      </c>
      <c r="J79">
        <f t="shared" si="48"/>
        <v>6</v>
      </c>
      <c r="K79" s="70">
        <v>45748</v>
      </c>
      <c r="L79" s="55">
        <f t="shared" si="2"/>
        <v>134445.51000000004</v>
      </c>
      <c r="M79" s="55">
        <f t="shared" si="3"/>
        <v>727.41</v>
      </c>
      <c r="N79" s="55">
        <f t="shared" si="4"/>
        <v>264.68999999999994</v>
      </c>
      <c r="O79" s="55">
        <f t="shared" si="5"/>
        <v>462.72</v>
      </c>
      <c r="P79" s="71">
        <v>727.41</v>
      </c>
      <c r="Q79" s="55">
        <f t="shared" si="6"/>
        <v>1454.82</v>
      </c>
      <c r="R79" s="55">
        <f t="shared" si="7"/>
        <v>16546.59</v>
      </c>
      <c r="S79" s="55">
        <f t="shared" si="8"/>
        <v>31462.470000000008</v>
      </c>
      <c r="T79" s="55">
        <f t="shared" si="9"/>
        <v>133453.41000000003</v>
      </c>
      <c r="U79" s="57">
        <f t="shared" si="10"/>
        <v>46546.59</v>
      </c>
      <c r="W79" s="70">
        <v>45931</v>
      </c>
      <c r="X79" s="55">
        <f t="shared" si="100"/>
        <v>0</v>
      </c>
      <c r="Y79" s="55">
        <f t="shared" si="101"/>
        <v>544.78</v>
      </c>
      <c r="Z79" s="55">
        <f t="shared" si="13"/>
        <v>544.78</v>
      </c>
      <c r="AA79" s="55">
        <f t="shared" si="102"/>
        <v>0</v>
      </c>
      <c r="AB79" s="71">
        <v>0</v>
      </c>
      <c r="AC79" s="55">
        <f t="shared" si="15"/>
        <v>0</v>
      </c>
      <c r="AD79" s="55">
        <f t="shared" si="103"/>
        <v>54994.770000000004</v>
      </c>
      <c r="AE79" s="55">
        <f t="shared" si="104"/>
        <v>8935.9199999999946</v>
      </c>
      <c r="AF79" s="55">
        <f t="shared" si="18"/>
        <v>0</v>
      </c>
      <c r="AH79" s="70">
        <v>45931</v>
      </c>
      <c r="AI79" s="55">
        <f t="shared" si="85"/>
        <v>0</v>
      </c>
      <c r="AJ79" s="55">
        <f t="shared" si="86"/>
        <v>186.04</v>
      </c>
      <c r="AK79" s="55">
        <f t="shared" si="21"/>
        <v>186.04</v>
      </c>
      <c r="AL79" s="55">
        <f t="shared" si="87"/>
        <v>0</v>
      </c>
      <c r="AM79" s="71">
        <v>0</v>
      </c>
      <c r="AN79" s="55">
        <f t="shared" si="23"/>
        <v>0</v>
      </c>
      <c r="AO79" s="55">
        <f t="shared" si="88"/>
        <v>21710.17000000002</v>
      </c>
      <c r="AP79" s="55">
        <f t="shared" si="89"/>
        <v>2496.39</v>
      </c>
      <c r="AQ79" s="55">
        <f t="shared" si="26"/>
        <v>0</v>
      </c>
      <c r="AS79" s="70">
        <v>45931</v>
      </c>
      <c r="AT79" s="55">
        <f t="shared" si="90"/>
        <v>0</v>
      </c>
      <c r="AU79" s="55">
        <f t="shared" si="91"/>
        <v>204.6</v>
      </c>
      <c r="AV79" s="55">
        <f t="shared" si="29"/>
        <v>204.6</v>
      </c>
      <c r="AW79" s="55">
        <f t="shared" si="92"/>
        <v>0</v>
      </c>
      <c r="AX79" s="71">
        <v>0</v>
      </c>
      <c r="AY79" s="55">
        <f t="shared" si="31"/>
        <v>0</v>
      </c>
      <c r="AZ79" s="55">
        <f t="shared" si="93"/>
        <v>24975.529999999952</v>
      </c>
      <c r="BA79" s="55">
        <f t="shared" si="94"/>
        <v>2100.6699999999996</v>
      </c>
      <c r="BB79" s="55">
        <f t="shared" si="34"/>
        <v>0</v>
      </c>
      <c r="BD79" s="70">
        <v>45931</v>
      </c>
      <c r="BE79" s="55">
        <f t="shared" si="95"/>
        <v>0</v>
      </c>
      <c r="BF79" s="55">
        <f t="shared" si="96"/>
        <v>221.51</v>
      </c>
      <c r="BG79" s="55">
        <f t="shared" si="37"/>
        <v>221.51</v>
      </c>
      <c r="BH79" s="55">
        <f t="shared" si="97"/>
        <v>0</v>
      </c>
      <c r="BI79" s="71">
        <v>0</v>
      </c>
      <c r="BJ79" s="55">
        <f t="shared" si="39"/>
        <v>0</v>
      </c>
      <c r="BK79" s="55">
        <f t="shared" si="98"/>
        <v>29488.969999999925</v>
      </c>
      <c r="BL79" s="55">
        <f t="shared" si="99"/>
        <v>984.92</v>
      </c>
      <c r="BM79" s="55">
        <f t="shared" si="42"/>
        <v>0</v>
      </c>
    </row>
    <row r="80" spans="1:65" x14ac:dyDescent="0.25">
      <c r="A80" s="70">
        <v>45778</v>
      </c>
      <c r="B80" s="55">
        <f t="shared" si="105"/>
        <v>1454.82</v>
      </c>
      <c r="C80" s="55">
        <f t="shared" si="76"/>
        <v>0</v>
      </c>
      <c r="D80" s="55">
        <f t="shared" si="77"/>
        <v>0</v>
      </c>
      <c r="E80" s="55">
        <f t="shared" si="78"/>
        <v>0</v>
      </c>
      <c r="F80" s="55">
        <f t="shared" si="79"/>
        <v>0</v>
      </c>
      <c r="G80" s="55">
        <f t="shared" ref="G80:G111" si="106">SUM(B80:F80)</f>
        <v>1454.82</v>
      </c>
      <c r="J80">
        <f t="shared" si="48"/>
        <v>6</v>
      </c>
      <c r="K80" s="70">
        <v>45778</v>
      </c>
      <c r="L80" s="55">
        <f t="shared" si="2"/>
        <v>133453.41000000003</v>
      </c>
      <c r="M80" s="55">
        <f t="shared" si="3"/>
        <v>727.41</v>
      </c>
      <c r="N80" s="55">
        <f t="shared" si="4"/>
        <v>268.10999999999996</v>
      </c>
      <c r="O80" s="55">
        <f t="shared" si="5"/>
        <v>459.3</v>
      </c>
      <c r="P80" s="71">
        <v>727.41</v>
      </c>
      <c r="Q80" s="55">
        <f t="shared" si="6"/>
        <v>1454.82</v>
      </c>
      <c r="R80" s="55">
        <f t="shared" si="7"/>
        <v>17542.11</v>
      </c>
      <c r="S80" s="55">
        <f t="shared" si="8"/>
        <v>31921.770000000008</v>
      </c>
      <c r="T80" s="55">
        <f t="shared" si="9"/>
        <v>132457.89000000004</v>
      </c>
      <c r="U80" s="57">
        <f t="shared" si="10"/>
        <v>47542.11</v>
      </c>
      <c r="W80" s="70">
        <v>45962</v>
      </c>
      <c r="X80" s="55">
        <f t="shared" si="100"/>
        <v>0</v>
      </c>
      <c r="Y80" s="55">
        <f t="shared" si="101"/>
        <v>544.78</v>
      </c>
      <c r="Z80" s="55">
        <f t="shared" si="13"/>
        <v>544.78</v>
      </c>
      <c r="AA80" s="55">
        <f t="shared" si="102"/>
        <v>0</v>
      </c>
      <c r="AB80" s="71">
        <v>0</v>
      </c>
      <c r="AC80" s="55">
        <f t="shared" si="15"/>
        <v>0</v>
      </c>
      <c r="AD80" s="55">
        <f t="shared" si="103"/>
        <v>55539.55</v>
      </c>
      <c r="AE80" s="55">
        <f t="shared" si="104"/>
        <v>8935.9199999999946</v>
      </c>
      <c r="AF80" s="55">
        <f t="shared" si="18"/>
        <v>0</v>
      </c>
      <c r="AH80" s="70">
        <v>45962</v>
      </c>
      <c r="AI80" s="55">
        <f t="shared" si="85"/>
        <v>0</v>
      </c>
      <c r="AJ80" s="55">
        <f t="shared" si="86"/>
        <v>186.04</v>
      </c>
      <c r="AK80" s="55">
        <f t="shared" si="21"/>
        <v>186.04</v>
      </c>
      <c r="AL80" s="55">
        <f t="shared" si="87"/>
        <v>0</v>
      </c>
      <c r="AM80" s="71">
        <v>0</v>
      </c>
      <c r="AN80" s="55">
        <f t="shared" si="23"/>
        <v>0</v>
      </c>
      <c r="AO80" s="55">
        <f t="shared" si="88"/>
        <v>21896.210000000021</v>
      </c>
      <c r="AP80" s="55">
        <f t="shared" si="89"/>
        <v>2496.39</v>
      </c>
      <c r="AQ80" s="55">
        <f t="shared" si="26"/>
        <v>0</v>
      </c>
      <c r="AS80" s="70">
        <v>45962</v>
      </c>
      <c r="AT80" s="55">
        <f t="shared" si="90"/>
        <v>0</v>
      </c>
      <c r="AU80" s="55">
        <f t="shared" si="91"/>
        <v>204.6</v>
      </c>
      <c r="AV80" s="55">
        <f t="shared" si="29"/>
        <v>204.6</v>
      </c>
      <c r="AW80" s="55">
        <f t="shared" si="92"/>
        <v>0</v>
      </c>
      <c r="AX80" s="71">
        <v>0</v>
      </c>
      <c r="AY80" s="55">
        <f t="shared" si="31"/>
        <v>0</v>
      </c>
      <c r="AZ80" s="55">
        <f t="shared" si="93"/>
        <v>25180.12999999995</v>
      </c>
      <c r="BA80" s="55">
        <f t="shared" si="94"/>
        <v>2100.6699999999996</v>
      </c>
      <c r="BB80" s="55">
        <f t="shared" si="34"/>
        <v>0</v>
      </c>
      <c r="BD80" s="70">
        <v>45962</v>
      </c>
      <c r="BE80" s="55">
        <f t="shared" si="95"/>
        <v>0</v>
      </c>
      <c r="BF80" s="55">
        <f t="shared" si="96"/>
        <v>221.51</v>
      </c>
      <c r="BG80" s="55">
        <f t="shared" si="37"/>
        <v>221.51</v>
      </c>
      <c r="BH80" s="55">
        <f t="shared" si="97"/>
        <v>0</v>
      </c>
      <c r="BI80" s="71">
        <v>0</v>
      </c>
      <c r="BJ80" s="55">
        <f t="shared" si="39"/>
        <v>0</v>
      </c>
      <c r="BK80" s="55">
        <f t="shared" si="98"/>
        <v>29710.479999999923</v>
      </c>
      <c r="BL80" s="55">
        <f t="shared" si="99"/>
        <v>984.92</v>
      </c>
      <c r="BM80" s="55">
        <f t="shared" si="42"/>
        <v>0</v>
      </c>
    </row>
    <row r="81" spans="1:65" x14ac:dyDescent="0.25">
      <c r="A81" s="70">
        <v>45809</v>
      </c>
      <c r="B81" s="55">
        <f t="shared" si="105"/>
        <v>1454.82</v>
      </c>
      <c r="C81" s="55">
        <f t="shared" si="76"/>
        <v>0</v>
      </c>
      <c r="D81" s="55">
        <f t="shared" si="77"/>
        <v>0</v>
      </c>
      <c r="E81" s="55">
        <f t="shared" si="78"/>
        <v>0</v>
      </c>
      <c r="F81" s="55">
        <f t="shared" si="79"/>
        <v>0</v>
      </c>
      <c r="G81" s="55">
        <f t="shared" si="106"/>
        <v>1454.82</v>
      </c>
      <c r="J81">
        <f t="shared" si="48"/>
        <v>6</v>
      </c>
      <c r="K81" s="70">
        <v>45809</v>
      </c>
      <c r="L81" s="55">
        <f t="shared" si="2"/>
        <v>132457.89000000004</v>
      </c>
      <c r="M81" s="55">
        <f t="shared" si="3"/>
        <v>727.41</v>
      </c>
      <c r="N81" s="55">
        <f t="shared" si="4"/>
        <v>271.52999999999997</v>
      </c>
      <c r="O81" s="55">
        <f t="shared" si="5"/>
        <v>455.88</v>
      </c>
      <c r="P81" s="71">
        <v>727.41</v>
      </c>
      <c r="Q81" s="55">
        <f t="shared" si="6"/>
        <v>1454.82</v>
      </c>
      <c r="R81" s="55">
        <f t="shared" si="7"/>
        <v>18541.05</v>
      </c>
      <c r="S81" s="55">
        <f t="shared" si="8"/>
        <v>32377.650000000009</v>
      </c>
      <c r="T81" s="55">
        <f t="shared" si="9"/>
        <v>131458.95000000004</v>
      </c>
      <c r="U81" s="57">
        <f t="shared" si="10"/>
        <v>48541.05</v>
      </c>
      <c r="W81" s="70">
        <v>45992</v>
      </c>
      <c r="X81" s="55">
        <f t="shared" si="100"/>
        <v>0</v>
      </c>
      <c r="Y81" s="55">
        <f t="shared" si="101"/>
        <v>544.78</v>
      </c>
      <c r="Z81" s="55">
        <f t="shared" si="13"/>
        <v>544.78</v>
      </c>
      <c r="AA81" s="55">
        <f t="shared" si="102"/>
        <v>0</v>
      </c>
      <c r="AB81" s="71">
        <v>0</v>
      </c>
      <c r="AC81" s="55">
        <f t="shared" si="15"/>
        <v>0</v>
      </c>
      <c r="AD81" s="55">
        <f t="shared" si="103"/>
        <v>56084.33</v>
      </c>
      <c r="AE81" s="55">
        <f t="shared" si="104"/>
        <v>8935.9199999999946</v>
      </c>
      <c r="AF81" s="55">
        <f t="shared" si="18"/>
        <v>0</v>
      </c>
      <c r="AH81" s="70">
        <v>45992</v>
      </c>
      <c r="AI81" s="55">
        <f t="shared" si="85"/>
        <v>0</v>
      </c>
      <c r="AJ81" s="55">
        <f t="shared" si="86"/>
        <v>186.04</v>
      </c>
      <c r="AK81" s="55">
        <f t="shared" si="21"/>
        <v>186.04</v>
      </c>
      <c r="AL81" s="55">
        <f t="shared" si="87"/>
        <v>0</v>
      </c>
      <c r="AM81" s="71">
        <v>0</v>
      </c>
      <c r="AN81" s="55">
        <f t="shared" si="23"/>
        <v>0</v>
      </c>
      <c r="AO81" s="55">
        <f t="shared" si="88"/>
        <v>22082.250000000022</v>
      </c>
      <c r="AP81" s="55">
        <f t="shared" si="89"/>
        <v>2496.39</v>
      </c>
      <c r="AQ81" s="55">
        <f t="shared" si="26"/>
        <v>0</v>
      </c>
      <c r="AS81" s="70">
        <v>45992</v>
      </c>
      <c r="AT81" s="55">
        <f t="shared" si="90"/>
        <v>0</v>
      </c>
      <c r="AU81" s="55">
        <f t="shared" si="91"/>
        <v>204.6</v>
      </c>
      <c r="AV81" s="55">
        <f t="shared" si="29"/>
        <v>204.6</v>
      </c>
      <c r="AW81" s="55">
        <f t="shared" si="92"/>
        <v>0</v>
      </c>
      <c r="AX81" s="71">
        <v>0</v>
      </c>
      <c r="AY81" s="55">
        <f t="shared" si="31"/>
        <v>0</v>
      </c>
      <c r="AZ81" s="55">
        <f t="shared" si="93"/>
        <v>25384.729999999949</v>
      </c>
      <c r="BA81" s="55">
        <f t="shared" si="94"/>
        <v>2100.6699999999996</v>
      </c>
      <c r="BB81" s="55">
        <f t="shared" si="34"/>
        <v>0</v>
      </c>
      <c r="BD81" s="70">
        <v>45992</v>
      </c>
      <c r="BE81" s="55">
        <f t="shared" si="95"/>
        <v>0</v>
      </c>
      <c r="BF81" s="55">
        <f t="shared" si="96"/>
        <v>221.51</v>
      </c>
      <c r="BG81" s="55">
        <f t="shared" si="37"/>
        <v>221.51</v>
      </c>
      <c r="BH81" s="55">
        <f t="shared" si="97"/>
        <v>0</v>
      </c>
      <c r="BI81" s="71">
        <v>0</v>
      </c>
      <c r="BJ81" s="55">
        <f t="shared" si="39"/>
        <v>0</v>
      </c>
      <c r="BK81" s="55">
        <f t="shared" si="98"/>
        <v>29931.989999999922</v>
      </c>
      <c r="BL81" s="55">
        <f t="shared" si="99"/>
        <v>984.92</v>
      </c>
      <c r="BM81" s="55">
        <f t="shared" si="42"/>
        <v>0</v>
      </c>
    </row>
    <row r="82" spans="1:65" x14ac:dyDescent="0.25">
      <c r="A82" s="70">
        <v>45839</v>
      </c>
      <c r="B82" s="55">
        <f t="shared" ref="B82:B140" si="107">Q82</f>
        <v>1454.82</v>
      </c>
      <c r="C82" s="55">
        <f t="shared" si="76"/>
        <v>0</v>
      </c>
      <c r="D82" s="55">
        <f t="shared" si="77"/>
        <v>0</v>
      </c>
      <c r="E82" s="55">
        <f t="shared" si="78"/>
        <v>0</v>
      </c>
      <c r="F82" s="55">
        <f t="shared" si="79"/>
        <v>0</v>
      </c>
      <c r="G82" s="55">
        <f t="shared" si="106"/>
        <v>1454.82</v>
      </c>
      <c r="J82">
        <f t="shared" si="48"/>
        <v>6</v>
      </c>
      <c r="K82" s="70">
        <v>45839</v>
      </c>
      <c r="L82" s="55">
        <f t="shared" ref="L82:L145" si="108">$T81</f>
        <v>131458.95000000004</v>
      </c>
      <c r="M82" s="55">
        <f t="shared" ref="M82:M145" si="109">$K$11</f>
        <v>727.41</v>
      </c>
      <c r="N82" s="55">
        <f t="shared" ref="N82:N145" si="110">M82-O82</f>
        <v>274.96999999999997</v>
      </c>
      <c r="O82" s="55">
        <f t="shared" ref="O82:O145" si="111">ROUND($L82*$K$8/12,2)</f>
        <v>452.44</v>
      </c>
      <c r="P82" s="71">
        <v>727.41</v>
      </c>
      <c r="Q82" s="55">
        <f t="shared" ref="Q82:Q145" si="112">IF(T81&lt;100,0,M82+P82)</f>
        <v>1454.82</v>
      </c>
      <c r="R82" s="55">
        <f t="shared" ref="R82:R145" si="113">N82+P82+R81</f>
        <v>19543.43</v>
      </c>
      <c r="S82" s="55">
        <f t="shared" ref="S82:S145" si="114">O82+S81</f>
        <v>32830.090000000011</v>
      </c>
      <c r="T82" s="55">
        <f t="shared" ref="T82:T145" si="115">IF(T81&lt;100,0,L82-N82-P82)</f>
        <v>130456.57000000004</v>
      </c>
      <c r="U82" s="57">
        <f t="shared" ref="U82:U145" si="116">IF(U81&gt;=180000,180000,K$6+R82)</f>
        <v>49543.43</v>
      </c>
      <c r="W82" s="70">
        <v>46023</v>
      </c>
      <c r="X82" s="55">
        <f t="shared" si="100"/>
        <v>0</v>
      </c>
      <c r="Y82" s="55">
        <f t="shared" si="101"/>
        <v>544.78</v>
      </c>
      <c r="Z82" s="55">
        <f t="shared" ref="Z82:Z142" si="117">Y82-AA82</f>
        <v>544.78</v>
      </c>
      <c r="AA82" s="55">
        <f t="shared" si="102"/>
        <v>0</v>
      </c>
      <c r="AB82" s="71">
        <v>0</v>
      </c>
      <c r="AC82" s="55">
        <f t="shared" ref="AC82:AC142" si="118">IF(AF81&lt;100,0,Y82+AB82)</f>
        <v>0</v>
      </c>
      <c r="AD82" s="55">
        <f t="shared" si="103"/>
        <v>56629.11</v>
      </c>
      <c r="AE82" s="55">
        <f t="shared" si="104"/>
        <v>8935.9199999999946</v>
      </c>
      <c r="AF82" s="55">
        <f t="shared" ref="AF82:AF142" si="119">IF(AF81&lt;100,0,X82-Z82-AB82)</f>
        <v>0</v>
      </c>
      <c r="AH82" s="70">
        <v>46023</v>
      </c>
      <c r="AI82" s="55">
        <f t="shared" si="85"/>
        <v>0</v>
      </c>
      <c r="AJ82" s="55">
        <f t="shared" si="86"/>
        <v>186.04</v>
      </c>
      <c r="AK82" s="55">
        <f t="shared" ref="AK82:AK142" si="120">AJ82-AL82</f>
        <v>186.04</v>
      </c>
      <c r="AL82" s="55">
        <f t="shared" si="87"/>
        <v>0</v>
      </c>
      <c r="AM82" s="71">
        <v>0</v>
      </c>
      <c r="AN82" s="55">
        <f t="shared" ref="AN82:AN142" si="121">IF(AQ81&lt;100,0,AJ82+AM82)</f>
        <v>0</v>
      </c>
      <c r="AO82" s="55">
        <f t="shared" si="88"/>
        <v>22268.290000000023</v>
      </c>
      <c r="AP82" s="55">
        <f t="shared" si="89"/>
        <v>2496.39</v>
      </c>
      <c r="AQ82" s="55">
        <f t="shared" ref="AQ82:AQ142" si="122">IF(AQ81&lt;100,0,AI82-AK82-AM82)</f>
        <v>0</v>
      </c>
      <c r="AS82" s="70">
        <v>46023</v>
      </c>
      <c r="AT82" s="55">
        <f t="shared" si="90"/>
        <v>0</v>
      </c>
      <c r="AU82" s="55">
        <f t="shared" si="91"/>
        <v>204.6</v>
      </c>
      <c r="AV82" s="55">
        <f t="shared" ref="AV82:AV142" si="123">AU82-AW82</f>
        <v>204.6</v>
      </c>
      <c r="AW82" s="55">
        <f t="shared" si="92"/>
        <v>0</v>
      </c>
      <c r="AX82" s="71">
        <v>0</v>
      </c>
      <c r="AY82" s="55">
        <f t="shared" ref="AY82:AY142" si="124">IF(BB81&lt;100,0,AU82+AX82)</f>
        <v>0</v>
      </c>
      <c r="AZ82" s="55">
        <f t="shared" si="93"/>
        <v>25589.329999999947</v>
      </c>
      <c r="BA82" s="55">
        <f t="shared" si="94"/>
        <v>2100.6699999999996</v>
      </c>
      <c r="BB82" s="55">
        <f t="shared" ref="BB82:BB142" si="125">IF(BB81&lt;100,0,AT82-AV82-AX82)</f>
        <v>0</v>
      </c>
      <c r="BD82" s="70">
        <v>46023</v>
      </c>
      <c r="BE82" s="55">
        <f t="shared" si="95"/>
        <v>0</v>
      </c>
      <c r="BF82" s="55">
        <f t="shared" si="96"/>
        <v>221.51</v>
      </c>
      <c r="BG82" s="55">
        <f t="shared" ref="BG82:BG142" si="126">BF82-BH82</f>
        <v>221.51</v>
      </c>
      <c r="BH82" s="55">
        <f t="shared" si="97"/>
        <v>0</v>
      </c>
      <c r="BI82" s="71">
        <v>0</v>
      </c>
      <c r="BJ82" s="55">
        <f t="shared" ref="BJ82:BJ142" si="127">IF(BM81&lt;100,0,BF82+BI82)</f>
        <v>0</v>
      </c>
      <c r="BK82" s="55">
        <f t="shared" si="98"/>
        <v>30153.49999999992</v>
      </c>
      <c r="BL82" s="55">
        <f t="shared" si="99"/>
        <v>984.92</v>
      </c>
      <c r="BM82" s="55">
        <f t="shared" ref="BM82:BM142" si="128">IF(BM81&lt;100,0,BE82-BG82-BI82)</f>
        <v>0</v>
      </c>
    </row>
    <row r="83" spans="1:65" x14ac:dyDescent="0.25">
      <c r="A83" s="70">
        <v>45870</v>
      </c>
      <c r="B83" s="55">
        <f t="shared" si="107"/>
        <v>1454.82</v>
      </c>
      <c r="C83" s="55">
        <f t="shared" si="76"/>
        <v>0</v>
      </c>
      <c r="D83" s="55">
        <f t="shared" si="77"/>
        <v>0</v>
      </c>
      <c r="E83" s="55">
        <f t="shared" si="78"/>
        <v>0</v>
      </c>
      <c r="F83" s="55">
        <f t="shared" si="79"/>
        <v>0</v>
      </c>
      <c r="G83" s="55">
        <f t="shared" si="106"/>
        <v>1454.82</v>
      </c>
      <c r="J83">
        <f t="shared" si="48"/>
        <v>6</v>
      </c>
      <c r="K83" s="70">
        <v>45870</v>
      </c>
      <c r="L83" s="55">
        <f t="shared" si="108"/>
        <v>130456.57000000004</v>
      </c>
      <c r="M83" s="55">
        <f t="shared" si="109"/>
        <v>727.41</v>
      </c>
      <c r="N83" s="55">
        <f t="shared" si="110"/>
        <v>278.41999999999996</v>
      </c>
      <c r="O83" s="55">
        <f t="shared" si="111"/>
        <v>448.99</v>
      </c>
      <c r="P83" s="71">
        <v>727.41</v>
      </c>
      <c r="Q83" s="55">
        <f t="shared" si="112"/>
        <v>1454.82</v>
      </c>
      <c r="R83" s="55">
        <f t="shared" si="113"/>
        <v>20549.260000000002</v>
      </c>
      <c r="S83" s="55">
        <f t="shared" si="114"/>
        <v>33279.080000000009</v>
      </c>
      <c r="T83" s="55">
        <f t="shared" si="115"/>
        <v>129450.74000000003</v>
      </c>
      <c r="U83" s="57">
        <f t="shared" si="116"/>
        <v>50549.26</v>
      </c>
      <c r="W83" s="70">
        <v>46054</v>
      </c>
      <c r="X83" s="55">
        <f t="shared" si="100"/>
        <v>0</v>
      </c>
      <c r="Y83" s="55">
        <f t="shared" si="101"/>
        <v>544.78</v>
      </c>
      <c r="Z83" s="55">
        <f t="shared" si="117"/>
        <v>544.78</v>
      </c>
      <c r="AA83" s="55">
        <f t="shared" si="102"/>
        <v>0</v>
      </c>
      <c r="AB83" s="71">
        <v>0</v>
      </c>
      <c r="AC83" s="55">
        <f t="shared" si="118"/>
        <v>0</v>
      </c>
      <c r="AD83" s="55">
        <f t="shared" si="103"/>
        <v>57173.89</v>
      </c>
      <c r="AE83" s="55">
        <f t="shared" si="104"/>
        <v>8935.9199999999946</v>
      </c>
      <c r="AF83" s="55">
        <f t="shared" si="119"/>
        <v>0</v>
      </c>
      <c r="AH83" s="70">
        <v>46054</v>
      </c>
      <c r="AI83" s="55">
        <f t="shared" si="85"/>
        <v>0</v>
      </c>
      <c r="AJ83" s="55">
        <f t="shared" si="86"/>
        <v>186.04</v>
      </c>
      <c r="AK83" s="55">
        <f t="shared" si="120"/>
        <v>186.04</v>
      </c>
      <c r="AL83" s="55">
        <f t="shared" si="87"/>
        <v>0</v>
      </c>
      <c r="AM83" s="71">
        <v>0</v>
      </c>
      <c r="AN83" s="55">
        <f t="shared" si="121"/>
        <v>0</v>
      </c>
      <c r="AO83" s="55">
        <f t="shared" si="88"/>
        <v>22454.330000000024</v>
      </c>
      <c r="AP83" s="55">
        <f t="shared" si="89"/>
        <v>2496.39</v>
      </c>
      <c r="AQ83" s="55">
        <f t="shared" si="122"/>
        <v>0</v>
      </c>
      <c r="AS83" s="70">
        <v>46054</v>
      </c>
      <c r="AT83" s="55">
        <f t="shared" si="90"/>
        <v>0</v>
      </c>
      <c r="AU83" s="55">
        <f t="shared" si="91"/>
        <v>204.6</v>
      </c>
      <c r="AV83" s="55">
        <f t="shared" si="123"/>
        <v>204.6</v>
      </c>
      <c r="AW83" s="55">
        <f t="shared" si="92"/>
        <v>0</v>
      </c>
      <c r="AX83" s="71">
        <v>0</v>
      </c>
      <c r="AY83" s="55">
        <f t="shared" si="124"/>
        <v>0</v>
      </c>
      <c r="AZ83" s="55">
        <f t="shared" si="93"/>
        <v>25793.929999999946</v>
      </c>
      <c r="BA83" s="55">
        <f t="shared" si="94"/>
        <v>2100.6699999999996</v>
      </c>
      <c r="BB83" s="55">
        <f t="shared" si="125"/>
        <v>0</v>
      </c>
      <c r="BD83" s="70">
        <v>46054</v>
      </c>
      <c r="BE83" s="55">
        <f t="shared" si="95"/>
        <v>0</v>
      </c>
      <c r="BF83" s="55">
        <f t="shared" si="96"/>
        <v>221.51</v>
      </c>
      <c r="BG83" s="55">
        <f t="shared" si="126"/>
        <v>221.51</v>
      </c>
      <c r="BH83" s="55">
        <f t="shared" si="97"/>
        <v>0</v>
      </c>
      <c r="BI83" s="71">
        <v>0</v>
      </c>
      <c r="BJ83" s="55">
        <f t="shared" si="127"/>
        <v>0</v>
      </c>
      <c r="BK83" s="55">
        <f t="shared" si="98"/>
        <v>30375.009999999918</v>
      </c>
      <c r="BL83" s="55">
        <f t="shared" si="99"/>
        <v>984.92</v>
      </c>
      <c r="BM83" s="55">
        <f t="shared" si="128"/>
        <v>0</v>
      </c>
    </row>
    <row r="84" spans="1:65" x14ac:dyDescent="0.25">
      <c r="A84" s="70">
        <v>45901</v>
      </c>
      <c r="B84" s="55">
        <f t="shared" si="107"/>
        <v>1454.82</v>
      </c>
      <c r="C84" s="55">
        <f t="shared" si="76"/>
        <v>0</v>
      </c>
      <c r="D84" s="55">
        <f t="shared" si="77"/>
        <v>0</v>
      </c>
      <c r="E84" s="55">
        <f t="shared" si="78"/>
        <v>0</v>
      </c>
      <c r="F84" s="55">
        <f t="shared" si="79"/>
        <v>0</v>
      </c>
      <c r="G84" s="55">
        <f t="shared" si="106"/>
        <v>1454.82</v>
      </c>
      <c r="J84">
        <f t="shared" si="48"/>
        <v>6</v>
      </c>
      <c r="K84" s="70">
        <v>45901</v>
      </c>
      <c r="L84" s="55">
        <f t="shared" si="108"/>
        <v>129450.74000000003</v>
      </c>
      <c r="M84" s="55">
        <f t="shared" si="109"/>
        <v>727.41</v>
      </c>
      <c r="N84" s="55">
        <f t="shared" si="110"/>
        <v>281.88</v>
      </c>
      <c r="O84" s="55">
        <f t="shared" si="111"/>
        <v>445.53</v>
      </c>
      <c r="P84" s="71">
        <v>727.41</v>
      </c>
      <c r="Q84" s="55">
        <f t="shared" si="112"/>
        <v>1454.82</v>
      </c>
      <c r="R84" s="55">
        <f t="shared" si="113"/>
        <v>21558.550000000003</v>
      </c>
      <c r="S84" s="55">
        <f t="shared" si="114"/>
        <v>33724.610000000008</v>
      </c>
      <c r="T84" s="55">
        <f t="shared" si="115"/>
        <v>128441.45000000003</v>
      </c>
      <c r="U84" s="57">
        <f t="shared" si="116"/>
        <v>51558.55</v>
      </c>
      <c r="W84" s="70">
        <v>46082</v>
      </c>
      <c r="X84" s="55">
        <f t="shared" si="100"/>
        <v>0</v>
      </c>
      <c r="Y84" s="55">
        <f t="shared" si="101"/>
        <v>544.78</v>
      </c>
      <c r="Z84" s="55">
        <f t="shared" si="117"/>
        <v>544.78</v>
      </c>
      <c r="AA84" s="55">
        <f t="shared" si="102"/>
        <v>0</v>
      </c>
      <c r="AB84" s="71">
        <v>0</v>
      </c>
      <c r="AC84" s="55">
        <f t="shared" si="118"/>
        <v>0</v>
      </c>
      <c r="AD84" s="55">
        <f t="shared" si="103"/>
        <v>57718.67</v>
      </c>
      <c r="AE84" s="55">
        <f t="shared" si="104"/>
        <v>8935.9199999999946</v>
      </c>
      <c r="AF84" s="55">
        <f t="shared" si="119"/>
        <v>0</v>
      </c>
      <c r="AH84" s="70">
        <v>46082</v>
      </c>
      <c r="AI84" s="55">
        <f t="shared" si="85"/>
        <v>0</v>
      </c>
      <c r="AJ84" s="55">
        <f t="shared" si="86"/>
        <v>186.04</v>
      </c>
      <c r="AK84" s="55">
        <f t="shared" si="120"/>
        <v>186.04</v>
      </c>
      <c r="AL84" s="55">
        <f t="shared" si="87"/>
        <v>0</v>
      </c>
      <c r="AM84" s="71">
        <v>0</v>
      </c>
      <c r="AN84" s="55">
        <f t="shared" si="121"/>
        <v>0</v>
      </c>
      <c r="AO84" s="55">
        <f t="shared" si="88"/>
        <v>22640.370000000024</v>
      </c>
      <c r="AP84" s="55">
        <f t="shared" si="89"/>
        <v>2496.39</v>
      </c>
      <c r="AQ84" s="55">
        <f t="shared" si="122"/>
        <v>0</v>
      </c>
      <c r="AS84" s="70">
        <v>46082</v>
      </c>
      <c r="AT84" s="55">
        <f t="shared" si="90"/>
        <v>0</v>
      </c>
      <c r="AU84" s="55">
        <f t="shared" si="91"/>
        <v>204.6</v>
      </c>
      <c r="AV84" s="55">
        <f t="shared" si="123"/>
        <v>204.6</v>
      </c>
      <c r="AW84" s="55">
        <f t="shared" si="92"/>
        <v>0</v>
      </c>
      <c r="AX84" s="71">
        <v>0</v>
      </c>
      <c r="AY84" s="55">
        <f t="shared" si="124"/>
        <v>0</v>
      </c>
      <c r="AZ84" s="55">
        <f t="shared" si="93"/>
        <v>25998.529999999944</v>
      </c>
      <c r="BA84" s="55">
        <f t="shared" si="94"/>
        <v>2100.6699999999996</v>
      </c>
      <c r="BB84" s="55">
        <f t="shared" si="125"/>
        <v>0</v>
      </c>
      <c r="BD84" s="70">
        <v>46082</v>
      </c>
      <c r="BE84" s="55">
        <f t="shared" si="95"/>
        <v>0</v>
      </c>
      <c r="BF84" s="55">
        <f t="shared" si="96"/>
        <v>221.51</v>
      </c>
      <c r="BG84" s="55">
        <f t="shared" si="126"/>
        <v>221.51</v>
      </c>
      <c r="BH84" s="55">
        <f t="shared" si="97"/>
        <v>0</v>
      </c>
      <c r="BI84" s="71">
        <v>0</v>
      </c>
      <c r="BJ84" s="55">
        <f t="shared" si="127"/>
        <v>0</v>
      </c>
      <c r="BK84" s="55">
        <f t="shared" si="98"/>
        <v>30596.519999999917</v>
      </c>
      <c r="BL84" s="55">
        <f t="shared" si="99"/>
        <v>984.92</v>
      </c>
      <c r="BM84" s="55">
        <f t="shared" si="128"/>
        <v>0</v>
      </c>
    </row>
    <row r="85" spans="1:65" x14ac:dyDescent="0.25">
      <c r="A85" s="70">
        <v>45931</v>
      </c>
      <c r="B85" s="55">
        <f t="shared" si="107"/>
        <v>1454.82</v>
      </c>
      <c r="C85" s="55">
        <f t="shared" si="76"/>
        <v>0</v>
      </c>
      <c r="D85" s="55">
        <f t="shared" si="77"/>
        <v>0</v>
      </c>
      <c r="E85" s="55">
        <f t="shared" si="78"/>
        <v>0</v>
      </c>
      <c r="F85" s="55">
        <f t="shared" si="79"/>
        <v>0</v>
      </c>
      <c r="G85" s="55">
        <f t="shared" si="106"/>
        <v>1454.82</v>
      </c>
      <c r="J85">
        <f t="shared" si="48"/>
        <v>6</v>
      </c>
      <c r="K85" s="70">
        <v>45931</v>
      </c>
      <c r="L85" s="55">
        <f t="shared" si="108"/>
        <v>128441.45000000003</v>
      </c>
      <c r="M85" s="55">
        <f t="shared" si="109"/>
        <v>727.41</v>
      </c>
      <c r="N85" s="55">
        <f t="shared" si="110"/>
        <v>285.35999999999996</v>
      </c>
      <c r="O85" s="55">
        <f t="shared" si="111"/>
        <v>442.05</v>
      </c>
      <c r="P85" s="71">
        <v>727.41</v>
      </c>
      <c r="Q85" s="55">
        <f t="shared" si="112"/>
        <v>1454.82</v>
      </c>
      <c r="R85" s="55">
        <f t="shared" si="113"/>
        <v>22571.320000000003</v>
      </c>
      <c r="S85" s="55">
        <f t="shared" si="114"/>
        <v>34166.660000000011</v>
      </c>
      <c r="T85" s="55">
        <f t="shared" si="115"/>
        <v>127428.68000000002</v>
      </c>
      <c r="U85" s="57">
        <f t="shared" si="116"/>
        <v>52571.320000000007</v>
      </c>
      <c r="W85" s="70">
        <v>46113</v>
      </c>
      <c r="X85" s="55">
        <f t="shared" si="100"/>
        <v>0</v>
      </c>
      <c r="Y85" s="55">
        <f t="shared" si="101"/>
        <v>544.78</v>
      </c>
      <c r="Z85" s="55">
        <f t="shared" si="117"/>
        <v>544.78</v>
      </c>
      <c r="AA85" s="55">
        <f t="shared" si="102"/>
        <v>0</v>
      </c>
      <c r="AB85" s="71">
        <v>0</v>
      </c>
      <c r="AC85" s="55">
        <f t="shared" si="118"/>
        <v>0</v>
      </c>
      <c r="AD85" s="55">
        <f t="shared" si="103"/>
        <v>58263.45</v>
      </c>
      <c r="AE85" s="55">
        <f t="shared" si="104"/>
        <v>8935.9199999999946</v>
      </c>
      <c r="AF85" s="55">
        <f t="shared" si="119"/>
        <v>0</v>
      </c>
      <c r="AH85" s="70">
        <v>46113</v>
      </c>
      <c r="AI85" s="55">
        <f t="shared" si="85"/>
        <v>0</v>
      </c>
      <c r="AJ85" s="55">
        <f t="shared" si="86"/>
        <v>186.04</v>
      </c>
      <c r="AK85" s="55">
        <f t="shared" si="120"/>
        <v>186.04</v>
      </c>
      <c r="AL85" s="55">
        <f t="shared" si="87"/>
        <v>0</v>
      </c>
      <c r="AM85" s="71">
        <v>0</v>
      </c>
      <c r="AN85" s="55">
        <f t="shared" si="121"/>
        <v>0</v>
      </c>
      <c r="AO85" s="55">
        <f t="shared" si="88"/>
        <v>22826.410000000025</v>
      </c>
      <c r="AP85" s="55">
        <f t="shared" si="89"/>
        <v>2496.39</v>
      </c>
      <c r="AQ85" s="55">
        <f t="shared" si="122"/>
        <v>0</v>
      </c>
      <c r="AS85" s="70">
        <v>46113</v>
      </c>
      <c r="AT85" s="55">
        <f t="shared" si="90"/>
        <v>0</v>
      </c>
      <c r="AU85" s="55">
        <f t="shared" si="91"/>
        <v>204.6</v>
      </c>
      <c r="AV85" s="55">
        <f t="shared" si="123"/>
        <v>204.6</v>
      </c>
      <c r="AW85" s="55">
        <f t="shared" si="92"/>
        <v>0</v>
      </c>
      <c r="AX85" s="71">
        <v>0</v>
      </c>
      <c r="AY85" s="55">
        <f t="shared" si="124"/>
        <v>0</v>
      </c>
      <c r="AZ85" s="55">
        <f t="shared" si="93"/>
        <v>26203.129999999943</v>
      </c>
      <c r="BA85" s="55">
        <f t="shared" si="94"/>
        <v>2100.6699999999996</v>
      </c>
      <c r="BB85" s="55">
        <f t="shared" si="125"/>
        <v>0</v>
      </c>
      <c r="BD85" s="70">
        <v>46113</v>
      </c>
      <c r="BE85" s="55">
        <f t="shared" si="95"/>
        <v>0</v>
      </c>
      <c r="BF85" s="55">
        <f t="shared" si="96"/>
        <v>221.51</v>
      </c>
      <c r="BG85" s="55">
        <f t="shared" si="126"/>
        <v>221.51</v>
      </c>
      <c r="BH85" s="55">
        <f t="shared" si="97"/>
        <v>0</v>
      </c>
      <c r="BI85" s="71">
        <v>0</v>
      </c>
      <c r="BJ85" s="55">
        <f t="shared" si="127"/>
        <v>0</v>
      </c>
      <c r="BK85" s="55">
        <f t="shared" si="98"/>
        <v>30818.029999999915</v>
      </c>
      <c r="BL85" s="55">
        <f t="shared" si="99"/>
        <v>984.92</v>
      </c>
      <c r="BM85" s="55">
        <f t="shared" si="128"/>
        <v>0</v>
      </c>
    </row>
    <row r="86" spans="1:65" x14ac:dyDescent="0.25">
      <c r="A86" s="70">
        <v>45962</v>
      </c>
      <c r="B86" s="55">
        <f t="shared" si="107"/>
        <v>1454.82</v>
      </c>
      <c r="C86" s="55">
        <f t="shared" ref="C86:C117" si="129">AC80</f>
        <v>0</v>
      </c>
      <c r="D86" s="55">
        <f t="shared" ref="D86:D117" si="130">AN80</f>
        <v>0</v>
      </c>
      <c r="E86" s="55">
        <f t="shared" ref="E86:E117" si="131">AY80</f>
        <v>0</v>
      </c>
      <c r="F86" s="55">
        <f t="shared" ref="F86:F117" si="132">BJ80</f>
        <v>0</v>
      </c>
      <c r="G86" s="55">
        <f t="shared" si="106"/>
        <v>1454.82</v>
      </c>
      <c r="J86">
        <f t="shared" si="48"/>
        <v>6</v>
      </c>
      <c r="K86" s="70">
        <v>45962</v>
      </c>
      <c r="L86" s="55">
        <f t="shared" si="108"/>
        <v>127428.68000000002</v>
      </c>
      <c r="M86" s="55">
        <f t="shared" si="109"/>
        <v>727.41</v>
      </c>
      <c r="N86" s="55">
        <f t="shared" si="110"/>
        <v>288.83999999999997</v>
      </c>
      <c r="O86" s="55">
        <f t="shared" si="111"/>
        <v>438.57</v>
      </c>
      <c r="P86" s="71">
        <v>727.41</v>
      </c>
      <c r="Q86" s="55">
        <f t="shared" si="112"/>
        <v>1454.82</v>
      </c>
      <c r="R86" s="55">
        <f t="shared" si="113"/>
        <v>23587.570000000003</v>
      </c>
      <c r="S86" s="55">
        <f t="shared" si="114"/>
        <v>34605.23000000001</v>
      </c>
      <c r="T86" s="55">
        <f t="shared" si="115"/>
        <v>126412.43000000002</v>
      </c>
      <c r="U86" s="57">
        <f t="shared" si="116"/>
        <v>53587.570000000007</v>
      </c>
      <c r="W86" s="70">
        <v>46143</v>
      </c>
      <c r="X86" s="55">
        <f t="shared" si="100"/>
        <v>0</v>
      </c>
      <c r="Y86" s="55">
        <f t="shared" si="101"/>
        <v>544.78</v>
      </c>
      <c r="Z86" s="55">
        <f t="shared" si="117"/>
        <v>544.78</v>
      </c>
      <c r="AA86" s="55">
        <f t="shared" si="102"/>
        <v>0</v>
      </c>
      <c r="AB86" s="71">
        <v>0</v>
      </c>
      <c r="AC86" s="55">
        <f t="shared" si="118"/>
        <v>0</v>
      </c>
      <c r="AD86" s="55">
        <f t="shared" si="103"/>
        <v>58808.229999999996</v>
      </c>
      <c r="AE86" s="55">
        <f t="shared" si="104"/>
        <v>8935.9199999999946</v>
      </c>
      <c r="AF86" s="55">
        <f t="shared" si="119"/>
        <v>0</v>
      </c>
      <c r="AH86" s="70">
        <v>46143</v>
      </c>
      <c r="AI86" s="55">
        <f t="shared" si="85"/>
        <v>0</v>
      </c>
      <c r="AJ86" s="55">
        <f t="shared" si="86"/>
        <v>186.04</v>
      </c>
      <c r="AK86" s="55">
        <f t="shared" si="120"/>
        <v>186.04</v>
      </c>
      <c r="AL86" s="55">
        <f t="shared" si="87"/>
        <v>0</v>
      </c>
      <c r="AM86" s="71">
        <v>0</v>
      </c>
      <c r="AN86" s="55">
        <f t="shared" si="121"/>
        <v>0</v>
      </c>
      <c r="AO86" s="55">
        <f t="shared" si="88"/>
        <v>23012.450000000026</v>
      </c>
      <c r="AP86" s="55">
        <f t="shared" si="89"/>
        <v>2496.39</v>
      </c>
      <c r="AQ86" s="55">
        <f t="shared" si="122"/>
        <v>0</v>
      </c>
      <c r="AS86" s="70">
        <v>46143</v>
      </c>
      <c r="AT86" s="55">
        <f t="shared" si="90"/>
        <v>0</v>
      </c>
      <c r="AU86" s="55">
        <f t="shared" si="91"/>
        <v>204.6</v>
      </c>
      <c r="AV86" s="55">
        <f t="shared" si="123"/>
        <v>204.6</v>
      </c>
      <c r="AW86" s="55">
        <f t="shared" si="92"/>
        <v>0</v>
      </c>
      <c r="AX86" s="71">
        <v>0</v>
      </c>
      <c r="AY86" s="55">
        <f t="shared" si="124"/>
        <v>0</v>
      </c>
      <c r="AZ86" s="55">
        <f t="shared" si="93"/>
        <v>26407.729999999941</v>
      </c>
      <c r="BA86" s="55">
        <f t="shared" si="94"/>
        <v>2100.6699999999996</v>
      </c>
      <c r="BB86" s="55">
        <f t="shared" si="125"/>
        <v>0</v>
      </c>
      <c r="BD86" s="70">
        <v>46143</v>
      </c>
      <c r="BE86" s="55">
        <f t="shared" si="95"/>
        <v>0</v>
      </c>
      <c r="BF86" s="55">
        <f t="shared" si="96"/>
        <v>221.51</v>
      </c>
      <c r="BG86" s="55">
        <f t="shared" si="126"/>
        <v>221.51</v>
      </c>
      <c r="BH86" s="55">
        <f t="shared" si="97"/>
        <v>0</v>
      </c>
      <c r="BI86" s="71">
        <v>0</v>
      </c>
      <c r="BJ86" s="55">
        <f t="shared" si="127"/>
        <v>0</v>
      </c>
      <c r="BK86" s="55">
        <f t="shared" si="98"/>
        <v>31039.539999999914</v>
      </c>
      <c r="BL86" s="55">
        <f t="shared" si="99"/>
        <v>984.92</v>
      </c>
      <c r="BM86" s="55">
        <f t="shared" si="128"/>
        <v>0</v>
      </c>
    </row>
    <row r="87" spans="1:65" x14ac:dyDescent="0.25">
      <c r="A87" s="70">
        <v>45992</v>
      </c>
      <c r="B87" s="55">
        <f t="shared" si="107"/>
        <v>1454.82</v>
      </c>
      <c r="C87" s="55">
        <f t="shared" si="129"/>
        <v>0</v>
      </c>
      <c r="D87" s="55">
        <f t="shared" si="130"/>
        <v>0</v>
      </c>
      <c r="E87" s="55">
        <f t="shared" si="131"/>
        <v>0</v>
      </c>
      <c r="F87" s="55">
        <f t="shared" si="132"/>
        <v>0</v>
      </c>
      <c r="G87" s="55">
        <f t="shared" si="106"/>
        <v>1454.82</v>
      </c>
      <c r="J87">
        <f t="shared" si="48"/>
        <v>6</v>
      </c>
      <c r="K87" s="70">
        <v>45992</v>
      </c>
      <c r="L87" s="55">
        <f t="shared" si="108"/>
        <v>126412.43000000002</v>
      </c>
      <c r="M87" s="55">
        <f t="shared" si="109"/>
        <v>727.41</v>
      </c>
      <c r="N87" s="55">
        <f t="shared" si="110"/>
        <v>292.33999999999997</v>
      </c>
      <c r="O87" s="55">
        <f t="shared" si="111"/>
        <v>435.07</v>
      </c>
      <c r="P87" s="71">
        <v>727.41</v>
      </c>
      <c r="Q87" s="55">
        <f t="shared" si="112"/>
        <v>1454.82</v>
      </c>
      <c r="R87" s="55">
        <f t="shared" si="113"/>
        <v>24607.320000000003</v>
      </c>
      <c r="S87" s="55">
        <f t="shared" si="114"/>
        <v>35040.30000000001</v>
      </c>
      <c r="T87" s="55">
        <f t="shared" si="115"/>
        <v>125392.68000000002</v>
      </c>
      <c r="U87" s="57">
        <f t="shared" si="116"/>
        <v>54607.320000000007</v>
      </c>
      <c r="W87" s="70">
        <v>46174</v>
      </c>
      <c r="X87" s="55">
        <f t="shared" si="100"/>
        <v>0</v>
      </c>
      <c r="Y87" s="55">
        <f t="shared" si="101"/>
        <v>544.78</v>
      </c>
      <c r="Z87" s="55">
        <f t="shared" si="117"/>
        <v>544.78</v>
      </c>
      <c r="AA87" s="55">
        <f t="shared" si="102"/>
        <v>0</v>
      </c>
      <c r="AB87" s="71">
        <v>0</v>
      </c>
      <c r="AC87" s="55">
        <f t="shared" si="118"/>
        <v>0</v>
      </c>
      <c r="AD87" s="55">
        <f t="shared" si="103"/>
        <v>59353.009999999995</v>
      </c>
      <c r="AE87" s="55">
        <f t="shared" si="104"/>
        <v>8935.9199999999946</v>
      </c>
      <c r="AF87" s="55">
        <f t="shared" si="119"/>
        <v>0</v>
      </c>
      <c r="AH87" s="70">
        <v>46174</v>
      </c>
      <c r="AI87" s="55">
        <f t="shared" si="85"/>
        <v>0</v>
      </c>
      <c r="AJ87" s="55">
        <f t="shared" si="86"/>
        <v>186.04</v>
      </c>
      <c r="AK87" s="55">
        <f t="shared" si="120"/>
        <v>186.04</v>
      </c>
      <c r="AL87" s="55">
        <f t="shared" si="87"/>
        <v>0</v>
      </c>
      <c r="AM87" s="71">
        <v>0</v>
      </c>
      <c r="AN87" s="55">
        <f t="shared" si="121"/>
        <v>0</v>
      </c>
      <c r="AO87" s="55">
        <f t="shared" si="88"/>
        <v>23198.490000000027</v>
      </c>
      <c r="AP87" s="55">
        <f t="shared" si="89"/>
        <v>2496.39</v>
      </c>
      <c r="AQ87" s="55">
        <f t="shared" si="122"/>
        <v>0</v>
      </c>
      <c r="AS87" s="70">
        <v>46174</v>
      </c>
      <c r="AT87" s="55">
        <f t="shared" si="90"/>
        <v>0</v>
      </c>
      <c r="AU87" s="55">
        <f t="shared" si="91"/>
        <v>204.6</v>
      </c>
      <c r="AV87" s="55">
        <f t="shared" si="123"/>
        <v>204.6</v>
      </c>
      <c r="AW87" s="55">
        <f t="shared" si="92"/>
        <v>0</v>
      </c>
      <c r="AX87" s="71">
        <v>0</v>
      </c>
      <c r="AY87" s="55">
        <f t="shared" si="124"/>
        <v>0</v>
      </c>
      <c r="AZ87" s="55">
        <f t="shared" si="93"/>
        <v>26612.32999999994</v>
      </c>
      <c r="BA87" s="55">
        <f t="shared" si="94"/>
        <v>2100.6699999999996</v>
      </c>
      <c r="BB87" s="55">
        <f t="shared" si="125"/>
        <v>0</v>
      </c>
      <c r="BD87" s="70">
        <v>46174</v>
      </c>
      <c r="BE87" s="55">
        <f t="shared" si="95"/>
        <v>0</v>
      </c>
      <c r="BF87" s="55">
        <f t="shared" si="96"/>
        <v>221.51</v>
      </c>
      <c r="BG87" s="55">
        <f t="shared" si="126"/>
        <v>221.51</v>
      </c>
      <c r="BH87" s="55">
        <f t="shared" si="97"/>
        <v>0</v>
      </c>
      <c r="BI87" s="71">
        <v>0</v>
      </c>
      <c r="BJ87" s="55">
        <f t="shared" si="127"/>
        <v>0</v>
      </c>
      <c r="BK87" s="55">
        <f t="shared" si="98"/>
        <v>31261.049999999912</v>
      </c>
      <c r="BL87" s="55">
        <f t="shared" si="99"/>
        <v>984.92</v>
      </c>
      <c r="BM87" s="55">
        <f t="shared" si="128"/>
        <v>0</v>
      </c>
    </row>
    <row r="88" spans="1:65" x14ac:dyDescent="0.25">
      <c r="A88" s="70">
        <v>46023</v>
      </c>
      <c r="B88" s="55">
        <f t="shared" si="107"/>
        <v>1454.82</v>
      </c>
      <c r="C88" s="55">
        <f t="shared" si="129"/>
        <v>0</v>
      </c>
      <c r="D88" s="55">
        <f t="shared" si="130"/>
        <v>0</v>
      </c>
      <c r="E88" s="55">
        <f t="shared" si="131"/>
        <v>0</v>
      </c>
      <c r="F88" s="55">
        <f t="shared" si="132"/>
        <v>0</v>
      </c>
      <c r="G88" s="55">
        <f t="shared" si="106"/>
        <v>1454.82</v>
      </c>
      <c r="J88">
        <f t="shared" si="48"/>
        <v>7</v>
      </c>
      <c r="K88" s="70">
        <v>46023</v>
      </c>
      <c r="L88" s="55">
        <f t="shared" si="108"/>
        <v>125392.68000000002</v>
      </c>
      <c r="M88" s="55">
        <f t="shared" si="109"/>
        <v>727.41</v>
      </c>
      <c r="N88" s="55">
        <f t="shared" si="110"/>
        <v>295.84999999999997</v>
      </c>
      <c r="O88" s="55">
        <f t="shared" si="111"/>
        <v>431.56</v>
      </c>
      <c r="P88" s="71">
        <v>727.41</v>
      </c>
      <c r="Q88" s="55">
        <f t="shared" si="112"/>
        <v>1454.82</v>
      </c>
      <c r="R88" s="55">
        <f t="shared" si="113"/>
        <v>25630.58</v>
      </c>
      <c r="S88" s="55">
        <f t="shared" si="114"/>
        <v>35471.860000000008</v>
      </c>
      <c r="T88" s="55">
        <f t="shared" si="115"/>
        <v>124369.42000000001</v>
      </c>
      <c r="U88" s="57">
        <f t="shared" si="116"/>
        <v>55630.58</v>
      </c>
      <c r="W88" s="70">
        <v>46204</v>
      </c>
      <c r="X88" s="55">
        <f t="shared" si="100"/>
        <v>0</v>
      </c>
      <c r="Y88" s="55">
        <f t="shared" si="101"/>
        <v>544.78</v>
      </c>
      <c r="Z88" s="55">
        <f t="shared" si="117"/>
        <v>544.78</v>
      </c>
      <c r="AA88" s="55">
        <f t="shared" si="102"/>
        <v>0</v>
      </c>
      <c r="AB88" s="71">
        <v>0</v>
      </c>
      <c r="AC88" s="55">
        <f t="shared" si="118"/>
        <v>0</v>
      </c>
      <c r="AD88" s="55">
        <f t="shared" si="103"/>
        <v>59897.789999999994</v>
      </c>
      <c r="AE88" s="55">
        <f t="shared" si="104"/>
        <v>8935.9199999999946</v>
      </c>
      <c r="AF88" s="55">
        <f t="shared" si="119"/>
        <v>0</v>
      </c>
      <c r="AH88" s="70">
        <v>46204</v>
      </c>
      <c r="AI88" s="55">
        <f t="shared" si="85"/>
        <v>0</v>
      </c>
      <c r="AJ88" s="55">
        <f t="shared" si="86"/>
        <v>186.04</v>
      </c>
      <c r="AK88" s="55">
        <f t="shared" si="120"/>
        <v>186.04</v>
      </c>
      <c r="AL88" s="55">
        <f t="shared" si="87"/>
        <v>0</v>
      </c>
      <c r="AM88" s="71">
        <v>0</v>
      </c>
      <c r="AN88" s="55">
        <f t="shared" si="121"/>
        <v>0</v>
      </c>
      <c r="AO88" s="55">
        <f t="shared" si="88"/>
        <v>23384.530000000028</v>
      </c>
      <c r="AP88" s="55">
        <f t="shared" si="89"/>
        <v>2496.39</v>
      </c>
      <c r="AQ88" s="55">
        <f t="shared" si="122"/>
        <v>0</v>
      </c>
      <c r="AS88" s="70">
        <v>46204</v>
      </c>
      <c r="AT88" s="55">
        <f t="shared" si="90"/>
        <v>0</v>
      </c>
      <c r="AU88" s="55">
        <f t="shared" si="91"/>
        <v>204.6</v>
      </c>
      <c r="AV88" s="55">
        <f t="shared" si="123"/>
        <v>204.6</v>
      </c>
      <c r="AW88" s="55">
        <f t="shared" si="92"/>
        <v>0</v>
      </c>
      <c r="AX88" s="71">
        <v>0</v>
      </c>
      <c r="AY88" s="55">
        <f t="shared" si="124"/>
        <v>0</v>
      </c>
      <c r="AZ88" s="55">
        <f t="shared" si="93"/>
        <v>26816.929999999938</v>
      </c>
      <c r="BA88" s="55">
        <f t="shared" si="94"/>
        <v>2100.6699999999996</v>
      </c>
      <c r="BB88" s="55">
        <f t="shared" si="125"/>
        <v>0</v>
      </c>
      <c r="BD88" s="70">
        <v>46204</v>
      </c>
      <c r="BE88" s="55">
        <f t="shared" si="95"/>
        <v>0</v>
      </c>
      <c r="BF88" s="55">
        <f t="shared" si="96"/>
        <v>221.51</v>
      </c>
      <c r="BG88" s="55">
        <f t="shared" si="126"/>
        <v>221.51</v>
      </c>
      <c r="BH88" s="55">
        <f t="shared" si="97"/>
        <v>0</v>
      </c>
      <c r="BI88" s="71">
        <v>0</v>
      </c>
      <c r="BJ88" s="55">
        <f t="shared" si="127"/>
        <v>0</v>
      </c>
      <c r="BK88" s="55">
        <f t="shared" si="98"/>
        <v>31482.55999999991</v>
      </c>
      <c r="BL88" s="55">
        <f t="shared" si="99"/>
        <v>984.92</v>
      </c>
      <c r="BM88" s="55">
        <f t="shared" si="128"/>
        <v>0</v>
      </c>
    </row>
    <row r="89" spans="1:65" x14ac:dyDescent="0.25">
      <c r="A89" s="70">
        <v>46054</v>
      </c>
      <c r="B89" s="55">
        <f t="shared" si="107"/>
        <v>1454.82</v>
      </c>
      <c r="C89" s="55">
        <f t="shared" si="129"/>
        <v>0</v>
      </c>
      <c r="D89" s="55">
        <f t="shared" si="130"/>
        <v>0</v>
      </c>
      <c r="E89" s="55">
        <f t="shared" si="131"/>
        <v>0</v>
      </c>
      <c r="F89" s="55">
        <f t="shared" si="132"/>
        <v>0</v>
      </c>
      <c r="G89" s="55">
        <f t="shared" si="106"/>
        <v>1454.82</v>
      </c>
      <c r="J89">
        <f t="shared" si="48"/>
        <v>7</v>
      </c>
      <c r="K89" s="70">
        <v>46054</v>
      </c>
      <c r="L89" s="55">
        <f t="shared" si="108"/>
        <v>124369.42000000001</v>
      </c>
      <c r="M89" s="55">
        <f t="shared" si="109"/>
        <v>727.41</v>
      </c>
      <c r="N89" s="55">
        <f t="shared" si="110"/>
        <v>299.36999999999995</v>
      </c>
      <c r="O89" s="55">
        <f t="shared" si="111"/>
        <v>428.04</v>
      </c>
      <c r="P89" s="71">
        <v>727.41</v>
      </c>
      <c r="Q89" s="55">
        <f t="shared" si="112"/>
        <v>1454.82</v>
      </c>
      <c r="R89" s="55">
        <f t="shared" si="113"/>
        <v>26657.360000000001</v>
      </c>
      <c r="S89" s="55">
        <f t="shared" si="114"/>
        <v>35899.900000000009</v>
      </c>
      <c r="T89" s="55">
        <f t="shared" si="115"/>
        <v>123342.64000000001</v>
      </c>
      <c r="U89" s="57">
        <f t="shared" si="116"/>
        <v>56657.36</v>
      </c>
      <c r="W89" s="70">
        <v>46235</v>
      </c>
      <c r="X89" s="55">
        <f t="shared" si="100"/>
        <v>0</v>
      </c>
      <c r="Y89" s="55">
        <f t="shared" si="101"/>
        <v>544.78</v>
      </c>
      <c r="Z89" s="55">
        <f t="shared" si="117"/>
        <v>544.78</v>
      </c>
      <c r="AA89" s="55">
        <f t="shared" si="102"/>
        <v>0</v>
      </c>
      <c r="AB89" s="71">
        <v>0</v>
      </c>
      <c r="AC89" s="55">
        <f t="shared" si="118"/>
        <v>0</v>
      </c>
      <c r="AD89" s="55">
        <f t="shared" si="103"/>
        <v>60442.569999999992</v>
      </c>
      <c r="AE89" s="55">
        <f t="shared" si="104"/>
        <v>8935.9199999999946</v>
      </c>
      <c r="AF89" s="55">
        <f t="shared" si="119"/>
        <v>0</v>
      </c>
      <c r="AH89" s="70">
        <v>46235</v>
      </c>
      <c r="AI89" s="55">
        <f t="shared" si="85"/>
        <v>0</v>
      </c>
      <c r="AJ89" s="55">
        <f t="shared" si="86"/>
        <v>186.04</v>
      </c>
      <c r="AK89" s="55">
        <f t="shared" si="120"/>
        <v>186.04</v>
      </c>
      <c r="AL89" s="55">
        <f t="shared" si="87"/>
        <v>0</v>
      </c>
      <c r="AM89" s="71">
        <v>0</v>
      </c>
      <c r="AN89" s="55">
        <f t="shared" si="121"/>
        <v>0</v>
      </c>
      <c r="AO89" s="55">
        <f t="shared" si="88"/>
        <v>23570.570000000029</v>
      </c>
      <c r="AP89" s="55">
        <f t="shared" si="89"/>
        <v>2496.39</v>
      </c>
      <c r="AQ89" s="55">
        <f t="shared" si="122"/>
        <v>0</v>
      </c>
      <c r="AS89" s="70">
        <v>46235</v>
      </c>
      <c r="AT89" s="55">
        <f t="shared" si="90"/>
        <v>0</v>
      </c>
      <c r="AU89" s="55">
        <f t="shared" si="91"/>
        <v>204.6</v>
      </c>
      <c r="AV89" s="55">
        <f t="shared" si="123"/>
        <v>204.6</v>
      </c>
      <c r="AW89" s="55">
        <f t="shared" si="92"/>
        <v>0</v>
      </c>
      <c r="AX89" s="71">
        <v>0</v>
      </c>
      <c r="AY89" s="55">
        <f t="shared" si="124"/>
        <v>0</v>
      </c>
      <c r="AZ89" s="55">
        <f t="shared" si="93"/>
        <v>27021.529999999937</v>
      </c>
      <c r="BA89" s="55">
        <f t="shared" si="94"/>
        <v>2100.6699999999996</v>
      </c>
      <c r="BB89" s="55">
        <f t="shared" si="125"/>
        <v>0</v>
      </c>
      <c r="BD89" s="70">
        <v>46235</v>
      </c>
      <c r="BE89" s="55">
        <f t="shared" si="95"/>
        <v>0</v>
      </c>
      <c r="BF89" s="55">
        <f t="shared" si="96"/>
        <v>221.51</v>
      </c>
      <c r="BG89" s="55">
        <f t="shared" si="126"/>
        <v>221.51</v>
      </c>
      <c r="BH89" s="55">
        <f t="shared" si="97"/>
        <v>0</v>
      </c>
      <c r="BI89" s="71">
        <v>0</v>
      </c>
      <c r="BJ89" s="55">
        <f t="shared" si="127"/>
        <v>0</v>
      </c>
      <c r="BK89" s="55">
        <f t="shared" si="98"/>
        <v>31704.069999999909</v>
      </c>
      <c r="BL89" s="55">
        <f t="shared" si="99"/>
        <v>984.92</v>
      </c>
      <c r="BM89" s="55">
        <f t="shared" si="128"/>
        <v>0</v>
      </c>
    </row>
    <row r="90" spans="1:65" x14ac:dyDescent="0.25">
      <c r="A90" s="70">
        <v>46082</v>
      </c>
      <c r="B90" s="55">
        <f t="shared" si="107"/>
        <v>1454.82</v>
      </c>
      <c r="C90" s="55">
        <f t="shared" si="129"/>
        <v>0</v>
      </c>
      <c r="D90" s="55">
        <f t="shared" si="130"/>
        <v>0</v>
      </c>
      <c r="E90" s="55">
        <f t="shared" si="131"/>
        <v>0</v>
      </c>
      <c r="F90" s="55">
        <f t="shared" si="132"/>
        <v>0</v>
      </c>
      <c r="G90" s="55">
        <f t="shared" si="106"/>
        <v>1454.82</v>
      </c>
      <c r="J90">
        <f t="shared" si="48"/>
        <v>7</v>
      </c>
      <c r="K90" s="70">
        <v>46082</v>
      </c>
      <c r="L90" s="55">
        <f t="shared" si="108"/>
        <v>123342.64000000001</v>
      </c>
      <c r="M90" s="55">
        <f t="shared" si="109"/>
        <v>727.41</v>
      </c>
      <c r="N90" s="55">
        <f t="shared" si="110"/>
        <v>302.90999999999997</v>
      </c>
      <c r="O90" s="55">
        <f t="shared" si="111"/>
        <v>424.5</v>
      </c>
      <c r="P90" s="71">
        <v>727.41</v>
      </c>
      <c r="Q90" s="55">
        <f t="shared" si="112"/>
        <v>1454.82</v>
      </c>
      <c r="R90" s="55">
        <f t="shared" si="113"/>
        <v>27687.68</v>
      </c>
      <c r="S90" s="55">
        <f t="shared" si="114"/>
        <v>36324.400000000009</v>
      </c>
      <c r="T90" s="55">
        <f t="shared" si="115"/>
        <v>122312.32000000001</v>
      </c>
      <c r="U90" s="57">
        <f t="shared" si="116"/>
        <v>57687.68</v>
      </c>
      <c r="W90" s="70">
        <v>46266</v>
      </c>
      <c r="X90" s="55">
        <f t="shared" si="100"/>
        <v>0</v>
      </c>
      <c r="Y90" s="55">
        <f t="shared" si="101"/>
        <v>544.78</v>
      </c>
      <c r="Z90" s="55">
        <f t="shared" si="117"/>
        <v>544.78</v>
      </c>
      <c r="AA90" s="55">
        <f t="shared" si="102"/>
        <v>0</v>
      </c>
      <c r="AB90" s="71">
        <v>0</v>
      </c>
      <c r="AC90" s="55">
        <f t="shared" si="118"/>
        <v>0</v>
      </c>
      <c r="AD90" s="55">
        <f t="shared" si="103"/>
        <v>60987.349999999991</v>
      </c>
      <c r="AE90" s="55">
        <f t="shared" si="104"/>
        <v>8935.9199999999946</v>
      </c>
      <c r="AF90" s="55">
        <f t="shared" si="119"/>
        <v>0</v>
      </c>
      <c r="AH90" s="70">
        <v>46266</v>
      </c>
      <c r="AI90" s="55">
        <f t="shared" si="85"/>
        <v>0</v>
      </c>
      <c r="AJ90" s="55">
        <f t="shared" si="86"/>
        <v>186.04</v>
      </c>
      <c r="AK90" s="55">
        <f t="shared" si="120"/>
        <v>186.04</v>
      </c>
      <c r="AL90" s="55">
        <f t="shared" si="87"/>
        <v>0</v>
      </c>
      <c r="AM90" s="71">
        <v>0</v>
      </c>
      <c r="AN90" s="55">
        <f t="shared" si="121"/>
        <v>0</v>
      </c>
      <c r="AO90" s="55">
        <f t="shared" si="88"/>
        <v>23756.61000000003</v>
      </c>
      <c r="AP90" s="55">
        <f t="shared" si="89"/>
        <v>2496.39</v>
      </c>
      <c r="AQ90" s="55">
        <f t="shared" si="122"/>
        <v>0</v>
      </c>
      <c r="AS90" s="70">
        <v>46266</v>
      </c>
      <c r="AT90" s="55">
        <f t="shared" si="90"/>
        <v>0</v>
      </c>
      <c r="AU90" s="55">
        <f t="shared" si="91"/>
        <v>204.6</v>
      </c>
      <c r="AV90" s="55">
        <f t="shared" si="123"/>
        <v>204.6</v>
      </c>
      <c r="AW90" s="55">
        <f t="shared" si="92"/>
        <v>0</v>
      </c>
      <c r="AX90" s="71">
        <v>0</v>
      </c>
      <c r="AY90" s="55">
        <f t="shared" si="124"/>
        <v>0</v>
      </c>
      <c r="AZ90" s="55">
        <f t="shared" si="93"/>
        <v>27226.129999999936</v>
      </c>
      <c r="BA90" s="55">
        <f t="shared" si="94"/>
        <v>2100.6699999999996</v>
      </c>
      <c r="BB90" s="55">
        <f t="shared" si="125"/>
        <v>0</v>
      </c>
      <c r="BD90" s="70">
        <v>46266</v>
      </c>
      <c r="BE90" s="55">
        <f t="shared" si="95"/>
        <v>0</v>
      </c>
      <c r="BF90" s="55">
        <f t="shared" si="96"/>
        <v>221.51</v>
      </c>
      <c r="BG90" s="55">
        <f t="shared" si="126"/>
        <v>221.51</v>
      </c>
      <c r="BH90" s="55">
        <f t="shared" si="97"/>
        <v>0</v>
      </c>
      <c r="BI90" s="71">
        <v>0</v>
      </c>
      <c r="BJ90" s="55">
        <f t="shared" si="127"/>
        <v>0</v>
      </c>
      <c r="BK90" s="55">
        <f t="shared" si="98"/>
        <v>31925.579999999907</v>
      </c>
      <c r="BL90" s="55">
        <f t="shared" si="99"/>
        <v>984.92</v>
      </c>
      <c r="BM90" s="55">
        <f t="shared" si="128"/>
        <v>0</v>
      </c>
    </row>
    <row r="91" spans="1:65" x14ac:dyDescent="0.25">
      <c r="A91" s="70">
        <v>46113</v>
      </c>
      <c r="B91" s="55">
        <f t="shared" si="107"/>
        <v>1454.82</v>
      </c>
      <c r="C91" s="55">
        <f t="shared" si="129"/>
        <v>0</v>
      </c>
      <c r="D91" s="55">
        <f t="shared" si="130"/>
        <v>0</v>
      </c>
      <c r="E91" s="55">
        <f t="shared" si="131"/>
        <v>0</v>
      </c>
      <c r="F91" s="55">
        <f t="shared" si="132"/>
        <v>0</v>
      </c>
      <c r="G91" s="55">
        <f t="shared" si="106"/>
        <v>1454.82</v>
      </c>
      <c r="J91">
        <f t="shared" si="48"/>
        <v>7</v>
      </c>
      <c r="K91" s="70">
        <v>46113</v>
      </c>
      <c r="L91" s="55">
        <f t="shared" si="108"/>
        <v>122312.32000000001</v>
      </c>
      <c r="M91" s="55">
        <f t="shared" si="109"/>
        <v>727.41</v>
      </c>
      <c r="N91" s="55">
        <f t="shared" si="110"/>
        <v>306.45</v>
      </c>
      <c r="O91" s="55">
        <f t="shared" si="111"/>
        <v>420.96</v>
      </c>
      <c r="P91" s="71">
        <v>727.41</v>
      </c>
      <c r="Q91" s="55">
        <f t="shared" si="112"/>
        <v>1454.82</v>
      </c>
      <c r="R91" s="55">
        <f t="shared" si="113"/>
        <v>28721.54</v>
      </c>
      <c r="S91" s="55">
        <f t="shared" si="114"/>
        <v>36745.360000000008</v>
      </c>
      <c r="T91" s="55">
        <f t="shared" si="115"/>
        <v>121278.46</v>
      </c>
      <c r="U91" s="57">
        <f t="shared" si="116"/>
        <v>58721.54</v>
      </c>
      <c r="W91" s="70">
        <v>46296</v>
      </c>
      <c r="X91" s="55">
        <f t="shared" si="100"/>
        <v>0</v>
      </c>
      <c r="Y91" s="55">
        <f t="shared" si="101"/>
        <v>544.78</v>
      </c>
      <c r="Z91" s="55">
        <f t="shared" si="117"/>
        <v>544.78</v>
      </c>
      <c r="AA91" s="55">
        <f t="shared" si="102"/>
        <v>0</v>
      </c>
      <c r="AB91" s="71">
        <v>0</v>
      </c>
      <c r="AC91" s="55">
        <f t="shared" si="118"/>
        <v>0</v>
      </c>
      <c r="AD91" s="55">
        <f t="shared" si="103"/>
        <v>61532.12999999999</v>
      </c>
      <c r="AE91" s="55">
        <f t="shared" si="104"/>
        <v>8935.9199999999946</v>
      </c>
      <c r="AF91" s="55">
        <f t="shared" si="119"/>
        <v>0</v>
      </c>
      <c r="AH91" s="70">
        <v>46296</v>
      </c>
      <c r="AI91" s="55">
        <f t="shared" si="85"/>
        <v>0</v>
      </c>
      <c r="AJ91" s="55">
        <f t="shared" si="86"/>
        <v>186.04</v>
      </c>
      <c r="AK91" s="55">
        <f t="shared" si="120"/>
        <v>186.04</v>
      </c>
      <c r="AL91" s="55">
        <f t="shared" si="87"/>
        <v>0</v>
      </c>
      <c r="AM91" s="71">
        <v>0</v>
      </c>
      <c r="AN91" s="55">
        <f t="shared" si="121"/>
        <v>0</v>
      </c>
      <c r="AO91" s="55">
        <f t="shared" si="88"/>
        <v>23942.650000000031</v>
      </c>
      <c r="AP91" s="55">
        <f t="shared" si="89"/>
        <v>2496.39</v>
      </c>
      <c r="AQ91" s="55">
        <f t="shared" si="122"/>
        <v>0</v>
      </c>
      <c r="AS91" s="70">
        <v>46296</v>
      </c>
      <c r="AT91" s="55">
        <f t="shared" si="90"/>
        <v>0</v>
      </c>
      <c r="AU91" s="55">
        <f t="shared" si="91"/>
        <v>204.6</v>
      </c>
      <c r="AV91" s="55">
        <f t="shared" si="123"/>
        <v>204.6</v>
      </c>
      <c r="AW91" s="55">
        <f t="shared" si="92"/>
        <v>0</v>
      </c>
      <c r="AX91" s="71">
        <v>0</v>
      </c>
      <c r="AY91" s="55">
        <f t="shared" si="124"/>
        <v>0</v>
      </c>
      <c r="AZ91" s="55">
        <f t="shared" si="93"/>
        <v>27430.729999999934</v>
      </c>
      <c r="BA91" s="55">
        <f t="shared" si="94"/>
        <v>2100.6699999999996</v>
      </c>
      <c r="BB91" s="55">
        <f t="shared" si="125"/>
        <v>0</v>
      </c>
      <c r="BD91" s="70">
        <v>46296</v>
      </c>
      <c r="BE91" s="55">
        <f t="shared" si="95"/>
        <v>0</v>
      </c>
      <c r="BF91" s="55">
        <f t="shared" si="96"/>
        <v>221.51</v>
      </c>
      <c r="BG91" s="55">
        <f t="shared" si="126"/>
        <v>221.51</v>
      </c>
      <c r="BH91" s="55">
        <f t="shared" si="97"/>
        <v>0</v>
      </c>
      <c r="BI91" s="71">
        <v>0</v>
      </c>
      <c r="BJ91" s="55">
        <f t="shared" si="127"/>
        <v>0</v>
      </c>
      <c r="BK91" s="55">
        <f t="shared" si="98"/>
        <v>32147.089999999906</v>
      </c>
      <c r="BL91" s="55">
        <f t="shared" si="99"/>
        <v>984.92</v>
      </c>
      <c r="BM91" s="55">
        <f t="shared" si="128"/>
        <v>0</v>
      </c>
    </row>
    <row r="92" spans="1:65" x14ac:dyDescent="0.25">
      <c r="A92" s="70">
        <v>46143</v>
      </c>
      <c r="B92" s="55">
        <f t="shared" si="107"/>
        <v>1454.82</v>
      </c>
      <c r="C92" s="55">
        <f t="shared" si="129"/>
        <v>0</v>
      </c>
      <c r="D92" s="55">
        <f t="shared" si="130"/>
        <v>0</v>
      </c>
      <c r="E92" s="55">
        <f t="shared" si="131"/>
        <v>0</v>
      </c>
      <c r="F92" s="55">
        <f t="shared" si="132"/>
        <v>0</v>
      </c>
      <c r="G92" s="55">
        <f t="shared" si="106"/>
        <v>1454.82</v>
      </c>
      <c r="J92">
        <f t="shared" si="48"/>
        <v>7</v>
      </c>
      <c r="K92" s="70">
        <v>46143</v>
      </c>
      <c r="L92" s="55">
        <f t="shared" si="108"/>
        <v>121278.46</v>
      </c>
      <c r="M92" s="55">
        <f t="shared" si="109"/>
        <v>727.41</v>
      </c>
      <c r="N92" s="55">
        <f t="shared" si="110"/>
        <v>310.01</v>
      </c>
      <c r="O92" s="55">
        <f t="shared" si="111"/>
        <v>417.4</v>
      </c>
      <c r="P92" s="71">
        <v>727.41</v>
      </c>
      <c r="Q92" s="55">
        <f t="shared" si="112"/>
        <v>1454.82</v>
      </c>
      <c r="R92" s="55">
        <f t="shared" si="113"/>
        <v>29758.959999999999</v>
      </c>
      <c r="S92" s="55">
        <f t="shared" si="114"/>
        <v>37162.760000000009</v>
      </c>
      <c r="T92" s="55">
        <f t="shared" si="115"/>
        <v>120241.04000000001</v>
      </c>
      <c r="U92" s="57">
        <f t="shared" si="116"/>
        <v>59758.96</v>
      </c>
      <c r="W92" s="70">
        <v>46327</v>
      </c>
      <c r="X92" s="55">
        <f t="shared" si="100"/>
        <v>0</v>
      </c>
      <c r="Y92" s="55">
        <f t="shared" si="101"/>
        <v>544.78</v>
      </c>
      <c r="Z92" s="55">
        <f t="shared" si="117"/>
        <v>544.78</v>
      </c>
      <c r="AA92" s="55">
        <f t="shared" si="102"/>
        <v>0</v>
      </c>
      <c r="AB92" s="71">
        <v>0</v>
      </c>
      <c r="AC92" s="55">
        <f t="shared" si="118"/>
        <v>0</v>
      </c>
      <c r="AD92" s="55">
        <f t="shared" si="103"/>
        <v>62076.909999999989</v>
      </c>
      <c r="AE92" s="55">
        <f t="shared" si="104"/>
        <v>8935.9199999999946</v>
      </c>
      <c r="AF92" s="55">
        <f t="shared" si="119"/>
        <v>0</v>
      </c>
      <c r="AH92" s="70">
        <v>46327</v>
      </c>
      <c r="AI92" s="55">
        <f t="shared" si="85"/>
        <v>0</v>
      </c>
      <c r="AJ92" s="55">
        <f t="shared" si="86"/>
        <v>186.04</v>
      </c>
      <c r="AK92" s="55">
        <f t="shared" si="120"/>
        <v>186.04</v>
      </c>
      <c r="AL92" s="55">
        <f t="shared" si="87"/>
        <v>0</v>
      </c>
      <c r="AM92" s="71">
        <v>0</v>
      </c>
      <c r="AN92" s="55">
        <f t="shared" si="121"/>
        <v>0</v>
      </c>
      <c r="AO92" s="55">
        <f t="shared" si="88"/>
        <v>24128.690000000031</v>
      </c>
      <c r="AP92" s="55">
        <f t="shared" si="89"/>
        <v>2496.39</v>
      </c>
      <c r="AQ92" s="55">
        <f t="shared" si="122"/>
        <v>0</v>
      </c>
      <c r="AS92" s="70">
        <v>46327</v>
      </c>
      <c r="AT92" s="55">
        <f t="shared" si="90"/>
        <v>0</v>
      </c>
      <c r="AU92" s="55">
        <f t="shared" si="91"/>
        <v>204.6</v>
      </c>
      <c r="AV92" s="55">
        <f t="shared" si="123"/>
        <v>204.6</v>
      </c>
      <c r="AW92" s="55">
        <f t="shared" si="92"/>
        <v>0</v>
      </c>
      <c r="AX92" s="71">
        <v>0</v>
      </c>
      <c r="AY92" s="55">
        <f t="shared" si="124"/>
        <v>0</v>
      </c>
      <c r="AZ92" s="55">
        <f t="shared" si="93"/>
        <v>27635.329999999933</v>
      </c>
      <c r="BA92" s="55">
        <f t="shared" si="94"/>
        <v>2100.6699999999996</v>
      </c>
      <c r="BB92" s="55">
        <f t="shared" si="125"/>
        <v>0</v>
      </c>
      <c r="BD92" s="70">
        <v>46327</v>
      </c>
      <c r="BE92" s="55">
        <f t="shared" si="95"/>
        <v>0</v>
      </c>
      <c r="BF92" s="55">
        <f t="shared" si="96"/>
        <v>221.51</v>
      </c>
      <c r="BG92" s="55">
        <f t="shared" si="126"/>
        <v>221.51</v>
      </c>
      <c r="BH92" s="55">
        <f t="shared" si="97"/>
        <v>0</v>
      </c>
      <c r="BI92" s="71">
        <v>0</v>
      </c>
      <c r="BJ92" s="55">
        <f t="shared" si="127"/>
        <v>0</v>
      </c>
      <c r="BK92" s="55">
        <f t="shared" si="98"/>
        <v>32368.599999999904</v>
      </c>
      <c r="BL92" s="55">
        <f t="shared" si="99"/>
        <v>984.92</v>
      </c>
      <c r="BM92" s="55">
        <f t="shared" si="128"/>
        <v>0</v>
      </c>
    </row>
    <row r="93" spans="1:65" x14ac:dyDescent="0.25">
      <c r="A93" s="70">
        <v>46174</v>
      </c>
      <c r="B93" s="55">
        <f t="shared" si="107"/>
        <v>1454.82</v>
      </c>
      <c r="C93" s="55">
        <f t="shared" si="129"/>
        <v>0</v>
      </c>
      <c r="D93" s="55">
        <f t="shared" si="130"/>
        <v>0</v>
      </c>
      <c r="E93" s="55">
        <f t="shared" si="131"/>
        <v>0</v>
      </c>
      <c r="F93" s="55">
        <f t="shared" si="132"/>
        <v>0</v>
      </c>
      <c r="G93" s="55">
        <f t="shared" si="106"/>
        <v>1454.82</v>
      </c>
      <c r="J93">
        <f t="shared" ref="J93:J156" si="133">J81+1</f>
        <v>7</v>
      </c>
      <c r="K93" s="70">
        <v>46174</v>
      </c>
      <c r="L93" s="55">
        <f t="shared" si="108"/>
        <v>120241.04000000001</v>
      </c>
      <c r="M93" s="55">
        <f t="shared" si="109"/>
        <v>727.41</v>
      </c>
      <c r="N93" s="55">
        <f t="shared" si="110"/>
        <v>313.58</v>
      </c>
      <c r="O93" s="55">
        <f t="shared" si="111"/>
        <v>413.83</v>
      </c>
      <c r="P93" s="71">
        <v>727.41</v>
      </c>
      <c r="Q93" s="55">
        <f t="shared" si="112"/>
        <v>1454.82</v>
      </c>
      <c r="R93" s="55">
        <f t="shared" si="113"/>
        <v>30799.95</v>
      </c>
      <c r="S93" s="55">
        <f t="shared" si="114"/>
        <v>37576.590000000011</v>
      </c>
      <c r="T93" s="55">
        <f t="shared" si="115"/>
        <v>119200.05</v>
      </c>
      <c r="U93" s="57">
        <f t="shared" si="116"/>
        <v>60799.95</v>
      </c>
      <c r="W93" s="70">
        <v>46357</v>
      </c>
      <c r="X93" s="55">
        <f t="shared" si="100"/>
        <v>0</v>
      </c>
      <c r="Y93" s="55">
        <f t="shared" si="101"/>
        <v>544.78</v>
      </c>
      <c r="Z93" s="55">
        <f t="shared" si="117"/>
        <v>544.78</v>
      </c>
      <c r="AA93" s="55">
        <f t="shared" si="102"/>
        <v>0</v>
      </c>
      <c r="AB93" s="71">
        <v>0</v>
      </c>
      <c r="AC93" s="55">
        <f t="shared" si="118"/>
        <v>0</v>
      </c>
      <c r="AD93" s="55">
        <f t="shared" si="103"/>
        <v>62621.689999999988</v>
      </c>
      <c r="AE93" s="55">
        <f t="shared" si="104"/>
        <v>8935.9199999999946</v>
      </c>
      <c r="AF93" s="55">
        <f t="shared" si="119"/>
        <v>0</v>
      </c>
      <c r="AH93" s="70">
        <v>46357</v>
      </c>
      <c r="AI93" s="55">
        <f t="shared" si="85"/>
        <v>0</v>
      </c>
      <c r="AJ93" s="55">
        <f t="shared" si="86"/>
        <v>186.04</v>
      </c>
      <c r="AK93" s="55">
        <f t="shared" si="120"/>
        <v>186.04</v>
      </c>
      <c r="AL93" s="55">
        <f t="shared" si="87"/>
        <v>0</v>
      </c>
      <c r="AM93" s="71">
        <v>0</v>
      </c>
      <c r="AN93" s="55">
        <f t="shared" si="121"/>
        <v>0</v>
      </c>
      <c r="AO93" s="55">
        <f t="shared" si="88"/>
        <v>24314.730000000032</v>
      </c>
      <c r="AP93" s="55">
        <f t="shared" si="89"/>
        <v>2496.39</v>
      </c>
      <c r="AQ93" s="55">
        <f t="shared" si="122"/>
        <v>0</v>
      </c>
      <c r="AS93" s="70">
        <v>46357</v>
      </c>
      <c r="AT93" s="55">
        <f t="shared" si="90"/>
        <v>0</v>
      </c>
      <c r="AU93" s="55">
        <f t="shared" si="91"/>
        <v>204.6</v>
      </c>
      <c r="AV93" s="55">
        <f t="shared" si="123"/>
        <v>204.6</v>
      </c>
      <c r="AW93" s="55">
        <f t="shared" si="92"/>
        <v>0</v>
      </c>
      <c r="AX93" s="71">
        <v>0</v>
      </c>
      <c r="AY93" s="55">
        <f t="shared" si="124"/>
        <v>0</v>
      </c>
      <c r="AZ93" s="55">
        <f t="shared" si="93"/>
        <v>27839.929999999931</v>
      </c>
      <c r="BA93" s="55">
        <f t="shared" si="94"/>
        <v>2100.6699999999996</v>
      </c>
      <c r="BB93" s="55">
        <f t="shared" si="125"/>
        <v>0</v>
      </c>
      <c r="BD93" s="70">
        <v>46357</v>
      </c>
      <c r="BE93" s="55">
        <f t="shared" si="95"/>
        <v>0</v>
      </c>
      <c r="BF93" s="55">
        <f t="shared" si="96"/>
        <v>221.51</v>
      </c>
      <c r="BG93" s="55">
        <f t="shared" si="126"/>
        <v>221.51</v>
      </c>
      <c r="BH93" s="55">
        <f t="shared" si="97"/>
        <v>0</v>
      </c>
      <c r="BI93" s="71">
        <v>0</v>
      </c>
      <c r="BJ93" s="55">
        <f t="shared" si="127"/>
        <v>0</v>
      </c>
      <c r="BK93" s="55">
        <f t="shared" si="98"/>
        <v>32590.109999999902</v>
      </c>
      <c r="BL93" s="55">
        <f t="shared" si="99"/>
        <v>984.92</v>
      </c>
      <c r="BM93" s="55">
        <f t="shared" si="128"/>
        <v>0</v>
      </c>
    </row>
    <row r="94" spans="1:65" x14ac:dyDescent="0.25">
      <c r="A94" s="70">
        <v>46204</v>
      </c>
      <c r="B94" s="55">
        <f t="shared" si="107"/>
        <v>1454.82</v>
      </c>
      <c r="C94" s="55">
        <f t="shared" si="129"/>
        <v>0</v>
      </c>
      <c r="D94" s="55">
        <f t="shared" si="130"/>
        <v>0</v>
      </c>
      <c r="E94" s="55">
        <f t="shared" si="131"/>
        <v>0</v>
      </c>
      <c r="F94" s="55">
        <f t="shared" si="132"/>
        <v>0</v>
      </c>
      <c r="G94" s="55">
        <f t="shared" si="106"/>
        <v>1454.82</v>
      </c>
      <c r="J94">
        <f t="shared" si="133"/>
        <v>7</v>
      </c>
      <c r="K94" s="70">
        <v>46204</v>
      </c>
      <c r="L94" s="55">
        <f t="shared" si="108"/>
        <v>119200.05</v>
      </c>
      <c r="M94" s="55">
        <f t="shared" si="109"/>
        <v>727.41</v>
      </c>
      <c r="N94" s="55">
        <f t="shared" si="110"/>
        <v>317.15999999999997</v>
      </c>
      <c r="O94" s="55">
        <f t="shared" si="111"/>
        <v>410.25</v>
      </c>
      <c r="P94" s="71">
        <v>727.41</v>
      </c>
      <c r="Q94" s="55">
        <f t="shared" si="112"/>
        <v>1454.82</v>
      </c>
      <c r="R94" s="55">
        <f t="shared" si="113"/>
        <v>31844.52</v>
      </c>
      <c r="S94" s="55">
        <f t="shared" si="114"/>
        <v>37986.840000000011</v>
      </c>
      <c r="T94" s="55">
        <f t="shared" si="115"/>
        <v>118155.48</v>
      </c>
      <c r="U94" s="57">
        <f t="shared" si="116"/>
        <v>61844.520000000004</v>
      </c>
      <c r="W94" s="70">
        <v>46388</v>
      </c>
      <c r="X94" s="55">
        <f t="shared" si="100"/>
        <v>0</v>
      </c>
      <c r="Y94" s="55">
        <f t="shared" si="101"/>
        <v>544.78</v>
      </c>
      <c r="Z94" s="55">
        <f t="shared" si="117"/>
        <v>544.78</v>
      </c>
      <c r="AA94" s="55">
        <f t="shared" si="102"/>
        <v>0</v>
      </c>
      <c r="AB94" s="71">
        <v>0</v>
      </c>
      <c r="AC94" s="55">
        <f t="shared" si="118"/>
        <v>0</v>
      </c>
      <c r="AD94" s="55">
        <f t="shared" si="103"/>
        <v>63166.469999999987</v>
      </c>
      <c r="AE94" s="55">
        <f t="shared" si="104"/>
        <v>8935.9199999999946</v>
      </c>
      <c r="AF94" s="55">
        <f t="shared" si="119"/>
        <v>0</v>
      </c>
      <c r="AH94" s="70">
        <v>46388</v>
      </c>
      <c r="AI94" s="55">
        <f t="shared" si="85"/>
        <v>0</v>
      </c>
      <c r="AJ94" s="55">
        <f t="shared" si="86"/>
        <v>186.04</v>
      </c>
      <c r="AK94" s="55">
        <f t="shared" si="120"/>
        <v>186.04</v>
      </c>
      <c r="AL94" s="55">
        <f t="shared" si="87"/>
        <v>0</v>
      </c>
      <c r="AM94" s="71">
        <v>0</v>
      </c>
      <c r="AN94" s="55">
        <f t="shared" si="121"/>
        <v>0</v>
      </c>
      <c r="AO94" s="55">
        <f t="shared" si="88"/>
        <v>24500.770000000033</v>
      </c>
      <c r="AP94" s="55">
        <f t="shared" si="89"/>
        <v>2496.39</v>
      </c>
      <c r="AQ94" s="55">
        <f t="shared" si="122"/>
        <v>0</v>
      </c>
      <c r="AS94" s="70">
        <v>46388</v>
      </c>
      <c r="AT94" s="55">
        <f t="shared" si="90"/>
        <v>0</v>
      </c>
      <c r="AU94" s="55">
        <f t="shared" si="91"/>
        <v>204.6</v>
      </c>
      <c r="AV94" s="55">
        <f t="shared" si="123"/>
        <v>204.6</v>
      </c>
      <c r="AW94" s="55">
        <f t="shared" si="92"/>
        <v>0</v>
      </c>
      <c r="AX94" s="71">
        <v>0</v>
      </c>
      <c r="AY94" s="55">
        <f t="shared" si="124"/>
        <v>0</v>
      </c>
      <c r="AZ94" s="55">
        <f t="shared" si="93"/>
        <v>28044.52999999993</v>
      </c>
      <c r="BA94" s="55">
        <f t="shared" si="94"/>
        <v>2100.6699999999996</v>
      </c>
      <c r="BB94" s="55">
        <f t="shared" si="125"/>
        <v>0</v>
      </c>
      <c r="BD94" s="70">
        <v>46388</v>
      </c>
      <c r="BE94" s="55">
        <f t="shared" si="95"/>
        <v>0</v>
      </c>
      <c r="BF94" s="55">
        <f t="shared" si="96"/>
        <v>221.51</v>
      </c>
      <c r="BG94" s="55">
        <f t="shared" si="126"/>
        <v>221.51</v>
      </c>
      <c r="BH94" s="55">
        <f t="shared" si="97"/>
        <v>0</v>
      </c>
      <c r="BI94" s="71">
        <v>0</v>
      </c>
      <c r="BJ94" s="55">
        <f t="shared" si="127"/>
        <v>0</v>
      </c>
      <c r="BK94" s="55">
        <f t="shared" si="98"/>
        <v>32811.619999999901</v>
      </c>
      <c r="BL94" s="55">
        <f t="shared" si="99"/>
        <v>984.92</v>
      </c>
      <c r="BM94" s="55">
        <f t="shared" si="128"/>
        <v>0</v>
      </c>
    </row>
    <row r="95" spans="1:65" x14ac:dyDescent="0.25">
      <c r="A95" s="70">
        <v>46235</v>
      </c>
      <c r="B95" s="55">
        <f t="shared" si="107"/>
        <v>1454.82</v>
      </c>
      <c r="C95" s="55">
        <f t="shared" si="129"/>
        <v>0</v>
      </c>
      <c r="D95" s="55">
        <f t="shared" si="130"/>
        <v>0</v>
      </c>
      <c r="E95" s="55">
        <f t="shared" si="131"/>
        <v>0</v>
      </c>
      <c r="F95" s="55">
        <f t="shared" si="132"/>
        <v>0</v>
      </c>
      <c r="G95" s="55">
        <f t="shared" si="106"/>
        <v>1454.82</v>
      </c>
      <c r="J95">
        <f t="shared" si="133"/>
        <v>7</v>
      </c>
      <c r="K95" s="70">
        <v>46235</v>
      </c>
      <c r="L95" s="55">
        <f t="shared" si="108"/>
        <v>118155.48</v>
      </c>
      <c r="M95" s="55">
        <f t="shared" si="109"/>
        <v>727.41</v>
      </c>
      <c r="N95" s="55">
        <f t="shared" si="110"/>
        <v>320.76</v>
      </c>
      <c r="O95" s="55">
        <f t="shared" si="111"/>
        <v>406.65</v>
      </c>
      <c r="P95" s="71">
        <v>727.41</v>
      </c>
      <c r="Q95" s="55">
        <f t="shared" si="112"/>
        <v>1454.82</v>
      </c>
      <c r="R95" s="55">
        <f t="shared" si="113"/>
        <v>32892.69</v>
      </c>
      <c r="S95" s="55">
        <f t="shared" si="114"/>
        <v>38393.490000000013</v>
      </c>
      <c r="T95" s="55">
        <f t="shared" si="115"/>
        <v>117107.31</v>
      </c>
      <c r="U95" s="57">
        <f t="shared" si="116"/>
        <v>62892.69</v>
      </c>
      <c r="W95" s="70">
        <v>46419</v>
      </c>
      <c r="X95" s="55">
        <f t="shared" si="100"/>
        <v>0</v>
      </c>
      <c r="Y95" s="55">
        <f t="shared" si="101"/>
        <v>544.78</v>
      </c>
      <c r="Z95" s="55">
        <f t="shared" si="117"/>
        <v>544.78</v>
      </c>
      <c r="AA95" s="55">
        <f t="shared" si="102"/>
        <v>0</v>
      </c>
      <c r="AB95" s="71">
        <v>0</v>
      </c>
      <c r="AC95" s="55">
        <f t="shared" si="118"/>
        <v>0</v>
      </c>
      <c r="AD95" s="55">
        <f t="shared" si="103"/>
        <v>63711.249999999985</v>
      </c>
      <c r="AE95" s="55">
        <f t="shared" si="104"/>
        <v>8935.9199999999946</v>
      </c>
      <c r="AF95" s="55">
        <f t="shared" si="119"/>
        <v>0</v>
      </c>
      <c r="AH95" s="70">
        <v>46419</v>
      </c>
      <c r="AI95" s="55">
        <f t="shared" si="85"/>
        <v>0</v>
      </c>
      <c r="AJ95" s="55">
        <f t="shared" si="86"/>
        <v>186.04</v>
      </c>
      <c r="AK95" s="55">
        <f t="shared" si="120"/>
        <v>186.04</v>
      </c>
      <c r="AL95" s="55">
        <f t="shared" si="87"/>
        <v>0</v>
      </c>
      <c r="AM95" s="71">
        <v>0</v>
      </c>
      <c r="AN95" s="55">
        <f t="shared" si="121"/>
        <v>0</v>
      </c>
      <c r="AO95" s="55">
        <f t="shared" si="88"/>
        <v>24686.810000000034</v>
      </c>
      <c r="AP95" s="55">
        <f t="shared" si="89"/>
        <v>2496.39</v>
      </c>
      <c r="AQ95" s="55">
        <f t="shared" si="122"/>
        <v>0</v>
      </c>
      <c r="AS95" s="70">
        <v>46419</v>
      </c>
      <c r="AT95" s="55">
        <f t="shared" si="90"/>
        <v>0</v>
      </c>
      <c r="AU95" s="55">
        <f t="shared" si="91"/>
        <v>204.6</v>
      </c>
      <c r="AV95" s="55">
        <f t="shared" si="123"/>
        <v>204.6</v>
      </c>
      <c r="AW95" s="55">
        <f t="shared" si="92"/>
        <v>0</v>
      </c>
      <c r="AX95" s="71">
        <v>0</v>
      </c>
      <c r="AY95" s="55">
        <f t="shared" si="124"/>
        <v>0</v>
      </c>
      <c r="AZ95" s="55">
        <f t="shared" si="93"/>
        <v>28249.129999999928</v>
      </c>
      <c r="BA95" s="55">
        <f t="shared" si="94"/>
        <v>2100.6699999999996</v>
      </c>
      <c r="BB95" s="55">
        <f t="shared" si="125"/>
        <v>0</v>
      </c>
      <c r="BD95" s="70">
        <v>46419</v>
      </c>
      <c r="BE95" s="55">
        <f t="shared" si="95"/>
        <v>0</v>
      </c>
      <c r="BF95" s="55">
        <f t="shared" si="96"/>
        <v>221.51</v>
      </c>
      <c r="BG95" s="55">
        <f t="shared" si="126"/>
        <v>221.51</v>
      </c>
      <c r="BH95" s="55">
        <f t="shared" si="97"/>
        <v>0</v>
      </c>
      <c r="BI95" s="71">
        <v>0</v>
      </c>
      <c r="BJ95" s="55">
        <f t="shared" si="127"/>
        <v>0</v>
      </c>
      <c r="BK95" s="55">
        <f t="shared" si="98"/>
        <v>33033.129999999903</v>
      </c>
      <c r="BL95" s="55">
        <f t="shared" si="99"/>
        <v>984.92</v>
      </c>
      <c r="BM95" s="55">
        <f t="shared" si="128"/>
        <v>0</v>
      </c>
    </row>
    <row r="96" spans="1:65" x14ac:dyDescent="0.25">
      <c r="A96" s="70">
        <v>46266</v>
      </c>
      <c r="B96" s="55">
        <f t="shared" si="107"/>
        <v>1454.82</v>
      </c>
      <c r="C96" s="55">
        <f t="shared" si="129"/>
        <v>0</v>
      </c>
      <c r="D96" s="55">
        <f t="shared" si="130"/>
        <v>0</v>
      </c>
      <c r="E96" s="55">
        <f t="shared" si="131"/>
        <v>0</v>
      </c>
      <c r="F96" s="55">
        <f t="shared" si="132"/>
        <v>0</v>
      </c>
      <c r="G96" s="55">
        <f t="shared" si="106"/>
        <v>1454.82</v>
      </c>
      <c r="J96">
        <f t="shared" si="133"/>
        <v>7</v>
      </c>
      <c r="K96" s="70">
        <v>46266</v>
      </c>
      <c r="L96" s="55">
        <f t="shared" si="108"/>
        <v>117107.31</v>
      </c>
      <c r="M96" s="55">
        <f t="shared" si="109"/>
        <v>727.41</v>
      </c>
      <c r="N96" s="55">
        <f t="shared" si="110"/>
        <v>324.36999999999995</v>
      </c>
      <c r="O96" s="55">
        <f t="shared" si="111"/>
        <v>403.04</v>
      </c>
      <c r="P96" s="71">
        <v>727.41</v>
      </c>
      <c r="Q96" s="55">
        <f t="shared" si="112"/>
        <v>1454.82</v>
      </c>
      <c r="R96" s="55">
        <f t="shared" si="113"/>
        <v>33944.47</v>
      </c>
      <c r="S96" s="55">
        <f t="shared" si="114"/>
        <v>38796.530000000013</v>
      </c>
      <c r="T96" s="55">
        <f t="shared" si="115"/>
        <v>116055.53</v>
      </c>
      <c r="U96" s="57">
        <f t="shared" si="116"/>
        <v>63944.47</v>
      </c>
      <c r="W96" s="70">
        <v>46447</v>
      </c>
      <c r="X96" s="55">
        <f t="shared" si="100"/>
        <v>0</v>
      </c>
      <c r="Y96" s="55">
        <f t="shared" si="101"/>
        <v>544.78</v>
      </c>
      <c r="Z96" s="55">
        <f t="shared" si="117"/>
        <v>544.78</v>
      </c>
      <c r="AA96" s="55">
        <f t="shared" si="102"/>
        <v>0</v>
      </c>
      <c r="AB96" s="71">
        <v>0</v>
      </c>
      <c r="AC96" s="55">
        <f t="shared" si="118"/>
        <v>0</v>
      </c>
      <c r="AD96" s="55">
        <f t="shared" si="103"/>
        <v>64256.029999999984</v>
      </c>
      <c r="AE96" s="55">
        <f t="shared" si="104"/>
        <v>8935.9199999999946</v>
      </c>
      <c r="AF96" s="55">
        <f t="shared" si="119"/>
        <v>0</v>
      </c>
      <c r="AH96" s="70">
        <v>46447</v>
      </c>
      <c r="AI96" s="55">
        <f t="shared" si="85"/>
        <v>0</v>
      </c>
      <c r="AJ96" s="55">
        <f t="shared" si="86"/>
        <v>186.04</v>
      </c>
      <c r="AK96" s="55">
        <f t="shared" si="120"/>
        <v>186.04</v>
      </c>
      <c r="AL96" s="55">
        <f t="shared" si="87"/>
        <v>0</v>
      </c>
      <c r="AM96" s="71">
        <v>0</v>
      </c>
      <c r="AN96" s="55">
        <f t="shared" si="121"/>
        <v>0</v>
      </c>
      <c r="AO96" s="55">
        <f t="shared" si="88"/>
        <v>24872.850000000035</v>
      </c>
      <c r="AP96" s="55">
        <f t="shared" si="89"/>
        <v>2496.39</v>
      </c>
      <c r="AQ96" s="55">
        <f t="shared" si="122"/>
        <v>0</v>
      </c>
      <c r="AS96" s="70">
        <v>46447</v>
      </c>
      <c r="AT96" s="55">
        <f t="shared" si="90"/>
        <v>0</v>
      </c>
      <c r="AU96" s="55">
        <f t="shared" si="91"/>
        <v>204.6</v>
      </c>
      <c r="AV96" s="55">
        <f t="shared" si="123"/>
        <v>204.6</v>
      </c>
      <c r="AW96" s="55">
        <f t="shared" si="92"/>
        <v>0</v>
      </c>
      <c r="AX96" s="71">
        <v>0</v>
      </c>
      <c r="AY96" s="55">
        <f t="shared" si="124"/>
        <v>0</v>
      </c>
      <c r="AZ96" s="55">
        <f t="shared" si="93"/>
        <v>28453.729999999927</v>
      </c>
      <c r="BA96" s="55">
        <f t="shared" si="94"/>
        <v>2100.6699999999996</v>
      </c>
      <c r="BB96" s="55">
        <f t="shared" si="125"/>
        <v>0</v>
      </c>
      <c r="BD96" s="70">
        <v>46447</v>
      </c>
      <c r="BE96" s="55">
        <f t="shared" si="95"/>
        <v>0</v>
      </c>
      <c r="BF96" s="55">
        <f t="shared" si="96"/>
        <v>221.51</v>
      </c>
      <c r="BG96" s="55">
        <f t="shared" si="126"/>
        <v>221.51</v>
      </c>
      <c r="BH96" s="55">
        <f t="shared" si="97"/>
        <v>0</v>
      </c>
      <c r="BI96" s="71">
        <v>0</v>
      </c>
      <c r="BJ96" s="55">
        <f t="shared" si="127"/>
        <v>0</v>
      </c>
      <c r="BK96" s="55">
        <f t="shared" si="98"/>
        <v>33254.639999999905</v>
      </c>
      <c r="BL96" s="55">
        <f t="shared" si="99"/>
        <v>984.92</v>
      </c>
      <c r="BM96" s="55">
        <f t="shared" si="128"/>
        <v>0</v>
      </c>
    </row>
    <row r="97" spans="1:65" x14ac:dyDescent="0.25">
      <c r="A97" s="70">
        <v>46296</v>
      </c>
      <c r="B97" s="55">
        <f t="shared" si="107"/>
        <v>1454.82</v>
      </c>
      <c r="C97" s="55">
        <f t="shared" si="129"/>
        <v>0</v>
      </c>
      <c r="D97" s="55">
        <f t="shared" si="130"/>
        <v>0</v>
      </c>
      <c r="E97" s="55">
        <f t="shared" si="131"/>
        <v>0</v>
      </c>
      <c r="F97" s="55">
        <f t="shared" si="132"/>
        <v>0</v>
      </c>
      <c r="G97" s="55">
        <f t="shared" si="106"/>
        <v>1454.82</v>
      </c>
      <c r="J97">
        <f t="shared" si="133"/>
        <v>7</v>
      </c>
      <c r="K97" s="70">
        <v>46296</v>
      </c>
      <c r="L97" s="55">
        <f t="shared" si="108"/>
        <v>116055.53</v>
      </c>
      <c r="M97" s="55">
        <f t="shared" si="109"/>
        <v>727.41</v>
      </c>
      <c r="N97" s="55">
        <f t="shared" si="110"/>
        <v>327.98999999999995</v>
      </c>
      <c r="O97" s="55">
        <f t="shared" si="111"/>
        <v>399.42</v>
      </c>
      <c r="P97" s="71">
        <v>727.41</v>
      </c>
      <c r="Q97" s="55">
        <f t="shared" si="112"/>
        <v>1454.82</v>
      </c>
      <c r="R97" s="55">
        <f t="shared" si="113"/>
        <v>34999.870000000003</v>
      </c>
      <c r="S97" s="55">
        <f t="shared" si="114"/>
        <v>39195.950000000012</v>
      </c>
      <c r="T97" s="55">
        <f t="shared" si="115"/>
        <v>115000.12999999999</v>
      </c>
      <c r="U97" s="57">
        <f t="shared" si="116"/>
        <v>64999.87</v>
      </c>
      <c r="W97" s="70">
        <v>46478</v>
      </c>
      <c r="X97" s="55">
        <f t="shared" si="100"/>
        <v>0</v>
      </c>
      <c r="Y97" s="55">
        <f t="shared" si="101"/>
        <v>544.78</v>
      </c>
      <c r="Z97" s="55">
        <f t="shared" si="117"/>
        <v>544.78</v>
      </c>
      <c r="AA97" s="55">
        <f t="shared" si="102"/>
        <v>0</v>
      </c>
      <c r="AB97" s="71">
        <v>0</v>
      </c>
      <c r="AC97" s="55">
        <f t="shared" si="118"/>
        <v>0</v>
      </c>
      <c r="AD97" s="55">
        <f t="shared" si="103"/>
        <v>64800.809999999983</v>
      </c>
      <c r="AE97" s="55">
        <f t="shared" si="104"/>
        <v>8935.9199999999946</v>
      </c>
      <c r="AF97" s="55">
        <f t="shared" si="119"/>
        <v>0</v>
      </c>
      <c r="AH97" s="70">
        <v>46478</v>
      </c>
      <c r="AI97" s="55">
        <f t="shared" si="85"/>
        <v>0</v>
      </c>
      <c r="AJ97" s="55">
        <f t="shared" si="86"/>
        <v>186.04</v>
      </c>
      <c r="AK97" s="55">
        <f t="shared" si="120"/>
        <v>186.04</v>
      </c>
      <c r="AL97" s="55">
        <f t="shared" si="87"/>
        <v>0</v>
      </c>
      <c r="AM97" s="71">
        <v>0</v>
      </c>
      <c r="AN97" s="55">
        <f t="shared" si="121"/>
        <v>0</v>
      </c>
      <c r="AO97" s="55">
        <f t="shared" si="88"/>
        <v>25058.890000000036</v>
      </c>
      <c r="AP97" s="55">
        <f t="shared" si="89"/>
        <v>2496.39</v>
      </c>
      <c r="AQ97" s="55">
        <f t="shared" si="122"/>
        <v>0</v>
      </c>
      <c r="AS97" s="70">
        <v>46478</v>
      </c>
      <c r="AT97" s="55">
        <f t="shared" si="90"/>
        <v>0</v>
      </c>
      <c r="AU97" s="55">
        <f t="shared" si="91"/>
        <v>204.6</v>
      </c>
      <c r="AV97" s="55">
        <f t="shared" si="123"/>
        <v>204.6</v>
      </c>
      <c r="AW97" s="55">
        <f t="shared" si="92"/>
        <v>0</v>
      </c>
      <c r="AX97" s="71">
        <v>0</v>
      </c>
      <c r="AY97" s="55">
        <f t="shared" si="124"/>
        <v>0</v>
      </c>
      <c r="AZ97" s="55">
        <f t="shared" si="93"/>
        <v>28658.329999999925</v>
      </c>
      <c r="BA97" s="55">
        <f t="shared" si="94"/>
        <v>2100.6699999999996</v>
      </c>
      <c r="BB97" s="55">
        <f t="shared" si="125"/>
        <v>0</v>
      </c>
      <c r="BD97" s="70">
        <v>46478</v>
      </c>
      <c r="BE97" s="55">
        <f t="shared" si="95"/>
        <v>0</v>
      </c>
      <c r="BF97" s="55">
        <f t="shared" si="96"/>
        <v>221.51</v>
      </c>
      <c r="BG97" s="55">
        <f t="shared" si="126"/>
        <v>221.51</v>
      </c>
      <c r="BH97" s="55">
        <f t="shared" si="97"/>
        <v>0</v>
      </c>
      <c r="BI97" s="71">
        <v>0</v>
      </c>
      <c r="BJ97" s="55">
        <f t="shared" si="127"/>
        <v>0</v>
      </c>
      <c r="BK97" s="55">
        <f t="shared" si="98"/>
        <v>33476.149999999907</v>
      </c>
      <c r="BL97" s="55">
        <f t="shared" si="99"/>
        <v>984.92</v>
      </c>
      <c r="BM97" s="55">
        <f t="shared" si="128"/>
        <v>0</v>
      </c>
    </row>
    <row r="98" spans="1:65" x14ac:dyDescent="0.25">
      <c r="A98" s="70">
        <v>46327</v>
      </c>
      <c r="B98" s="55">
        <f t="shared" si="107"/>
        <v>1454.82</v>
      </c>
      <c r="C98" s="55">
        <f t="shared" si="129"/>
        <v>0</v>
      </c>
      <c r="D98" s="55">
        <f t="shared" si="130"/>
        <v>0</v>
      </c>
      <c r="E98" s="55">
        <f t="shared" si="131"/>
        <v>0</v>
      </c>
      <c r="F98" s="55">
        <f t="shared" si="132"/>
        <v>0</v>
      </c>
      <c r="G98" s="55">
        <f t="shared" si="106"/>
        <v>1454.82</v>
      </c>
      <c r="J98">
        <f t="shared" si="133"/>
        <v>7</v>
      </c>
      <c r="K98" s="70">
        <v>46327</v>
      </c>
      <c r="L98" s="55">
        <f t="shared" si="108"/>
        <v>115000.12999999999</v>
      </c>
      <c r="M98" s="55">
        <f t="shared" si="109"/>
        <v>727.41</v>
      </c>
      <c r="N98" s="55">
        <f t="shared" si="110"/>
        <v>331.61999999999995</v>
      </c>
      <c r="O98" s="55">
        <f t="shared" si="111"/>
        <v>395.79</v>
      </c>
      <c r="P98" s="71">
        <v>727.41</v>
      </c>
      <c r="Q98" s="55">
        <f t="shared" si="112"/>
        <v>1454.82</v>
      </c>
      <c r="R98" s="55">
        <f t="shared" si="113"/>
        <v>36058.9</v>
      </c>
      <c r="S98" s="55">
        <f t="shared" si="114"/>
        <v>39591.740000000013</v>
      </c>
      <c r="T98" s="55">
        <f t="shared" si="115"/>
        <v>113941.09999999999</v>
      </c>
      <c r="U98" s="57">
        <f t="shared" si="116"/>
        <v>66058.899999999994</v>
      </c>
      <c r="W98" s="70">
        <v>46508</v>
      </c>
      <c r="X98" s="55">
        <f t="shared" si="100"/>
        <v>0</v>
      </c>
      <c r="Y98" s="55">
        <f t="shared" si="101"/>
        <v>544.78</v>
      </c>
      <c r="Z98" s="55">
        <f t="shared" si="117"/>
        <v>544.78</v>
      </c>
      <c r="AA98" s="55">
        <f t="shared" si="102"/>
        <v>0</v>
      </c>
      <c r="AB98" s="71">
        <v>0</v>
      </c>
      <c r="AC98" s="55">
        <f t="shared" si="118"/>
        <v>0</v>
      </c>
      <c r="AD98" s="55">
        <f t="shared" si="103"/>
        <v>65345.589999999982</v>
      </c>
      <c r="AE98" s="55">
        <f t="shared" si="104"/>
        <v>8935.9199999999946</v>
      </c>
      <c r="AF98" s="55">
        <f t="shared" si="119"/>
        <v>0</v>
      </c>
      <c r="AH98" s="70">
        <v>46508</v>
      </c>
      <c r="AI98" s="55">
        <f t="shared" si="85"/>
        <v>0</v>
      </c>
      <c r="AJ98" s="55">
        <f t="shared" si="86"/>
        <v>186.04</v>
      </c>
      <c r="AK98" s="55">
        <f t="shared" si="120"/>
        <v>186.04</v>
      </c>
      <c r="AL98" s="55">
        <f t="shared" si="87"/>
        <v>0</v>
      </c>
      <c r="AM98" s="71">
        <v>0</v>
      </c>
      <c r="AN98" s="55">
        <f t="shared" si="121"/>
        <v>0</v>
      </c>
      <c r="AO98" s="55">
        <f t="shared" si="88"/>
        <v>25244.930000000037</v>
      </c>
      <c r="AP98" s="55">
        <f t="shared" si="89"/>
        <v>2496.39</v>
      </c>
      <c r="AQ98" s="55">
        <f t="shared" si="122"/>
        <v>0</v>
      </c>
      <c r="AS98" s="70">
        <v>46508</v>
      </c>
      <c r="AT98" s="55">
        <f t="shared" si="90"/>
        <v>0</v>
      </c>
      <c r="AU98" s="55">
        <f t="shared" si="91"/>
        <v>204.6</v>
      </c>
      <c r="AV98" s="55">
        <f t="shared" si="123"/>
        <v>204.6</v>
      </c>
      <c r="AW98" s="55">
        <f t="shared" si="92"/>
        <v>0</v>
      </c>
      <c r="AX98" s="71">
        <v>0</v>
      </c>
      <c r="AY98" s="55">
        <f t="shared" si="124"/>
        <v>0</v>
      </c>
      <c r="AZ98" s="55">
        <f t="shared" si="93"/>
        <v>28862.929999999924</v>
      </c>
      <c r="BA98" s="55">
        <f t="shared" si="94"/>
        <v>2100.6699999999996</v>
      </c>
      <c r="BB98" s="55">
        <f t="shared" si="125"/>
        <v>0</v>
      </c>
      <c r="BD98" s="70">
        <v>46508</v>
      </c>
      <c r="BE98" s="55">
        <f t="shared" si="95"/>
        <v>0</v>
      </c>
      <c r="BF98" s="55">
        <f t="shared" si="96"/>
        <v>221.51</v>
      </c>
      <c r="BG98" s="55">
        <f t="shared" si="126"/>
        <v>221.51</v>
      </c>
      <c r="BH98" s="55">
        <f t="shared" si="97"/>
        <v>0</v>
      </c>
      <c r="BI98" s="71">
        <v>0</v>
      </c>
      <c r="BJ98" s="55">
        <f t="shared" si="127"/>
        <v>0</v>
      </c>
      <c r="BK98" s="55">
        <f t="shared" si="98"/>
        <v>33697.659999999909</v>
      </c>
      <c r="BL98" s="55">
        <f t="shared" si="99"/>
        <v>984.92</v>
      </c>
      <c r="BM98" s="55">
        <f t="shared" si="128"/>
        <v>0</v>
      </c>
    </row>
    <row r="99" spans="1:65" x14ac:dyDescent="0.25">
      <c r="A99" s="70">
        <v>46357</v>
      </c>
      <c r="B99" s="55">
        <f t="shared" si="107"/>
        <v>1454.82</v>
      </c>
      <c r="C99" s="55">
        <f t="shared" si="129"/>
        <v>0</v>
      </c>
      <c r="D99" s="55">
        <f t="shared" si="130"/>
        <v>0</v>
      </c>
      <c r="E99" s="55">
        <f t="shared" si="131"/>
        <v>0</v>
      </c>
      <c r="F99" s="55">
        <f t="shared" si="132"/>
        <v>0</v>
      </c>
      <c r="G99" s="55">
        <f t="shared" si="106"/>
        <v>1454.82</v>
      </c>
      <c r="J99">
        <f t="shared" si="133"/>
        <v>7</v>
      </c>
      <c r="K99" s="70">
        <v>46357</v>
      </c>
      <c r="L99" s="55">
        <f t="shared" si="108"/>
        <v>113941.09999999999</v>
      </c>
      <c r="M99" s="55">
        <f t="shared" si="109"/>
        <v>727.41</v>
      </c>
      <c r="N99" s="55">
        <f t="shared" si="110"/>
        <v>335.26</v>
      </c>
      <c r="O99" s="55">
        <f t="shared" si="111"/>
        <v>392.15</v>
      </c>
      <c r="P99" s="71">
        <v>727.41</v>
      </c>
      <c r="Q99" s="55">
        <f t="shared" si="112"/>
        <v>1454.82</v>
      </c>
      <c r="R99" s="55">
        <f t="shared" si="113"/>
        <v>37121.57</v>
      </c>
      <c r="S99" s="55">
        <f t="shared" si="114"/>
        <v>39983.890000000014</v>
      </c>
      <c r="T99" s="55">
        <f t="shared" si="115"/>
        <v>112878.43</v>
      </c>
      <c r="U99" s="57">
        <f t="shared" si="116"/>
        <v>67121.570000000007</v>
      </c>
      <c r="W99" s="70">
        <v>46539</v>
      </c>
      <c r="X99" s="55">
        <f t="shared" si="100"/>
        <v>0</v>
      </c>
      <c r="Y99" s="55">
        <f t="shared" si="101"/>
        <v>544.78</v>
      </c>
      <c r="Z99" s="55">
        <f t="shared" si="117"/>
        <v>544.78</v>
      </c>
      <c r="AA99" s="55">
        <f t="shared" si="102"/>
        <v>0</v>
      </c>
      <c r="AB99" s="71">
        <v>0</v>
      </c>
      <c r="AC99" s="55">
        <f t="shared" si="118"/>
        <v>0</v>
      </c>
      <c r="AD99" s="55">
        <f t="shared" si="103"/>
        <v>65890.369999999981</v>
      </c>
      <c r="AE99" s="55">
        <f t="shared" si="104"/>
        <v>8935.9199999999946</v>
      </c>
      <c r="AF99" s="55">
        <f t="shared" si="119"/>
        <v>0</v>
      </c>
      <c r="AH99" s="70">
        <v>46539</v>
      </c>
      <c r="AI99" s="55">
        <f t="shared" si="85"/>
        <v>0</v>
      </c>
      <c r="AJ99" s="55">
        <f t="shared" si="86"/>
        <v>186.04</v>
      </c>
      <c r="AK99" s="55">
        <f t="shared" si="120"/>
        <v>186.04</v>
      </c>
      <c r="AL99" s="55">
        <f t="shared" si="87"/>
        <v>0</v>
      </c>
      <c r="AM99" s="71">
        <v>0</v>
      </c>
      <c r="AN99" s="55">
        <f t="shared" si="121"/>
        <v>0</v>
      </c>
      <c r="AO99" s="55">
        <f t="shared" si="88"/>
        <v>25430.970000000038</v>
      </c>
      <c r="AP99" s="55">
        <f t="shared" si="89"/>
        <v>2496.39</v>
      </c>
      <c r="AQ99" s="55">
        <f t="shared" si="122"/>
        <v>0</v>
      </c>
      <c r="AS99" s="70">
        <v>46539</v>
      </c>
      <c r="AT99" s="55">
        <f t="shared" si="90"/>
        <v>0</v>
      </c>
      <c r="AU99" s="55">
        <f t="shared" si="91"/>
        <v>204.6</v>
      </c>
      <c r="AV99" s="55">
        <f t="shared" si="123"/>
        <v>204.6</v>
      </c>
      <c r="AW99" s="55">
        <f t="shared" si="92"/>
        <v>0</v>
      </c>
      <c r="AX99" s="71">
        <v>0</v>
      </c>
      <c r="AY99" s="55">
        <f t="shared" si="124"/>
        <v>0</v>
      </c>
      <c r="AZ99" s="55">
        <f t="shared" si="93"/>
        <v>29067.529999999922</v>
      </c>
      <c r="BA99" s="55">
        <f t="shared" si="94"/>
        <v>2100.6699999999996</v>
      </c>
      <c r="BB99" s="55">
        <f t="shared" si="125"/>
        <v>0</v>
      </c>
      <c r="BD99" s="70">
        <v>46539</v>
      </c>
      <c r="BE99" s="55">
        <f t="shared" si="95"/>
        <v>0</v>
      </c>
      <c r="BF99" s="55">
        <f t="shared" si="96"/>
        <v>221.51</v>
      </c>
      <c r="BG99" s="55">
        <f t="shared" si="126"/>
        <v>221.51</v>
      </c>
      <c r="BH99" s="55">
        <f t="shared" si="97"/>
        <v>0</v>
      </c>
      <c r="BI99" s="71">
        <v>0</v>
      </c>
      <c r="BJ99" s="55">
        <f t="shared" si="127"/>
        <v>0</v>
      </c>
      <c r="BK99" s="55">
        <f t="shared" si="98"/>
        <v>33919.169999999911</v>
      </c>
      <c r="BL99" s="55">
        <f t="shared" si="99"/>
        <v>984.92</v>
      </c>
      <c r="BM99" s="55">
        <f t="shared" si="128"/>
        <v>0</v>
      </c>
    </row>
    <row r="100" spans="1:65" x14ac:dyDescent="0.25">
      <c r="A100" s="70">
        <v>46388</v>
      </c>
      <c r="B100" s="55">
        <f t="shared" si="107"/>
        <v>1454.82</v>
      </c>
      <c r="C100" s="55">
        <f t="shared" si="129"/>
        <v>0</v>
      </c>
      <c r="D100" s="55">
        <f t="shared" si="130"/>
        <v>0</v>
      </c>
      <c r="E100" s="55">
        <f t="shared" si="131"/>
        <v>0</v>
      </c>
      <c r="F100" s="55">
        <f t="shared" si="132"/>
        <v>0</v>
      </c>
      <c r="G100" s="55">
        <f t="shared" si="106"/>
        <v>1454.82</v>
      </c>
      <c r="J100">
        <f t="shared" si="133"/>
        <v>8</v>
      </c>
      <c r="K100" s="70">
        <v>46388</v>
      </c>
      <c r="L100" s="55">
        <f t="shared" si="108"/>
        <v>112878.43</v>
      </c>
      <c r="M100" s="55">
        <f t="shared" si="109"/>
        <v>727.41</v>
      </c>
      <c r="N100" s="55">
        <f t="shared" si="110"/>
        <v>338.91999999999996</v>
      </c>
      <c r="O100" s="55">
        <f t="shared" si="111"/>
        <v>388.49</v>
      </c>
      <c r="P100" s="71">
        <v>727.41</v>
      </c>
      <c r="Q100" s="55">
        <f t="shared" si="112"/>
        <v>1454.82</v>
      </c>
      <c r="R100" s="55">
        <f t="shared" si="113"/>
        <v>38187.9</v>
      </c>
      <c r="S100" s="55">
        <f t="shared" si="114"/>
        <v>40372.380000000012</v>
      </c>
      <c r="T100" s="55">
        <f t="shared" si="115"/>
        <v>111812.09999999999</v>
      </c>
      <c r="U100" s="57">
        <f t="shared" si="116"/>
        <v>68187.899999999994</v>
      </c>
      <c r="W100" s="70">
        <v>46569</v>
      </c>
      <c r="X100" s="55">
        <f t="shared" si="100"/>
        <v>0</v>
      </c>
      <c r="Y100" s="55">
        <f t="shared" si="101"/>
        <v>544.78</v>
      </c>
      <c r="Z100" s="55">
        <f t="shared" si="117"/>
        <v>544.78</v>
      </c>
      <c r="AA100" s="55">
        <f t="shared" si="102"/>
        <v>0</v>
      </c>
      <c r="AB100" s="71">
        <v>0</v>
      </c>
      <c r="AC100" s="55">
        <f t="shared" si="118"/>
        <v>0</v>
      </c>
      <c r="AD100" s="55">
        <f t="shared" si="103"/>
        <v>66435.14999999998</v>
      </c>
      <c r="AE100" s="55">
        <f t="shared" si="104"/>
        <v>8935.9199999999946</v>
      </c>
      <c r="AF100" s="55">
        <f t="shared" si="119"/>
        <v>0</v>
      </c>
      <c r="AH100" s="70">
        <v>46569</v>
      </c>
      <c r="AI100" s="55">
        <f t="shared" si="85"/>
        <v>0</v>
      </c>
      <c r="AJ100" s="55">
        <f t="shared" si="86"/>
        <v>186.04</v>
      </c>
      <c r="AK100" s="55">
        <f t="shared" si="120"/>
        <v>186.04</v>
      </c>
      <c r="AL100" s="55">
        <f t="shared" si="87"/>
        <v>0</v>
      </c>
      <c r="AM100" s="71">
        <v>0</v>
      </c>
      <c r="AN100" s="55">
        <f t="shared" si="121"/>
        <v>0</v>
      </c>
      <c r="AO100" s="55">
        <f t="shared" si="88"/>
        <v>25617.010000000038</v>
      </c>
      <c r="AP100" s="55">
        <f t="shared" si="89"/>
        <v>2496.39</v>
      </c>
      <c r="AQ100" s="55">
        <f t="shared" si="122"/>
        <v>0</v>
      </c>
      <c r="AS100" s="70">
        <v>46569</v>
      </c>
      <c r="AT100" s="55">
        <f t="shared" si="90"/>
        <v>0</v>
      </c>
      <c r="AU100" s="55">
        <f t="shared" si="91"/>
        <v>204.6</v>
      </c>
      <c r="AV100" s="55">
        <f t="shared" si="123"/>
        <v>204.6</v>
      </c>
      <c r="AW100" s="55">
        <f t="shared" si="92"/>
        <v>0</v>
      </c>
      <c r="AX100" s="71">
        <v>0</v>
      </c>
      <c r="AY100" s="55">
        <f t="shared" si="124"/>
        <v>0</v>
      </c>
      <c r="AZ100" s="55">
        <f t="shared" si="93"/>
        <v>29272.129999999921</v>
      </c>
      <c r="BA100" s="55">
        <f t="shared" si="94"/>
        <v>2100.6699999999996</v>
      </c>
      <c r="BB100" s="55">
        <f t="shared" si="125"/>
        <v>0</v>
      </c>
      <c r="BD100" s="70">
        <v>46569</v>
      </c>
      <c r="BE100" s="55">
        <f t="shared" si="95"/>
        <v>0</v>
      </c>
      <c r="BF100" s="55">
        <f t="shared" si="96"/>
        <v>221.51</v>
      </c>
      <c r="BG100" s="55">
        <f t="shared" si="126"/>
        <v>221.51</v>
      </c>
      <c r="BH100" s="55">
        <f t="shared" si="97"/>
        <v>0</v>
      </c>
      <c r="BI100" s="71">
        <v>0</v>
      </c>
      <c r="BJ100" s="55">
        <f t="shared" si="127"/>
        <v>0</v>
      </c>
      <c r="BK100" s="55">
        <f t="shared" si="98"/>
        <v>34140.679999999913</v>
      </c>
      <c r="BL100" s="55">
        <f t="shared" si="99"/>
        <v>984.92</v>
      </c>
      <c r="BM100" s="55">
        <f t="shared" si="128"/>
        <v>0</v>
      </c>
    </row>
    <row r="101" spans="1:65" x14ac:dyDescent="0.25">
      <c r="A101" s="70">
        <v>46419</v>
      </c>
      <c r="B101" s="55">
        <f t="shared" si="107"/>
        <v>1454.82</v>
      </c>
      <c r="C101" s="55">
        <f t="shared" si="129"/>
        <v>0</v>
      </c>
      <c r="D101" s="55">
        <f t="shared" si="130"/>
        <v>0</v>
      </c>
      <c r="E101" s="55">
        <f t="shared" si="131"/>
        <v>0</v>
      </c>
      <c r="F101" s="55">
        <f t="shared" si="132"/>
        <v>0</v>
      </c>
      <c r="G101" s="55">
        <f t="shared" si="106"/>
        <v>1454.82</v>
      </c>
      <c r="J101">
        <f t="shared" si="133"/>
        <v>8</v>
      </c>
      <c r="K101" s="70">
        <v>46419</v>
      </c>
      <c r="L101" s="55">
        <f t="shared" si="108"/>
        <v>111812.09999999999</v>
      </c>
      <c r="M101" s="55">
        <f t="shared" si="109"/>
        <v>727.41</v>
      </c>
      <c r="N101" s="55">
        <f t="shared" si="110"/>
        <v>342.59</v>
      </c>
      <c r="O101" s="55">
        <f t="shared" si="111"/>
        <v>384.82</v>
      </c>
      <c r="P101" s="71">
        <v>727.41</v>
      </c>
      <c r="Q101" s="55">
        <f t="shared" si="112"/>
        <v>1454.82</v>
      </c>
      <c r="R101" s="55">
        <f t="shared" si="113"/>
        <v>39257.9</v>
      </c>
      <c r="S101" s="55">
        <f t="shared" si="114"/>
        <v>40757.200000000012</v>
      </c>
      <c r="T101" s="55">
        <f t="shared" si="115"/>
        <v>110742.09999999999</v>
      </c>
      <c r="U101" s="57">
        <f t="shared" si="116"/>
        <v>69257.899999999994</v>
      </c>
      <c r="W101" s="70">
        <v>46600</v>
      </c>
      <c r="X101" s="55">
        <f t="shared" si="100"/>
        <v>0</v>
      </c>
      <c r="Y101" s="55">
        <f t="shared" si="101"/>
        <v>544.78</v>
      </c>
      <c r="Z101" s="55">
        <f t="shared" si="117"/>
        <v>544.78</v>
      </c>
      <c r="AA101" s="55">
        <f t="shared" si="102"/>
        <v>0</v>
      </c>
      <c r="AB101" s="71">
        <v>0</v>
      </c>
      <c r="AC101" s="55">
        <f t="shared" si="118"/>
        <v>0</v>
      </c>
      <c r="AD101" s="55">
        <f t="shared" si="103"/>
        <v>66979.929999999978</v>
      </c>
      <c r="AE101" s="55">
        <f t="shared" si="104"/>
        <v>8935.9199999999946</v>
      </c>
      <c r="AF101" s="55">
        <f t="shared" si="119"/>
        <v>0</v>
      </c>
      <c r="AH101" s="70">
        <v>46600</v>
      </c>
      <c r="AI101" s="55">
        <f t="shared" si="85"/>
        <v>0</v>
      </c>
      <c r="AJ101" s="55">
        <f t="shared" si="86"/>
        <v>186.04</v>
      </c>
      <c r="AK101" s="55">
        <f t="shared" si="120"/>
        <v>186.04</v>
      </c>
      <c r="AL101" s="55">
        <f t="shared" si="87"/>
        <v>0</v>
      </c>
      <c r="AM101" s="71">
        <v>0</v>
      </c>
      <c r="AN101" s="55">
        <f t="shared" si="121"/>
        <v>0</v>
      </c>
      <c r="AO101" s="55">
        <f t="shared" si="88"/>
        <v>25803.050000000039</v>
      </c>
      <c r="AP101" s="55">
        <f t="shared" si="89"/>
        <v>2496.39</v>
      </c>
      <c r="AQ101" s="55">
        <f t="shared" si="122"/>
        <v>0</v>
      </c>
      <c r="AS101" s="70">
        <v>46600</v>
      </c>
      <c r="AT101" s="55">
        <f t="shared" si="90"/>
        <v>0</v>
      </c>
      <c r="AU101" s="55">
        <f t="shared" si="91"/>
        <v>204.6</v>
      </c>
      <c r="AV101" s="55">
        <f t="shared" si="123"/>
        <v>204.6</v>
      </c>
      <c r="AW101" s="55">
        <f t="shared" si="92"/>
        <v>0</v>
      </c>
      <c r="AX101" s="71">
        <v>0</v>
      </c>
      <c r="AY101" s="55">
        <f t="shared" si="124"/>
        <v>0</v>
      </c>
      <c r="AZ101" s="55">
        <f t="shared" si="93"/>
        <v>29476.72999999992</v>
      </c>
      <c r="BA101" s="55">
        <f t="shared" si="94"/>
        <v>2100.6699999999996</v>
      </c>
      <c r="BB101" s="55">
        <f t="shared" si="125"/>
        <v>0</v>
      </c>
      <c r="BD101" s="70">
        <v>46600</v>
      </c>
      <c r="BE101" s="55">
        <f t="shared" si="95"/>
        <v>0</v>
      </c>
      <c r="BF101" s="55">
        <f t="shared" si="96"/>
        <v>221.51</v>
      </c>
      <c r="BG101" s="55">
        <f t="shared" si="126"/>
        <v>221.51</v>
      </c>
      <c r="BH101" s="55">
        <f t="shared" si="97"/>
        <v>0</v>
      </c>
      <c r="BI101" s="71">
        <v>0</v>
      </c>
      <c r="BJ101" s="55">
        <f t="shared" si="127"/>
        <v>0</v>
      </c>
      <c r="BK101" s="55">
        <f t="shared" si="98"/>
        <v>34362.189999999915</v>
      </c>
      <c r="BL101" s="55">
        <f t="shared" si="99"/>
        <v>984.92</v>
      </c>
      <c r="BM101" s="55">
        <f t="shared" si="128"/>
        <v>0</v>
      </c>
    </row>
    <row r="102" spans="1:65" x14ac:dyDescent="0.25">
      <c r="A102" s="70">
        <v>46447</v>
      </c>
      <c r="B102" s="55">
        <f t="shared" si="107"/>
        <v>1454.82</v>
      </c>
      <c r="C102" s="55">
        <f t="shared" si="129"/>
        <v>0</v>
      </c>
      <c r="D102" s="55">
        <f t="shared" si="130"/>
        <v>0</v>
      </c>
      <c r="E102" s="55">
        <f t="shared" si="131"/>
        <v>0</v>
      </c>
      <c r="F102" s="55">
        <f t="shared" si="132"/>
        <v>0</v>
      </c>
      <c r="G102" s="55">
        <f t="shared" si="106"/>
        <v>1454.82</v>
      </c>
      <c r="J102">
        <f t="shared" si="133"/>
        <v>8</v>
      </c>
      <c r="K102" s="70">
        <v>46447</v>
      </c>
      <c r="L102" s="55">
        <f t="shared" si="108"/>
        <v>110742.09999999999</v>
      </c>
      <c r="M102" s="55">
        <f t="shared" si="109"/>
        <v>727.41</v>
      </c>
      <c r="N102" s="55">
        <f t="shared" si="110"/>
        <v>346.27</v>
      </c>
      <c r="O102" s="55">
        <f t="shared" si="111"/>
        <v>381.14</v>
      </c>
      <c r="P102" s="71">
        <v>727.41</v>
      </c>
      <c r="Q102" s="55">
        <f t="shared" si="112"/>
        <v>1454.82</v>
      </c>
      <c r="R102" s="55">
        <f t="shared" si="113"/>
        <v>40331.58</v>
      </c>
      <c r="S102" s="55">
        <f t="shared" si="114"/>
        <v>41138.340000000011</v>
      </c>
      <c r="T102" s="55">
        <f t="shared" si="115"/>
        <v>109668.41999999998</v>
      </c>
      <c r="U102" s="57">
        <f t="shared" si="116"/>
        <v>70331.58</v>
      </c>
      <c r="W102" s="70">
        <v>46631</v>
      </c>
      <c r="X102" s="55">
        <f t="shared" si="100"/>
        <v>0</v>
      </c>
      <c r="Y102" s="55">
        <f t="shared" si="101"/>
        <v>544.78</v>
      </c>
      <c r="Z102" s="55">
        <f t="shared" si="117"/>
        <v>544.78</v>
      </c>
      <c r="AA102" s="55">
        <f t="shared" si="102"/>
        <v>0</v>
      </c>
      <c r="AB102" s="71">
        <v>0</v>
      </c>
      <c r="AC102" s="55">
        <f t="shared" si="118"/>
        <v>0</v>
      </c>
      <c r="AD102" s="55">
        <f t="shared" si="103"/>
        <v>67524.709999999977</v>
      </c>
      <c r="AE102" s="55">
        <f t="shared" si="104"/>
        <v>8935.9199999999946</v>
      </c>
      <c r="AF102" s="55">
        <f t="shared" si="119"/>
        <v>0</v>
      </c>
      <c r="AH102" s="70">
        <v>46631</v>
      </c>
      <c r="AI102" s="55">
        <f t="shared" si="85"/>
        <v>0</v>
      </c>
      <c r="AJ102" s="55">
        <f t="shared" si="86"/>
        <v>186.04</v>
      </c>
      <c r="AK102" s="55">
        <f t="shared" si="120"/>
        <v>186.04</v>
      </c>
      <c r="AL102" s="55">
        <f t="shared" si="87"/>
        <v>0</v>
      </c>
      <c r="AM102" s="71">
        <v>0</v>
      </c>
      <c r="AN102" s="55">
        <f t="shared" si="121"/>
        <v>0</v>
      </c>
      <c r="AO102" s="55">
        <f t="shared" si="88"/>
        <v>25989.09000000004</v>
      </c>
      <c r="AP102" s="55">
        <f t="shared" si="89"/>
        <v>2496.39</v>
      </c>
      <c r="AQ102" s="55">
        <f t="shared" si="122"/>
        <v>0</v>
      </c>
      <c r="AS102" s="70">
        <v>46631</v>
      </c>
      <c r="AT102" s="55">
        <f t="shared" si="90"/>
        <v>0</v>
      </c>
      <c r="AU102" s="55">
        <f t="shared" si="91"/>
        <v>204.6</v>
      </c>
      <c r="AV102" s="55">
        <f t="shared" si="123"/>
        <v>204.6</v>
      </c>
      <c r="AW102" s="55">
        <f t="shared" si="92"/>
        <v>0</v>
      </c>
      <c r="AX102" s="71">
        <v>0</v>
      </c>
      <c r="AY102" s="55">
        <f t="shared" si="124"/>
        <v>0</v>
      </c>
      <c r="AZ102" s="55">
        <f t="shared" si="93"/>
        <v>29681.329999999918</v>
      </c>
      <c r="BA102" s="55">
        <f t="shared" si="94"/>
        <v>2100.6699999999996</v>
      </c>
      <c r="BB102" s="55">
        <f t="shared" si="125"/>
        <v>0</v>
      </c>
      <c r="BD102" s="70">
        <v>46631</v>
      </c>
      <c r="BE102" s="55">
        <f t="shared" si="95"/>
        <v>0</v>
      </c>
      <c r="BF102" s="55">
        <f t="shared" si="96"/>
        <v>221.51</v>
      </c>
      <c r="BG102" s="55">
        <f t="shared" si="126"/>
        <v>221.51</v>
      </c>
      <c r="BH102" s="55">
        <f t="shared" si="97"/>
        <v>0</v>
      </c>
      <c r="BI102" s="71">
        <v>0</v>
      </c>
      <c r="BJ102" s="55">
        <f t="shared" si="127"/>
        <v>0</v>
      </c>
      <c r="BK102" s="55">
        <f t="shared" si="98"/>
        <v>34583.699999999917</v>
      </c>
      <c r="BL102" s="55">
        <f t="shared" si="99"/>
        <v>984.92</v>
      </c>
      <c r="BM102" s="55">
        <f t="shared" si="128"/>
        <v>0</v>
      </c>
    </row>
    <row r="103" spans="1:65" x14ac:dyDescent="0.25">
      <c r="A103" s="70">
        <v>46478</v>
      </c>
      <c r="B103" s="55">
        <f t="shared" si="107"/>
        <v>1454.82</v>
      </c>
      <c r="C103" s="55">
        <f t="shared" si="129"/>
        <v>0</v>
      </c>
      <c r="D103" s="55">
        <f t="shared" si="130"/>
        <v>0</v>
      </c>
      <c r="E103" s="55">
        <f t="shared" si="131"/>
        <v>0</v>
      </c>
      <c r="F103" s="55">
        <f t="shared" si="132"/>
        <v>0</v>
      </c>
      <c r="G103" s="55">
        <f t="shared" si="106"/>
        <v>1454.82</v>
      </c>
      <c r="J103">
        <f t="shared" si="133"/>
        <v>8</v>
      </c>
      <c r="K103" s="70">
        <v>46478</v>
      </c>
      <c r="L103" s="55">
        <f t="shared" si="108"/>
        <v>109668.41999999998</v>
      </c>
      <c r="M103" s="55">
        <f t="shared" si="109"/>
        <v>727.41</v>
      </c>
      <c r="N103" s="55">
        <f t="shared" si="110"/>
        <v>349.96999999999997</v>
      </c>
      <c r="O103" s="55">
        <f t="shared" si="111"/>
        <v>377.44</v>
      </c>
      <c r="P103" s="71">
        <v>727.41</v>
      </c>
      <c r="Q103" s="55">
        <f t="shared" si="112"/>
        <v>1454.82</v>
      </c>
      <c r="R103" s="55">
        <f t="shared" si="113"/>
        <v>41408.959999999999</v>
      </c>
      <c r="S103" s="55">
        <f t="shared" si="114"/>
        <v>41515.780000000013</v>
      </c>
      <c r="T103" s="55">
        <f t="shared" si="115"/>
        <v>108591.03999999998</v>
      </c>
      <c r="U103" s="57">
        <f t="shared" si="116"/>
        <v>71408.959999999992</v>
      </c>
      <c r="W103" s="70">
        <v>46661</v>
      </c>
      <c r="X103" s="55">
        <f t="shared" si="100"/>
        <v>0</v>
      </c>
      <c r="Y103" s="55">
        <f t="shared" si="101"/>
        <v>544.78</v>
      </c>
      <c r="Z103" s="55">
        <f t="shared" si="117"/>
        <v>544.78</v>
      </c>
      <c r="AA103" s="55">
        <f t="shared" si="102"/>
        <v>0</v>
      </c>
      <c r="AB103" s="71">
        <v>0</v>
      </c>
      <c r="AC103" s="55">
        <f t="shared" si="118"/>
        <v>0</v>
      </c>
      <c r="AD103" s="55">
        <f t="shared" si="103"/>
        <v>68069.489999999976</v>
      </c>
      <c r="AE103" s="55">
        <f t="shared" si="104"/>
        <v>8935.9199999999946</v>
      </c>
      <c r="AF103" s="55">
        <f t="shared" si="119"/>
        <v>0</v>
      </c>
      <c r="AH103" s="70">
        <v>46661</v>
      </c>
      <c r="AI103" s="55">
        <f t="shared" si="85"/>
        <v>0</v>
      </c>
      <c r="AJ103" s="55">
        <f t="shared" si="86"/>
        <v>186.04</v>
      </c>
      <c r="AK103" s="55">
        <f t="shared" si="120"/>
        <v>186.04</v>
      </c>
      <c r="AL103" s="55">
        <f t="shared" si="87"/>
        <v>0</v>
      </c>
      <c r="AM103" s="71">
        <v>0</v>
      </c>
      <c r="AN103" s="55">
        <f t="shared" si="121"/>
        <v>0</v>
      </c>
      <c r="AO103" s="55">
        <f t="shared" si="88"/>
        <v>26175.130000000041</v>
      </c>
      <c r="AP103" s="55">
        <f t="shared" si="89"/>
        <v>2496.39</v>
      </c>
      <c r="AQ103" s="55">
        <f t="shared" si="122"/>
        <v>0</v>
      </c>
      <c r="AS103" s="70">
        <v>46661</v>
      </c>
      <c r="AT103" s="55">
        <f t="shared" si="90"/>
        <v>0</v>
      </c>
      <c r="AU103" s="55">
        <f t="shared" si="91"/>
        <v>204.6</v>
      </c>
      <c r="AV103" s="55">
        <f t="shared" si="123"/>
        <v>204.6</v>
      </c>
      <c r="AW103" s="55">
        <f t="shared" si="92"/>
        <v>0</v>
      </c>
      <c r="AX103" s="71">
        <v>0</v>
      </c>
      <c r="AY103" s="55">
        <f t="shared" si="124"/>
        <v>0</v>
      </c>
      <c r="AZ103" s="55">
        <f t="shared" si="93"/>
        <v>29885.929999999917</v>
      </c>
      <c r="BA103" s="55">
        <f t="shared" si="94"/>
        <v>2100.6699999999996</v>
      </c>
      <c r="BB103" s="55">
        <f t="shared" si="125"/>
        <v>0</v>
      </c>
      <c r="BD103" s="70">
        <v>46661</v>
      </c>
      <c r="BE103" s="55">
        <f t="shared" si="95"/>
        <v>0</v>
      </c>
      <c r="BF103" s="55">
        <f t="shared" si="96"/>
        <v>221.51</v>
      </c>
      <c r="BG103" s="55">
        <f t="shared" si="126"/>
        <v>221.51</v>
      </c>
      <c r="BH103" s="55">
        <f t="shared" si="97"/>
        <v>0</v>
      </c>
      <c r="BI103" s="71">
        <v>0</v>
      </c>
      <c r="BJ103" s="55">
        <f t="shared" si="127"/>
        <v>0</v>
      </c>
      <c r="BK103" s="55">
        <f t="shared" si="98"/>
        <v>34805.209999999919</v>
      </c>
      <c r="BL103" s="55">
        <f t="shared" si="99"/>
        <v>984.92</v>
      </c>
      <c r="BM103" s="55">
        <f t="shared" si="128"/>
        <v>0</v>
      </c>
    </row>
    <row r="104" spans="1:65" x14ac:dyDescent="0.25">
      <c r="A104" s="70">
        <v>46508</v>
      </c>
      <c r="B104" s="55">
        <f t="shared" si="107"/>
        <v>1454.82</v>
      </c>
      <c r="C104" s="55">
        <f t="shared" si="129"/>
        <v>0</v>
      </c>
      <c r="D104" s="55">
        <f t="shared" si="130"/>
        <v>0</v>
      </c>
      <c r="E104" s="55">
        <f t="shared" si="131"/>
        <v>0</v>
      </c>
      <c r="F104" s="55">
        <f t="shared" si="132"/>
        <v>0</v>
      </c>
      <c r="G104" s="55">
        <f t="shared" si="106"/>
        <v>1454.82</v>
      </c>
      <c r="J104">
        <f t="shared" si="133"/>
        <v>8</v>
      </c>
      <c r="K104" s="70">
        <v>46508</v>
      </c>
      <c r="L104" s="55">
        <f t="shared" si="108"/>
        <v>108591.03999999998</v>
      </c>
      <c r="M104" s="55">
        <f t="shared" si="109"/>
        <v>727.41</v>
      </c>
      <c r="N104" s="55">
        <f t="shared" si="110"/>
        <v>353.67999999999995</v>
      </c>
      <c r="O104" s="55">
        <f t="shared" si="111"/>
        <v>373.73</v>
      </c>
      <c r="P104" s="71">
        <v>727.41</v>
      </c>
      <c r="Q104" s="55">
        <f t="shared" si="112"/>
        <v>1454.82</v>
      </c>
      <c r="R104" s="55">
        <f t="shared" si="113"/>
        <v>42490.049999999996</v>
      </c>
      <c r="S104" s="55">
        <f t="shared" si="114"/>
        <v>41889.510000000017</v>
      </c>
      <c r="T104" s="55">
        <f t="shared" si="115"/>
        <v>107509.94999999998</v>
      </c>
      <c r="U104" s="57">
        <f t="shared" si="116"/>
        <v>72490.049999999988</v>
      </c>
      <c r="W104" s="70">
        <v>46692</v>
      </c>
      <c r="X104" s="55">
        <f t="shared" si="100"/>
        <v>0</v>
      </c>
      <c r="Y104" s="55">
        <f t="shared" si="101"/>
        <v>544.78</v>
      </c>
      <c r="Z104" s="55">
        <f t="shared" si="117"/>
        <v>544.78</v>
      </c>
      <c r="AA104" s="55">
        <f t="shared" si="102"/>
        <v>0</v>
      </c>
      <c r="AB104" s="71">
        <v>0</v>
      </c>
      <c r="AC104" s="55">
        <f t="shared" si="118"/>
        <v>0</v>
      </c>
      <c r="AD104" s="55">
        <f t="shared" si="103"/>
        <v>68614.269999999975</v>
      </c>
      <c r="AE104" s="55">
        <f t="shared" si="104"/>
        <v>8935.9199999999946</v>
      </c>
      <c r="AF104" s="55">
        <f t="shared" si="119"/>
        <v>0</v>
      </c>
      <c r="AH104" s="70">
        <v>46692</v>
      </c>
      <c r="AI104" s="55">
        <f t="shared" si="85"/>
        <v>0</v>
      </c>
      <c r="AJ104" s="55">
        <f t="shared" si="86"/>
        <v>186.04</v>
      </c>
      <c r="AK104" s="55">
        <f t="shared" si="120"/>
        <v>186.04</v>
      </c>
      <c r="AL104" s="55">
        <f t="shared" si="87"/>
        <v>0</v>
      </c>
      <c r="AM104" s="71">
        <v>0</v>
      </c>
      <c r="AN104" s="55">
        <f t="shared" si="121"/>
        <v>0</v>
      </c>
      <c r="AO104" s="55">
        <f t="shared" si="88"/>
        <v>26361.170000000042</v>
      </c>
      <c r="AP104" s="55">
        <f t="shared" si="89"/>
        <v>2496.39</v>
      </c>
      <c r="AQ104" s="55">
        <f t="shared" si="122"/>
        <v>0</v>
      </c>
      <c r="AS104" s="70">
        <v>46692</v>
      </c>
      <c r="AT104" s="55">
        <f t="shared" si="90"/>
        <v>0</v>
      </c>
      <c r="AU104" s="55">
        <f t="shared" si="91"/>
        <v>204.6</v>
      </c>
      <c r="AV104" s="55">
        <f t="shared" si="123"/>
        <v>204.6</v>
      </c>
      <c r="AW104" s="55">
        <f t="shared" si="92"/>
        <v>0</v>
      </c>
      <c r="AX104" s="71">
        <v>0</v>
      </c>
      <c r="AY104" s="55">
        <f t="shared" si="124"/>
        <v>0</v>
      </c>
      <c r="AZ104" s="55">
        <f t="shared" si="93"/>
        <v>30090.529999999915</v>
      </c>
      <c r="BA104" s="55">
        <f t="shared" si="94"/>
        <v>2100.6699999999996</v>
      </c>
      <c r="BB104" s="55">
        <f t="shared" si="125"/>
        <v>0</v>
      </c>
      <c r="BD104" s="70">
        <v>46692</v>
      </c>
      <c r="BE104" s="55">
        <f t="shared" si="95"/>
        <v>0</v>
      </c>
      <c r="BF104" s="55">
        <f t="shared" si="96"/>
        <v>221.51</v>
      </c>
      <c r="BG104" s="55">
        <f t="shared" si="126"/>
        <v>221.51</v>
      </c>
      <c r="BH104" s="55">
        <f t="shared" si="97"/>
        <v>0</v>
      </c>
      <c r="BI104" s="71">
        <v>0</v>
      </c>
      <c r="BJ104" s="55">
        <f t="shared" si="127"/>
        <v>0</v>
      </c>
      <c r="BK104" s="55">
        <f t="shared" si="98"/>
        <v>35026.719999999921</v>
      </c>
      <c r="BL104" s="55">
        <f t="shared" si="99"/>
        <v>984.92</v>
      </c>
      <c r="BM104" s="55">
        <f t="shared" si="128"/>
        <v>0</v>
      </c>
    </row>
    <row r="105" spans="1:65" x14ac:dyDescent="0.25">
      <c r="A105" s="70">
        <v>46539</v>
      </c>
      <c r="B105" s="55">
        <f t="shared" si="107"/>
        <v>1454.82</v>
      </c>
      <c r="C105" s="55">
        <f t="shared" si="129"/>
        <v>0</v>
      </c>
      <c r="D105" s="55">
        <f t="shared" si="130"/>
        <v>0</v>
      </c>
      <c r="E105" s="55">
        <f t="shared" si="131"/>
        <v>0</v>
      </c>
      <c r="F105" s="55">
        <f t="shared" si="132"/>
        <v>0</v>
      </c>
      <c r="G105" s="55">
        <f t="shared" si="106"/>
        <v>1454.82</v>
      </c>
      <c r="J105">
        <f t="shared" si="133"/>
        <v>8</v>
      </c>
      <c r="K105" s="70">
        <v>46539</v>
      </c>
      <c r="L105" s="55">
        <f t="shared" si="108"/>
        <v>107509.94999999998</v>
      </c>
      <c r="M105" s="55">
        <f t="shared" si="109"/>
        <v>727.41</v>
      </c>
      <c r="N105" s="55">
        <f t="shared" si="110"/>
        <v>357.4</v>
      </c>
      <c r="O105" s="55">
        <f t="shared" si="111"/>
        <v>370.01</v>
      </c>
      <c r="P105" s="71">
        <v>727.41</v>
      </c>
      <c r="Q105" s="55">
        <f t="shared" si="112"/>
        <v>1454.82</v>
      </c>
      <c r="R105" s="55">
        <f t="shared" si="113"/>
        <v>43574.859999999993</v>
      </c>
      <c r="S105" s="55">
        <f t="shared" si="114"/>
        <v>42259.520000000019</v>
      </c>
      <c r="T105" s="55">
        <f t="shared" si="115"/>
        <v>106425.13999999998</v>
      </c>
      <c r="U105" s="57">
        <f t="shared" si="116"/>
        <v>73574.859999999986</v>
      </c>
      <c r="W105" s="70">
        <v>46722</v>
      </c>
      <c r="X105" s="55">
        <f t="shared" si="100"/>
        <v>0</v>
      </c>
      <c r="Y105" s="55">
        <f t="shared" si="101"/>
        <v>544.78</v>
      </c>
      <c r="Z105" s="55">
        <f t="shared" si="117"/>
        <v>544.78</v>
      </c>
      <c r="AA105" s="55">
        <f t="shared" si="102"/>
        <v>0</v>
      </c>
      <c r="AB105" s="71">
        <v>0</v>
      </c>
      <c r="AC105" s="55">
        <f t="shared" si="118"/>
        <v>0</v>
      </c>
      <c r="AD105" s="55">
        <f t="shared" si="103"/>
        <v>69159.049999999974</v>
      </c>
      <c r="AE105" s="55">
        <f t="shared" si="104"/>
        <v>8935.9199999999946</v>
      </c>
      <c r="AF105" s="55">
        <f t="shared" si="119"/>
        <v>0</v>
      </c>
      <c r="AH105" s="70">
        <v>46722</v>
      </c>
      <c r="AI105" s="55">
        <f t="shared" si="85"/>
        <v>0</v>
      </c>
      <c r="AJ105" s="55">
        <f t="shared" si="86"/>
        <v>186.04</v>
      </c>
      <c r="AK105" s="55">
        <f t="shared" si="120"/>
        <v>186.04</v>
      </c>
      <c r="AL105" s="55">
        <f t="shared" si="87"/>
        <v>0</v>
      </c>
      <c r="AM105" s="71">
        <v>0</v>
      </c>
      <c r="AN105" s="55">
        <f t="shared" si="121"/>
        <v>0</v>
      </c>
      <c r="AO105" s="55">
        <f t="shared" si="88"/>
        <v>26547.210000000043</v>
      </c>
      <c r="AP105" s="55">
        <f t="shared" si="89"/>
        <v>2496.39</v>
      </c>
      <c r="AQ105" s="55">
        <f t="shared" si="122"/>
        <v>0</v>
      </c>
      <c r="AS105" s="70">
        <v>46722</v>
      </c>
      <c r="AT105" s="55">
        <f t="shared" si="90"/>
        <v>0</v>
      </c>
      <c r="AU105" s="55">
        <f t="shared" si="91"/>
        <v>204.6</v>
      </c>
      <c r="AV105" s="55">
        <f t="shared" si="123"/>
        <v>204.6</v>
      </c>
      <c r="AW105" s="55">
        <f t="shared" si="92"/>
        <v>0</v>
      </c>
      <c r="AX105" s="71">
        <v>0</v>
      </c>
      <c r="AY105" s="55">
        <f t="shared" si="124"/>
        <v>0</v>
      </c>
      <c r="AZ105" s="55">
        <f t="shared" si="93"/>
        <v>30295.129999999914</v>
      </c>
      <c r="BA105" s="55">
        <f t="shared" si="94"/>
        <v>2100.6699999999996</v>
      </c>
      <c r="BB105" s="55">
        <f t="shared" si="125"/>
        <v>0</v>
      </c>
      <c r="BD105" s="70">
        <v>46722</v>
      </c>
      <c r="BE105" s="55">
        <f t="shared" si="95"/>
        <v>0</v>
      </c>
      <c r="BF105" s="55">
        <f t="shared" si="96"/>
        <v>221.51</v>
      </c>
      <c r="BG105" s="55">
        <f t="shared" si="126"/>
        <v>221.51</v>
      </c>
      <c r="BH105" s="55">
        <f t="shared" si="97"/>
        <v>0</v>
      </c>
      <c r="BI105" s="71">
        <v>0</v>
      </c>
      <c r="BJ105" s="55">
        <f t="shared" si="127"/>
        <v>0</v>
      </c>
      <c r="BK105" s="55">
        <f t="shared" si="98"/>
        <v>35248.229999999923</v>
      </c>
      <c r="BL105" s="55">
        <f t="shared" si="99"/>
        <v>984.92</v>
      </c>
      <c r="BM105" s="55">
        <f t="shared" si="128"/>
        <v>0</v>
      </c>
    </row>
    <row r="106" spans="1:65" x14ac:dyDescent="0.25">
      <c r="A106" s="70">
        <v>46569</v>
      </c>
      <c r="B106" s="55">
        <f t="shared" si="107"/>
        <v>1454.82</v>
      </c>
      <c r="C106" s="55">
        <f t="shared" si="129"/>
        <v>0</v>
      </c>
      <c r="D106" s="55">
        <f t="shared" si="130"/>
        <v>0</v>
      </c>
      <c r="E106" s="55">
        <f t="shared" si="131"/>
        <v>0</v>
      </c>
      <c r="F106" s="55">
        <f t="shared" si="132"/>
        <v>0</v>
      </c>
      <c r="G106" s="55">
        <f t="shared" si="106"/>
        <v>1454.82</v>
      </c>
      <c r="J106">
        <f t="shared" si="133"/>
        <v>8</v>
      </c>
      <c r="K106" s="70">
        <v>46569</v>
      </c>
      <c r="L106" s="55">
        <f t="shared" si="108"/>
        <v>106425.13999999998</v>
      </c>
      <c r="M106" s="55">
        <f t="shared" si="109"/>
        <v>727.41</v>
      </c>
      <c r="N106" s="55">
        <f t="shared" si="110"/>
        <v>361.13</v>
      </c>
      <c r="O106" s="55">
        <f t="shared" si="111"/>
        <v>366.28</v>
      </c>
      <c r="P106" s="71">
        <v>727.41</v>
      </c>
      <c r="Q106" s="55">
        <f t="shared" si="112"/>
        <v>1454.82</v>
      </c>
      <c r="R106" s="55">
        <f t="shared" si="113"/>
        <v>44663.399999999994</v>
      </c>
      <c r="S106" s="55">
        <f t="shared" si="114"/>
        <v>42625.800000000017</v>
      </c>
      <c r="T106" s="55">
        <f t="shared" si="115"/>
        <v>105336.59999999998</v>
      </c>
      <c r="U106" s="57">
        <f t="shared" si="116"/>
        <v>74663.399999999994</v>
      </c>
      <c r="W106" s="70">
        <v>46753</v>
      </c>
      <c r="X106" s="55">
        <f t="shared" si="100"/>
        <v>0</v>
      </c>
      <c r="Y106" s="55">
        <f t="shared" si="101"/>
        <v>544.78</v>
      </c>
      <c r="Z106" s="55">
        <f t="shared" si="117"/>
        <v>544.78</v>
      </c>
      <c r="AA106" s="55">
        <f t="shared" si="102"/>
        <v>0</v>
      </c>
      <c r="AB106" s="71">
        <v>0</v>
      </c>
      <c r="AC106" s="55">
        <f t="shared" si="118"/>
        <v>0</v>
      </c>
      <c r="AD106" s="55">
        <f t="shared" si="103"/>
        <v>69703.829999999973</v>
      </c>
      <c r="AE106" s="55">
        <f t="shared" si="104"/>
        <v>8935.9199999999946</v>
      </c>
      <c r="AF106" s="55">
        <f t="shared" si="119"/>
        <v>0</v>
      </c>
      <c r="AH106" s="70">
        <v>46753</v>
      </c>
      <c r="AI106" s="55">
        <f t="shared" si="85"/>
        <v>0</v>
      </c>
      <c r="AJ106" s="55">
        <f t="shared" si="86"/>
        <v>186.04</v>
      </c>
      <c r="AK106" s="55">
        <f t="shared" si="120"/>
        <v>186.04</v>
      </c>
      <c r="AL106" s="55">
        <f t="shared" si="87"/>
        <v>0</v>
      </c>
      <c r="AM106" s="71">
        <v>0</v>
      </c>
      <c r="AN106" s="55">
        <f t="shared" si="121"/>
        <v>0</v>
      </c>
      <c r="AO106" s="55">
        <f t="shared" si="88"/>
        <v>26733.250000000044</v>
      </c>
      <c r="AP106" s="55">
        <f t="shared" si="89"/>
        <v>2496.39</v>
      </c>
      <c r="AQ106" s="55">
        <f t="shared" si="122"/>
        <v>0</v>
      </c>
      <c r="AS106" s="70">
        <v>46753</v>
      </c>
      <c r="AT106" s="55">
        <f t="shared" si="90"/>
        <v>0</v>
      </c>
      <c r="AU106" s="55">
        <f t="shared" si="91"/>
        <v>204.6</v>
      </c>
      <c r="AV106" s="55">
        <f t="shared" si="123"/>
        <v>204.6</v>
      </c>
      <c r="AW106" s="55">
        <f t="shared" si="92"/>
        <v>0</v>
      </c>
      <c r="AX106" s="71">
        <v>0</v>
      </c>
      <c r="AY106" s="55">
        <f t="shared" si="124"/>
        <v>0</v>
      </c>
      <c r="AZ106" s="55">
        <f t="shared" si="93"/>
        <v>30499.729999999912</v>
      </c>
      <c r="BA106" s="55">
        <f t="shared" si="94"/>
        <v>2100.6699999999996</v>
      </c>
      <c r="BB106" s="55">
        <f t="shared" si="125"/>
        <v>0</v>
      </c>
      <c r="BD106" s="70">
        <v>46753</v>
      </c>
      <c r="BE106" s="55">
        <f t="shared" si="95"/>
        <v>0</v>
      </c>
      <c r="BF106" s="55">
        <f t="shared" si="96"/>
        <v>221.51</v>
      </c>
      <c r="BG106" s="55">
        <f t="shared" si="126"/>
        <v>221.51</v>
      </c>
      <c r="BH106" s="55">
        <f t="shared" si="97"/>
        <v>0</v>
      </c>
      <c r="BI106" s="71">
        <v>0</v>
      </c>
      <c r="BJ106" s="55">
        <f t="shared" si="127"/>
        <v>0</v>
      </c>
      <c r="BK106" s="55">
        <f t="shared" si="98"/>
        <v>35469.739999999925</v>
      </c>
      <c r="BL106" s="55">
        <f t="shared" si="99"/>
        <v>984.92</v>
      </c>
      <c r="BM106" s="55">
        <f t="shared" si="128"/>
        <v>0</v>
      </c>
    </row>
    <row r="107" spans="1:65" x14ac:dyDescent="0.25">
      <c r="A107" s="70">
        <v>46600</v>
      </c>
      <c r="B107" s="55">
        <f t="shared" si="107"/>
        <v>1454.82</v>
      </c>
      <c r="C107" s="55">
        <f t="shared" si="129"/>
        <v>0</v>
      </c>
      <c r="D107" s="55">
        <f t="shared" si="130"/>
        <v>0</v>
      </c>
      <c r="E107" s="55">
        <f t="shared" si="131"/>
        <v>0</v>
      </c>
      <c r="F107" s="55">
        <f t="shared" si="132"/>
        <v>0</v>
      </c>
      <c r="G107" s="55">
        <f t="shared" si="106"/>
        <v>1454.82</v>
      </c>
      <c r="J107">
        <f t="shared" si="133"/>
        <v>8</v>
      </c>
      <c r="K107" s="70">
        <v>46600</v>
      </c>
      <c r="L107" s="55">
        <f t="shared" si="108"/>
        <v>105336.59999999998</v>
      </c>
      <c r="M107" s="55">
        <f t="shared" si="109"/>
        <v>727.41</v>
      </c>
      <c r="N107" s="55">
        <f t="shared" si="110"/>
        <v>364.88</v>
      </c>
      <c r="O107" s="55">
        <f t="shared" si="111"/>
        <v>362.53</v>
      </c>
      <c r="P107" s="71">
        <v>727.41</v>
      </c>
      <c r="Q107" s="55">
        <f t="shared" si="112"/>
        <v>1454.82</v>
      </c>
      <c r="R107" s="55">
        <f t="shared" si="113"/>
        <v>45755.689999999995</v>
      </c>
      <c r="S107" s="55">
        <f t="shared" si="114"/>
        <v>42988.330000000016</v>
      </c>
      <c r="T107" s="55">
        <f t="shared" si="115"/>
        <v>104244.30999999997</v>
      </c>
      <c r="U107" s="57">
        <f t="shared" si="116"/>
        <v>75755.69</v>
      </c>
      <c r="W107" s="70">
        <v>46784</v>
      </c>
      <c r="X107" s="55">
        <f t="shared" si="100"/>
        <v>0</v>
      </c>
      <c r="Y107" s="55">
        <f t="shared" si="101"/>
        <v>544.78</v>
      </c>
      <c r="Z107" s="55">
        <f t="shared" si="117"/>
        <v>544.78</v>
      </c>
      <c r="AA107" s="55">
        <f t="shared" si="102"/>
        <v>0</v>
      </c>
      <c r="AB107" s="71">
        <v>0</v>
      </c>
      <c r="AC107" s="55">
        <f t="shared" si="118"/>
        <v>0</v>
      </c>
      <c r="AD107" s="55">
        <f t="shared" si="103"/>
        <v>70248.609999999971</v>
      </c>
      <c r="AE107" s="55">
        <f t="shared" si="104"/>
        <v>8935.9199999999946</v>
      </c>
      <c r="AF107" s="55">
        <f t="shared" si="119"/>
        <v>0</v>
      </c>
      <c r="AH107" s="70">
        <v>46784</v>
      </c>
      <c r="AI107" s="55">
        <f t="shared" si="85"/>
        <v>0</v>
      </c>
      <c r="AJ107" s="55">
        <f t="shared" si="86"/>
        <v>186.04</v>
      </c>
      <c r="AK107" s="55">
        <f t="shared" si="120"/>
        <v>186.04</v>
      </c>
      <c r="AL107" s="55">
        <f t="shared" si="87"/>
        <v>0</v>
      </c>
      <c r="AM107" s="71">
        <v>0</v>
      </c>
      <c r="AN107" s="55">
        <f t="shared" si="121"/>
        <v>0</v>
      </c>
      <c r="AO107" s="55">
        <f t="shared" si="88"/>
        <v>26919.290000000045</v>
      </c>
      <c r="AP107" s="55">
        <f t="shared" si="89"/>
        <v>2496.39</v>
      </c>
      <c r="AQ107" s="55">
        <f t="shared" si="122"/>
        <v>0</v>
      </c>
      <c r="AS107" s="70">
        <v>46784</v>
      </c>
      <c r="AT107" s="55">
        <f t="shared" si="90"/>
        <v>0</v>
      </c>
      <c r="AU107" s="55">
        <f t="shared" si="91"/>
        <v>204.6</v>
      </c>
      <c r="AV107" s="55">
        <f t="shared" si="123"/>
        <v>204.6</v>
      </c>
      <c r="AW107" s="55">
        <f t="shared" si="92"/>
        <v>0</v>
      </c>
      <c r="AX107" s="71">
        <v>0</v>
      </c>
      <c r="AY107" s="55">
        <f t="shared" si="124"/>
        <v>0</v>
      </c>
      <c r="AZ107" s="55">
        <f t="shared" si="93"/>
        <v>30704.329999999911</v>
      </c>
      <c r="BA107" s="55">
        <f t="shared" si="94"/>
        <v>2100.6699999999996</v>
      </c>
      <c r="BB107" s="55">
        <f t="shared" si="125"/>
        <v>0</v>
      </c>
      <c r="BD107" s="70">
        <v>46784</v>
      </c>
      <c r="BE107" s="55">
        <f t="shared" si="95"/>
        <v>0</v>
      </c>
      <c r="BF107" s="55">
        <f t="shared" si="96"/>
        <v>221.51</v>
      </c>
      <c r="BG107" s="55">
        <f t="shared" si="126"/>
        <v>221.51</v>
      </c>
      <c r="BH107" s="55">
        <f t="shared" si="97"/>
        <v>0</v>
      </c>
      <c r="BI107" s="71">
        <v>0</v>
      </c>
      <c r="BJ107" s="55">
        <f t="shared" si="127"/>
        <v>0</v>
      </c>
      <c r="BK107" s="55">
        <f t="shared" si="98"/>
        <v>35691.249999999927</v>
      </c>
      <c r="BL107" s="55">
        <f t="shared" si="99"/>
        <v>984.92</v>
      </c>
      <c r="BM107" s="55">
        <f t="shared" si="128"/>
        <v>0</v>
      </c>
    </row>
    <row r="108" spans="1:65" x14ac:dyDescent="0.25">
      <c r="A108" s="70">
        <v>46631</v>
      </c>
      <c r="B108" s="55">
        <f t="shared" si="107"/>
        <v>1454.82</v>
      </c>
      <c r="C108" s="55">
        <f t="shared" si="129"/>
        <v>0</v>
      </c>
      <c r="D108" s="55">
        <f t="shared" si="130"/>
        <v>0</v>
      </c>
      <c r="E108" s="55">
        <f t="shared" si="131"/>
        <v>0</v>
      </c>
      <c r="F108" s="55">
        <f t="shared" si="132"/>
        <v>0</v>
      </c>
      <c r="G108" s="55">
        <f t="shared" si="106"/>
        <v>1454.82</v>
      </c>
      <c r="J108">
        <f t="shared" si="133"/>
        <v>8</v>
      </c>
      <c r="K108" s="70">
        <v>46631</v>
      </c>
      <c r="L108" s="55">
        <f t="shared" si="108"/>
        <v>104244.30999999997</v>
      </c>
      <c r="M108" s="55">
        <f t="shared" si="109"/>
        <v>727.41</v>
      </c>
      <c r="N108" s="55">
        <f t="shared" si="110"/>
        <v>368.64</v>
      </c>
      <c r="O108" s="55">
        <f t="shared" si="111"/>
        <v>358.77</v>
      </c>
      <c r="P108" s="71">
        <v>727.41</v>
      </c>
      <c r="Q108" s="55">
        <f t="shared" si="112"/>
        <v>1454.82</v>
      </c>
      <c r="R108" s="55">
        <f t="shared" si="113"/>
        <v>46851.74</v>
      </c>
      <c r="S108" s="55">
        <f t="shared" si="114"/>
        <v>43347.100000000013</v>
      </c>
      <c r="T108" s="55">
        <f t="shared" si="115"/>
        <v>103148.25999999997</v>
      </c>
      <c r="U108" s="57">
        <f t="shared" si="116"/>
        <v>76851.739999999991</v>
      </c>
      <c r="W108" s="70">
        <v>46813</v>
      </c>
      <c r="X108" s="55">
        <f t="shared" si="100"/>
        <v>0</v>
      </c>
      <c r="Y108" s="55">
        <f t="shared" si="101"/>
        <v>544.78</v>
      </c>
      <c r="Z108" s="55">
        <f t="shared" si="117"/>
        <v>544.78</v>
      </c>
      <c r="AA108" s="55">
        <f t="shared" si="102"/>
        <v>0</v>
      </c>
      <c r="AB108" s="71">
        <v>0</v>
      </c>
      <c r="AC108" s="55">
        <f t="shared" si="118"/>
        <v>0</v>
      </c>
      <c r="AD108" s="55">
        <f t="shared" si="103"/>
        <v>70793.38999999997</v>
      </c>
      <c r="AE108" s="55">
        <f t="shared" si="104"/>
        <v>8935.9199999999946</v>
      </c>
      <c r="AF108" s="55">
        <f t="shared" si="119"/>
        <v>0</v>
      </c>
      <c r="AH108" s="70">
        <v>46813</v>
      </c>
      <c r="AI108" s="55">
        <f t="shared" si="85"/>
        <v>0</v>
      </c>
      <c r="AJ108" s="55">
        <f t="shared" si="86"/>
        <v>186.04</v>
      </c>
      <c r="AK108" s="55">
        <f t="shared" si="120"/>
        <v>186.04</v>
      </c>
      <c r="AL108" s="55">
        <f t="shared" si="87"/>
        <v>0</v>
      </c>
      <c r="AM108" s="71">
        <v>0</v>
      </c>
      <c r="AN108" s="55">
        <f t="shared" si="121"/>
        <v>0</v>
      </c>
      <c r="AO108" s="55">
        <f t="shared" si="88"/>
        <v>27105.330000000045</v>
      </c>
      <c r="AP108" s="55">
        <f t="shared" si="89"/>
        <v>2496.39</v>
      </c>
      <c r="AQ108" s="55">
        <f t="shared" si="122"/>
        <v>0</v>
      </c>
      <c r="AS108" s="70">
        <v>46813</v>
      </c>
      <c r="AT108" s="55">
        <f t="shared" si="90"/>
        <v>0</v>
      </c>
      <c r="AU108" s="55">
        <f t="shared" si="91"/>
        <v>204.6</v>
      </c>
      <c r="AV108" s="55">
        <f t="shared" si="123"/>
        <v>204.6</v>
      </c>
      <c r="AW108" s="55">
        <f t="shared" si="92"/>
        <v>0</v>
      </c>
      <c r="AX108" s="71">
        <v>0</v>
      </c>
      <c r="AY108" s="55">
        <f t="shared" si="124"/>
        <v>0</v>
      </c>
      <c r="AZ108" s="55">
        <f t="shared" si="93"/>
        <v>30908.929999999909</v>
      </c>
      <c r="BA108" s="55">
        <f t="shared" si="94"/>
        <v>2100.6699999999996</v>
      </c>
      <c r="BB108" s="55">
        <f t="shared" si="125"/>
        <v>0</v>
      </c>
      <c r="BD108" s="70">
        <v>46813</v>
      </c>
      <c r="BE108" s="55">
        <f t="shared" si="95"/>
        <v>0</v>
      </c>
      <c r="BF108" s="55">
        <f t="shared" si="96"/>
        <v>221.51</v>
      </c>
      <c r="BG108" s="55">
        <f t="shared" si="126"/>
        <v>221.51</v>
      </c>
      <c r="BH108" s="55">
        <f t="shared" si="97"/>
        <v>0</v>
      </c>
      <c r="BI108" s="71">
        <v>0</v>
      </c>
      <c r="BJ108" s="55">
        <f t="shared" si="127"/>
        <v>0</v>
      </c>
      <c r="BK108" s="55">
        <f t="shared" si="98"/>
        <v>35912.759999999929</v>
      </c>
      <c r="BL108" s="55">
        <f t="shared" si="99"/>
        <v>984.92</v>
      </c>
      <c r="BM108" s="55">
        <f t="shared" si="128"/>
        <v>0</v>
      </c>
    </row>
    <row r="109" spans="1:65" x14ac:dyDescent="0.25">
      <c r="A109" s="70">
        <v>46661</v>
      </c>
      <c r="B109" s="55">
        <f t="shared" si="107"/>
        <v>1454.82</v>
      </c>
      <c r="C109" s="55">
        <f t="shared" si="129"/>
        <v>0</v>
      </c>
      <c r="D109" s="55">
        <f t="shared" si="130"/>
        <v>0</v>
      </c>
      <c r="E109" s="55">
        <f t="shared" si="131"/>
        <v>0</v>
      </c>
      <c r="F109" s="55">
        <f t="shared" si="132"/>
        <v>0</v>
      </c>
      <c r="G109" s="55">
        <f t="shared" si="106"/>
        <v>1454.82</v>
      </c>
      <c r="J109">
        <f t="shared" si="133"/>
        <v>8</v>
      </c>
      <c r="K109" s="70">
        <v>46661</v>
      </c>
      <c r="L109" s="55">
        <f t="shared" si="108"/>
        <v>103148.25999999997</v>
      </c>
      <c r="M109" s="55">
        <f t="shared" si="109"/>
        <v>727.41</v>
      </c>
      <c r="N109" s="55">
        <f t="shared" si="110"/>
        <v>372.40999999999997</v>
      </c>
      <c r="O109" s="55">
        <f t="shared" si="111"/>
        <v>355</v>
      </c>
      <c r="P109" s="71">
        <v>727.41</v>
      </c>
      <c r="Q109" s="55">
        <f t="shared" si="112"/>
        <v>1454.82</v>
      </c>
      <c r="R109" s="55">
        <f t="shared" si="113"/>
        <v>47951.56</v>
      </c>
      <c r="S109" s="55">
        <f t="shared" si="114"/>
        <v>43702.100000000013</v>
      </c>
      <c r="T109" s="55">
        <f t="shared" si="115"/>
        <v>102048.43999999996</v>
      </c>
      <c r="U109" s="57">
        <f t="shared" si="116"/>
        <v>77951.56</v>
      </c>
      <c r="W109" s="70">
        <v>46844</v>
      </c>
      <c r="X109" s="55">
        <f t="shared" si="100"/>
        <v>0</v>
      </c>
      <c r="Y109" s="55">
        <f t="shared" si="101"/>
        <v>544.78</v>
      </c>
      <c r="Z109" s="55">
        <f t="shared" si="117"/>
        <v>544.78</v>
      </c>
      <c r="AA109" s="55">
        <f t="shared" si="102"/>
        <v>0</v>
      </c>
      <c r="AB109" s="71">
        <v>0</v>
      </c>
      <c r="AC109" s="55">
        <f t="shared" si="118"/>
        <v>0</v>
      </c>
      <c r="AD109" s="55">
        <f t="shared" si="103"/>
        <v>71338.169999999969</v>
      </c>
      <c r="AE109" s="55">
        <f t="shared" si="104"/>
        <v>8935.9199999999946</v>
      </c>
      <c r="AF109" s="55">
        <f t="shared" si="119"/>
        <v>0</v>
      </c>
      <c r="AH109" s="70">
        <v>46844</v>
      </c>
      <c r="AI109" s="55">
        <f t="shared" si="85"/>
        <v>0</v>
      </c>
      <c r="AJ109" s="55">
        <f t="shared" si="86"/>
        <v>186.04</v>
      </c>
      <c r="AK109" s="55">
        <f t="shared" si="120"/>
        <v>186.04</v>
      </c>
      <c r="AL109" s="55">
        <f t="shared" si="87"/>
        <v>0</v>
      </c>
      <c r="AM109" s="71">
        <v>0</v>
      </c>
      <c r="AN109" s="55">
        <f t="shared" si="121"/>
        <v>0</v>
      </c>
      <c r="AO109" s="55">
        <f t="shared" si="88"/>
        <v>27291.370000000046</v>
      </c>
      <c r="AP109" s="55">
        <f t="shared" si="89"/>
        <v>2496.39</v>
      </c>
      <c r="AQ109" s="55">
        <f t="shared" si="122"/>
        <v>0</v>
      </c>
      <c r="AS109" s="70">
        <v>46844</v>
      </c>
      <c r="AT109" s="55">
        <f t="shared" si="90"/>
        <v>0</v>
      </c>
      <c r="AU109" s="55">
        <f t="shared" si="91"/>
        <v>204.6</v>
      </c>
      <c r="AV109" s="55">
        <f t="shared" si="123"/>
        <v>204.6</v>
      </c>
      <c r="AW109" s="55">
        <f t="shared" si="92"/>
        <v>0</v>
      </c>
      <c r="AX109" s="71">
        <v>0</v>
      </c>
      <c r="AY109" s="55">
        <f t="shared" si="124"/>
        <v>0</v>
      </c>
      <c r="AZ109" s="55">
        <f t="shared" si="93"/>
        <v>31113.529999999908</v>
      </c>
      <c r="BA109" s="55">
        <f t="shared" si="94"/>
        <v>2100.6699999999996</v>
      </c>
      <c r="BB109" s="55">
        <f t="shared" si="125"/>
        <v>0</v>
      </c>
      <c r="BD109" s="70">
        <v>46844</v>
      </c>
      <c r="BE109" s="55">
        <f t="shared" si="95"/>
        <v>0</v>
      </c>
      <c r="BF109" s="55">
        <f t="shared" si="96"/>
        <v>221.51</v>
      </c>
      <c r="BG109" s="55">
        <f t="shared" si="126"/>
        <v>221.51</v>
      </c>
      <c r="BH109" s="55">
        <f t="shared" si="97"/>
        <v>0</v>
      </c>
      <c r="BI109" s="71">
        <v>0</v>
      </c>
      <c r="BJ109" s="55">
        <f t="shared" si="127"/>
        <v>0</v>
      </c>
      <c r="BK109" s="55">
        <f t="shared" si="98"/>
        <v>36134.269999999931</v>
      </c>
      <c r="BL109" s="55">
        <f t="shared" si="99"/>
        <v>984.92</v>
      </c>
      <c r="BM109" s="55">
        <f t="shared" si="128"/>
        <v>0</v>
      </c>
    </row>
    <row r="110" spans="1:65" x14ac:dyDescent="0.25">
      <c r="A110" s="70">
        <v>46692</v>
      </c>
      <c r="B110" s="55">
        <f t="shared" si="107"/>
        <v>1454.82</v>
      </c>
      <c r="C110" s="55">
        <f t="shared" si="129"/>
        <v>0</v>
      </c>
      <c r="D110" s="55">
        <f t="shared" si="130"/>
        <v>0</v>
      </c>
      <c r="E110" s="55">
        <f t="shared" si="131"/>
        <v>0</v>
      </c>
      <c r="F110" s="55">
        <f t="shared" si="132"/>
        <v>0</v>
      </c>
      <c r="G110" s="55">
        <f t="shared" si="106"/>
        <v>1454.82</v>
      </c>
      <c r="J110">
        <f t="shared" si="133"/>
        <v>8</v>
      </c>
      <c r="K110" s="70">
        <v>46692</v>
      </c>
      <c r="L110" s="55">
        <f t="shared" si="108"/>
        <v>102048.43999999996</v>
      </c>
      <c r="M110" s="55">
        <f t="shared" si="109"/>
        <v>727.41</v>
      </c>
      <c r="N110" s="55">
        <f t="shared" si="110"/>
        <v>376.18999999999994</v>
      </c>
      <c r="O110" s="55">
        <f t="shared" si="111"/>
        <v>351.22</v>
      </c>
      <c r="P110" s="71">
        <v>727.41</v>
      </c>
      <c r="Q110" s="55">
        <f t="shared" si="112"/>
        <v>1454.82</v>
      </c>
      <c r="R110" s="55">
        <f t="shared" si="113"/>
        <v>49055.159999999996</v>
      </c>
      <c r="S110" s="55">
        <f t="shared" si="114"/>
        <v>44053.320000000014</v>
      </c>
      <c r="T110" s="55">
        <f t="shared" si="115"/>
        <v>100944.83999999995</v>
      </c>
      <c r="U110" s="57">
        <f t="shared" si="116"/>
        <v>79055.16</v>
      </c>
      <c r="W110" s="70">
        <v>46874</v>
      </c>
      <c r="X110" s="55">
        <f t="shared" si="100"/>
        <v>0</v>
      </c>
      <c r="Y110" s="55">
        <f t="shared" si="101"/>
        <v>544.78</v>
      </c>
      <c r="Z110" s="55">
        <f t="shared" si="117"/>
        <v>544.78</v>
      </c>
      <c r="AA110" s="55">
        <f t="shared" si="102"/>
        <v>0</v>
      </c>
      <c r="AB110" s="71">
        <v>0</v>
      </c>
      <c r="AC110" s="55">
        <f t="shared" si="118"/>
        <v>0</v>
      </c>
      <c r="AD110" s="55">
        <f t="shared" si="103"/>
        <v>71882.949999999968</v>
      </c>
      <c r="AE110" s="55">
        <f t="shared" si="104"/>
        <v>8935.9199999999946</v>
      </c>
      <c r="AF110" s="55">
        <f t="shared" si="119"/>
        <v>0</v>
      </c>
      <c r="AH110" s="70">
        <v>46874</v>
      </c>
      <c r="AI110" s="55">
        <f t="shared" si="85"/>
        <v>0</v>
      </c>
      <c r="AJ110" s="55">
        <f t="shared" si="86"/>
        <v>186.04</v>
      </c>
      <c r="AK110" s="55">
        <f t="shared" si="120"/>
        <v>186.04</v>
      </c>
      <c r="AL110" s="55">
        <f t="shared" si="87"/>
        <v>0</v>
      </c>
      <c r="AM110" s="71">
        <v>0</v>
      </c>
      <c r="AN110" s="55">
        <f t="shared" si="121"/>
        <v>0</v>
      </c>
      <c r="AO110" s="55">
        <f t="shared" si="88"/>
        <v>27477.410000000047</v>
      </c>
      <c r="AP110" s="55">
        <f t="shared" si="89"/>
        <v>2496.39</v>
      </c>
      <c r="AQ110" s="55">
        <f t="shared" si="122"/>
        <v>0</v>
      </c>
      <c r="AS110" s="70">
        <v>46874</v>
      </c>
      <c r="AT110" s="55">
        <f t="shared" si="90"/>
        <v>0</v>
      </c>
      <c r="AU110" s="55">
        <f t="shared" si="91"/>
        <v>204.6</v>
      </c>
      <c r="AV110" s="55">
        <f t="shared" si="123"/>
        <v>204.6</v>
      </c>
      <c r="AW110" s="55">
        <f t="shared" si="92"/>
        <v>0</v>
      </c>
      <c r="AX110" s="71">
        <v>0</v>
      </c>
      <c r="AY110" s="55">
        <f t="shared" si="124"/>
        <v>0</v>
      </c>
      <c r="AZ110" s="55">
        <f t="shared" si="93"/>
        <v>31318.129999999906</v>
      </c>
      <c r="BA110" s="55">
        <f t="shared" si="94"/>
        <v>2100.6699999999996</v>
      </c>
      <c r="BB110" s="55">
        <f t="shared" si="125"/>
        <v>0</v>
      </c>
      <c r="BD110" s="70">
        <v>46874</v>
      </c>
      <c r="BE110" s="55">
        <f t="shared" si="95"/>
        <v>0</v>
      </c>
      <c r="BF110" s="55">
        <f t="shared" si="96"/>
        <v>221.51</v>
      </c>
      <c r="BG110" s="55">
        <f t="shared" si="126"/>
        <v>221.51</v>
      </c>
      <c r="BH110" s="55">
        <f t="shared" si="97"/>
        <v>0</v>
      </c>
      <c r="BI110" s="71">
        <v>0</v>
      </c>
      <c r="BJ110" s="55">
        <f t="shared" si="127"/>
        <v>0</v>
      </c>
      <c r="BK110" s="55">
        <f t="shared" si="98"/>
        <v>36355.779999999933</v>
      </c>
      <c r="BL110" s="55">
        <f t="shared" si="99"/>
        <v>984.92</v>
      </c>
      <c r="BM110" s="55">
        <f t="shared" si="128"/>
        <v>0</v>
      </c>
    </row>
    <row r="111" spans="1:65" x14ac:dyDescent="0.25">
      <c r="A111" s="70">
        <v>46722</v>
      </c>
      <c r="B111" s="55">
        <f t="shared" si="107"/>
        <v>1454.82</v>
      </c>
      <c r="C111" s="55">
        <f t="shared" si="129"/>
        <v>0</v>
      </c>
      <c r="D111" s="55">
        <f t="shared" si="130"/>
        <v>0</v>
      </c>
      <c r="E111" s="55">
        <f t="shared" si="131"/>
        <v>0</v>
      </c>
      <c r="F111" s="55">
        <f t="shared" si="132"/>
        <v>0</v>
      </c>
      <c r="G111" s="55">
        <f t="shared" si="106"/>
        <v>1454.82</v>
      </c>
      <c r="J111">
        <f t="shared" si="133"/>
        <v>8</v>
      </c>
      <c r="K111" s="70">
        <v>46722</v>
      </c>
      <c r="L111" s="55">
        <f t="shared" si="108"/>
        <v>100944.83999999995</v>
      </c>
      <c r="M111" s="55">
        <f t="shared" si="109"/>
        <v>727.41</v>
      </c>
      <c r="N111" s="55">
        <f t="shared" si="110"/>
        <v>379.98999999999995</v>
      </c>
      <c r="O111" s="55">
        <f t="shared" si="111"/>
        <v>347.42</v>
      </c>
      <c r="P111" s="71">
        <v>727.41</v>
      </c>
      <c r="Q111" s="55">
        <f t="shared" si="112"/>
        <v>1454.82</v>
      </c>
      <c r="R111" s="55">
        <f t="shared" si="113"/>
        <v>50162.559999999998</v>
      </c>
      <c r="S111" s="55">
        <f t="shared" si="114"/>
        <v>44400.740000000013</v>
      </c>
      <c r="T111" s="55">
        <f t="shared" si="115"/>
        <v>99837.439999999944</v>
      </c>
      <c r="U111" s="57">
        <f t="shared" si="116"/>
        <v>80162.559999999998</v>
      </c>
      <c r="W111" s="70">
        <v>46905</v>
      </c>
      <c r="X111" s="55">
        <f t="shared" si="100"/>
        <v>0</v>
      </c>
      <c r="Y111" s="55">
        <f t="shared" si="101"/>
        <v>544.78</v>
      </c>
      <c r="Z111" s="55">
        <f t="shared" si="117"/>
        <v>544.78</v>
      </c>
      <c r="AA111" s="55">
        <f t="shared" si="102"/>
        <v>0</v>
      </c>
      <c r="AB111" s="71">
        <v>0</v>
      </c>
      <c r="AC111" s="55">
        <f t="shared" si="118"/>
        <v>0</v>
      </c>
      <c r="AD111" s="55">
        <f t="shared" si="103"/>
        <v>72427.729999999967</v>
      </c>
      <c r="AE111" s="55">
        <f t="shared" si="104"/>
        <v>8935.9199999999946</v>
      </c>
      <c r="AF111" s="55">
        <f t="shared" si="119"/>
        <v>0</v>
      </c>
      <c r="AH111" s="70">
        <v>46905</v>
      </c>
      <c r="AI111" s="55">
        <f t="shared" si="85"/>
        <v>0</v>
      </c>
      <c r="AJ111" s="55">
        <f t="shared" si="86"/>
        <v>186.04</v>
      </c>
      <c r="AK111" s="55">
        <f t="shared" si="120"/>
        <v>186.04</v>
      </c>
      <c r="AL111" s="55">
        <f t="shared" si="87"/>
        <v>0</v>
      </c>
      <c r="AM111" s="71">
        <v>0</v>
      </c>
      <c r="AN111" s="55">
        <f t="shared" si="121"/>
        <v>0</v>
      </c>
      <c r="AO111" s="55">
        <f t="shared" si="88"/>
        <v>27663.450000000048</v>
      </c>
      <c r="AP111" s="55">
        <f t="shared" si="89"/>
        <v>2496.39</v>
      </c>
      <c r="AQ111" s="55">
        <f t="shared" si="122"/>
        <v>0</v>
      </c>
      <c r="AS111" s="70">
        <v>46905</v>
      </c>
      <c r="AT111" s="55">
        <f t="shared" si="90"/>
        <v>0</v>
      </c>
      <c r="AU111" s="55">
        <f t="shared" si="91"/>
        <v>204.6</v>
      </c>
      <c r="AV111" s="55">
        <f t="shared" si="123"/>
        <v>204.6</v>
      </c>
      <c r="AW111" s="55">
        <f t="shared" si="92"/>
        <v>0</v>
      </c>
      <c r="AX111" s="71">
        <v>0</v>
      </c>
      <c r="AY111" s="55">
        <f t="shared" si="124"/>
        <v>0</v>
      </c>
      <c r="AZ111" s="55">
        <f t="shared" si="93"/>
        <v>31522.729999999905</v>
      </c>
      <c r="BA111" s="55">
        <f t="shared" si="94"/>
        <v>2100.6699999999996</v>
      </c>
      <c r="BB111" s="55">
        <f t="shared" si="125"/>
        <v>0</v>
      </c>
      <c r="BD111" s="70">
        <v>46905</v>
      </c>
      <c r="BE111" s="55">
        <f t="shared" si="95"/>
        <v>0</v>
      </c>
      <c r="BF111" s="55">
        <f t="shared" si="96"/>
        <v>221.51</v>
      </c>
      <c r="BG111" s="55">
        <f t="shared" si="126"/>
        <v>221.51</v>
      </c>
      <c r="BH111" s="55">
        <f t="shared" si="97"/>
        <v>0</v>
      </c>
      <c r="BI111" s="71">
        <v>0</v>
      </c>
      <c r="BJ111" s="55">
        <f t="shared" si="127"/>
        <v>0</v>
      </c>
      <c r="BK111" s="55">
        <f t="shared" si="98"/>
        <v>36577.289999999935</v>
      </c>
      <c r="BL111" s="55">
        <f t="shared" si="99"/>
        <v>984.92</v>
      </c>
      <c r="BM111" s="55">
        <f t="shared" si="128"/>
        <v>0</v>
      </c>
    </row>
    <row r="112" spans="1:65" x14ac:dyDescent="0.25">
      <c r="A112" s="70">
        <v>46753</v>
      </c>
      <c r="B112" s="55">
        <f t="shared" si="107"/>
        <v>1454.82</v>
      </c>
      <c r="C112" s="55">
        <f t="shared" si="129"/>
        <v>0</v>
      </c>
      <c r="D112" s="55">
        <f t="shared" si="130"/>
        <v>0</v>
      </c>
      <c r="E112" s="55">
        <f t="shared" si="131"/>
        <v>0</v>
      </c>
      <c r="F112" s="55">
        <f t="shared" si="132"/>
        <v>0</v>
      </c>
      <c r="G112" s="55">
        <f t="shared" ref="G112:G143" si="134">SUM(B112:F112)</f>
        <v>1454.82</v>
      </c>
      <c r="J112">
        <f t="shared" si="133"/>
        <v>9</v>
      </c>
      <c r="K112" s="70">
        <v>46753</v>
      </c>
      <c r="L112" s="55">
        <f t="shared" si="108"/>
        <v>99837.439999999944</v>
      </c>
      <c r="M112" s="55">
        <f t="shared" si="109"/>
        <v>727.41</v>
      </c>
      <c r="N112" s="55">
        <f t="shared" si="110"/>
        <v>383.79999999999995</v>
      </c>
      <c r="O112" s="55">
        <f t="shared" si="111"/>
        <v>343.61</v>
      </c>
      <c r="P112" s="71">
        <v>727.41</v>
      </c>
      <c r="Q112" s="55">
        <f t="shared" si="112"/>
        <v>1454.82</v>
      </c>
      <c r="R112" s="55">
        <f t="shared" si="113"/>
        <v>51273.77</v>
      </c>
      <c r="S112" s="55">
        <f t="shared" si="114"/>
        <v>44744.350000000013</v>
      </c>
      <c r="T112" s="55">
        <f t="shared" si="115"/>
        <v>98726.229999999938</v>
      </c>
      <c r="U112" s="57">
        <f t="shared" si="116"/>
        <v>81273.76999999999</v>
      </c>
      <c r="W112" s="70">
        <v>46935</v>
      </c>
      <c r="X112" s="55">
        <f t="shared" si="100"/>
        <v>0</v>
      </c>
      <c r="Y112" s="55">
        <f t="shared" si="101"/>
        <v>544.78</v>
      </c>
      <c r="Z112" s="55">
        <f t="shared" si="117"/>
        <v>544.78</v>
      </c>
      <c r="AA112" s="55">
        <f t="shared" si="102"/>
        <v>0</v>
      </c>
      <c r="AB112" s="71">
        <v>0</v>
      </c>
      <c r="AC112" s="55">
        <f t="shared" si="118"/>
        <v>0</v>
      </c>
      <c r="AD112" s="55">
        <f t="shared" si="103"/>
        <v>72972.509999999966</v>
      </c>
      <c r="AE112" s="55">
        <f t="shared" si="104"/>
        <v>8935.9199999999946</v>
      </c>
      <c r="AF112" s="55">
        <f t="shared" si="119"/>
        <v>0</v>
      </c>
      <c r="AH112" s="70">
        <v>46935</v>
      </c>
      <c r="AI112" s="55">
        <f t="shared" si="85"/>
        <v>0</v>
      </c>
      <c r="AJ112" s="55">
        <f t="shared" si="86"/>
        <v>186.04</v>
      </c>
      <c r="AK112" s="55">
        <f t="shared" si="120"/>
        <v>186.04</v>
      </c>
      <c r="AL112" s="55">
        <f t="shared" si="87"/>
        <v>0</v>
      </c>
      <c r="AM112" s="71">
        <v>0</v>
      </c>
      <c r="AN112" s="55">
        <f t="shared" si="121"/>
        <v>0</v>
      </c>
      <c r="AO112" s="55">
        <f t="shared" si="88"/>
        <v>27849.490000000049</v>
      </c>
      <c r="AP112" s="55">
        <f t="shared" si="89"/>
        <v>2496.39</v>
      </c>
      <c r="AQ112" s="55">
        <f t="shared" si="122"/>
        <v>0</v>
      </c>
      <c r="AS112" s="70">
        <v>46935</v>
      </c>
      <c r="AT112" s="55">
        <f t="shared" si="90"/>
        <v>0</v>
      </c>
      <c r="AU112" s="55">
        <f t="shared" si="91"/>
        <v>204.6</v>
      </c>
      <c r="AV112" s="55">
        <f t="shared" si="123"/>
        <v>204.6</v>
      </c>
      <c r="AW112" s="55">
        <f t="shared" si="92"/>
        <v>0</v>
      </c>
      <c r="AX112" s="71">
        <v>0</v>
      </c>
      <c r="AY112" s="55">
        <f t="shared" si="124"/>
        <v>0</v>
      </c>
      <c r="AZ112" s="55">
        <f t="shared" si="93"/>
        <v>31727.329999999904</v>
      </c>
      <c r="BA112" s="55">
        <f t="shared" si="94"/>
        <v>2100.6699999999996</v>
      </c>
      <c r="BB112" s="55">
        <f t="shared" si="125"/>
        <v>0</v>
      </c>
      <c r="BD112" s="70">
        <v>46935</v>
      </c>
      <c r="BE112" s="55">
        <f t="shared" si="95"/>
        <v>0</v>
      </c>
      <c r="BF112" s="55">
        <f t="shared" si="96"/>
        <v>221.51</v>
      </c>
      <c r="BG112" s="55">
        <f t="shared" si="126"/>
        <v>221.51</v>
      </c>
      <c r="BH112" s="55">
        <f t="shared" si="97"/>
        <v>0</v>
      </c>
      <c r="BI112" s="71">
        <v>0</v>
      </c>
      <c r="BJ112" s="55">
        <f t="shared" si="127"/>
        <v>0</v>
      </c>
      <c r="BK112" s="55">
        <f t="shared" si="98"/>
        <v>36798.799999999937</v>
      </c>
      <c r="BL112" s="55">
        <f t="shared" si="99"/>
        <v>984.92</v>
      </c>
      <c r="BM112" s="55">
        <f t="shared" si="128"/>
        <v>0</v>
      </c>
    </row>
    <row r="113" spans="1:65" x14ac:dyDescent="0.25">
      <c r="A113" s="70">
        <v>46784</v>
      </c>
      <c r="B113" s="55">
        <f t="shared" si="107"/>
        <v>1454.82</v>
      </c>
      <c r="C113" s="55">
        <f t="shared" si="129"/>
        <v>0</v>
      </c>
      <c r="D113" s="55">
        <f t="shared" si="130"/>
        <v>0</v>
      </c>
      <c r="E113" s="55">
        <f t="shared" si="131"/>
        <v>0</v>
      </c>
      <c r="F113" s="55">
        <f t="shared" si="132"/>
        <v>0</v>
      </c>
      <c r="G113" s="55">
        <f t="shared" si="134"/>
        <v>1454.82</v>
      </c>
      <c r="J113">
        <f t="shared" si="133"/>
        <v>9</v>
      </c>
      <c r="K113" s="70">
        <v>46784</v>
      </c>
      <c r="L113" s="55">
        <f t="shared" si="108"/>
        <v>98726.229999999938</v>
      </c>
      <c r="M113" s="55">
        <f t="shared" si="109"/>
        <v>727.41</v>
      </c>
      <c r="N113" s="55">
        <f t="shared" si="110"/>
        <v>387.63</v>
      </c>
      <c r="O113" s="55">
        <f t="shared" si="111"/>
        <v>339.78</v>
      </c>
      <c r="P113" s="71">
        <v>727.41</v>
      </c>
      <c r="Q113" s="55">
        <f t="shared" si="112"/>
        <v>1454.82</v>
      </c>
      <c r="R113" s="55">
        <f t="shared" si="113"/>
        <v>52388.81</v>
      </c>
      <c r="S113" s="55">
        <f t="shared" si="114"/>
        <v>45084.130000000012</v>
      </c>
      <c r="T113" s="55">
        <f t="shared" si="115"/>
        <v>97611.18999999993</v>
      </c>
      <c r="U113" s="57">
        <f t="shared" si="116"/>
        <v>82388.81</v>
      </c>
      <c r="W113" s="70">
        <v>46966</v>
      </c>
      <c r="X113" s="55">
        <f t="shared" si="100"/>
        <v>0</v>
      </c>
      <c r="Y113" s="55">
        <f t="shared" si="101"/>
        <v>544.78</v>
      </c>
      <c r="Z113" s="55">
        <f t="shared" si="117"/>
        <v>544.78</v>
      </c>
      <c r="AA113" s="55">
        <f t="shared" si="102"/>
        <v>0</v>
      </c>
      <c r="AB113" s="71">
        <v>0</v>
      </c>
      <c r="AC113" s="55">
        <f t="shared" si="118"/>
        <v>0</v>
      </c>
      <c r="AD113" s="55">
        <f t="shared" si="103"/>
        <v>73517.289999999964</v>
      </c>
      <c r="AE113" s="55">
        <f t="shared" si="104"/>
        <v>8935.9199999999946</v>
      </c>
      <c r="AF113" s="55">
        <f t="shared" si="119"/>
        <v>0</v>
      </c>
      <c r="AH113" s="70">
        <v>46966</v>
      </c>
      <c r="AI113" s="55">
        <f t="shared" si="85"/>
        <v>0</v>
      </c>
      <c r="AJ113" s="55">
        <f t="shared" si="86"/>
        <v>186.04</v>
      </c>
      <c r="AK113" s="55">
        <f t="shared" si="120"/>
        <v>186.04</v>
      </c>
      <c r="AL113" s="55">
        <f t="shared" si="87"/>
        <v>0</v>
      </c>
      <c r="AM113" s="71">
        <v>0</v>
      </c>
      <c r="AN113" s="55">
        <f t="shared" si="121"/>
        <v>0</v>
      </c>
      <c r="AO113" s="55">
        <f t="shared" si="88"/>
        <v>28035.53000000005</v>
      </c>
      <c r="AP113" s="55">
        <f t="shared" si="89"/>
        <v>2496.39</v>
      </c>
      <c r="AQ113" s="55">
        <f t="shared" si="122"/>
        <v>0</v>
      </c>
      <c r="AS113" s="70">
        <v>46966</v>
      </c>
      <c r="AT113" s="55">
        <f t="shared" si="90"/>
        <v>0</v>
      </c>
      <c r="AU113" s="55">
        <f t="shared" si="91"/>
        <v>204.6</v>
      </c>
      <c r="AV113" s="55">
        <f t="shared" si="123"/>
        <v>204.6</v>
      </c>
      <c r="AW113" s="55">
        <f t="shared" si="92"/>
        <v>0</v>
      </c>
      <c r="AX113" s="71">
        <v>0</v>
      </c>
      <c r="AY113" s="55">
        <f t="shared" si="124"/>
        <v>0</v>
      </c>
      <c r="AZ113" s="55">
        <f t="shared" si="93"/>
        <v>31931.929999999902</v>
      </c>
      <c r="BA113" s="55">
        <f t="shared" si="94"/>
        <v>2100.6699999999996</v>
      </c>
      <c r="BB113" s="55">
        <f t="shared" si="125"/>
        <v>0</v>
      </c>
      <c r="BD113" s="70">
        <v>46966</v>
      </c>
      <c r="BE113" s="55">
        <f t="shared" si="95"/>
        <v>0</v>
      </c>
      <c r="BF113" s="55">
        <f t="shared" si="96"/>
        <v>221.51</v>
      </c>
      <c r="BG113" s="55">
        <f t="shared" si="126"/>
        <v>221.51</v>
      </c>
      <c r="BH113" s="55">
        <f t="shared" si="97"/>
        <v>0</v>
      </c>
      <c r="BI113" s="71">
        <v>0</v>
      </c>
      <c r="BJ113" s="55">
        <f t="shared" si="127"/>
        <v>0</v>
      </c>
      <c r="BK113" s="55">
        <f t="shared" si="98"/>
        <v>37020.309999999939</v>
      </c>
      <c r="BL113" s="55">
        <f t="shared" si="99"/>
        <v>984.92</v>
      </c>
      <c r="BM113" s="55">
        <f t="shared" si="128"/>
        <v>0</v>
      </c>
    </row>
    <row r="114" spans="1:65" x14ac:dyDescent="0.25">
      <c r="A114" s="70">
        <v>46813</v>
      </c>
      <c r="B114" s="55">
        <f t="shared" si="107"/>
        <v>1454.82</v>
      </c>
      <c r="C114" s="55">
        <f t="shared" si="129"/>
        <v>0</v>
      </c>
      <c r="D114" s="55">
        <f t="shared" si="130"/>
        <v>0</v>
      </c>
      <c r="E114" s="55">
        <f t="shared" si="131"/>
        <v>0</v>
      </c>
      <c r="F114" s="55">
        <f t="shared" si="132"/>
        <v>0</v>
      </c>
      <c r="G114" s="55">
        <f t="shared" si="134"/>
        <v>1454.82</v>
      </c>
      <c r="J114">
        <f t="shared" si="133"/>
        <v>9</v>
      </c>
      <c r="K114" s="70">
        <v>46813</v>
      </c>
      <c r="L114" s="55">
        <f t="shared" si="108"/>
        <v>97611.18999999993</v>
      </c>
      <c r="M114" s="55">
        <f t="shared" si="109"/>
        <v>727.41</v>
      </c>
      <c r="N114" s="55">
        <f t="shared" si="110"/>
        <v>391.46</v>
      </c>
      <c r="O114" s="55">
        <f t="shared" si="111"/>
        <v>335.95</v>
      </c>
      <c r="P114" s="71">
        <v>727.41</v>
      </c>
      <c r="Q114" s="55">
        <f t="shared" si="112"/>
        <v>1454.82</v>
      </c>
      <c r="R114" s="55">
        <f t="shared" si="113"/>
        <v>53507.68</v>
      </c>
      <c r="S114" s="55">
        <f t="shared" si="114"/>
        <v>45420.080000000009</v>
      </c>
      <c r="T114" s="55">
        <f t="shared" si="115"/>
        <v>96492.31999999992</v>
      </c>
      <c r="U114" s="57">
        <f t="shared" si="116"/>
        <v>83507.679999999993</v>
      </c>
      <c r="W114" s="70">
        <v>46997</v>
      </c>
      <c r="X114" s="55">
        <f t="shared" si="100"/>
        <v>0</v>
      </c>
      <c r="Y114" s="55">
        <f t="shared" si="101"/>
        <v>544.78</v>
      </c>
      <c r="Z114" s="55">
        <f t="shared" si="117"/>
        <v>544.78</v>
      </c>
      <c r="AA114" s="55">
        <f t="shared" si="102"/>
        <v>0</v>
      </c>
      <c r="AB114" s="71">
        <v>0</v>
      </c>
      <c r="AC114" s="55">
        <f t="shared" si="118"/>
        <v>0</v>
      </c>
      <c r="AD114" s="55">
        <f t="shared" si="103"/>
        <v>74062.069999999963</v>
      </c>
      <c r="AE114" s="55">
        <f t="shared" si="104"/>
        <v>8935.9199999999946</v>
      </c>
      <c r="AF114" s="55">
        <f t="shared" si="119"/>
        <v>0</v>
      </c>
      <c r="AH114" s="70">
        <v>46997</v>
      </c>
      <c r="AI114" s="55">
        <f t="shared" si="85"/>
        <v>0</v>
      </c>
      <c r="AJ114" s="55">
        <f t="shared" si="86"/>
        <v>186.04</v>
      </c>
      <c r="AK114" s="55">
        <f t="shared" si="120"/>
        <v>186.04</v>
      </c>
      <c r="AL114" s="55">
        <f t="shared" si="87"/>
        <v>0</v>
      </c>
      <c r="AM114" s="71">
        <v>0</v>
      </c>
      <c r="AN114" s="55">
        <f t="shared" si="121"/>
        <v>0</v>
      </c>
      <c r="AO114" s="55">
        <f t="shared" si="88"/>
        <v>28221.570000000051</v>
      </c>
      <c r="AP114" s="55">
        <f t="shared" si="89"/>
        <v>2496.39</v>
      </c>
      <c r="AQ114" s="55">
        <f t="shared" si="122"/>
        <v>0</v>
      </c>
      <c r="AS114" s="70">
        <v>46997</v>
      </c>
      <c r="AT114" s="55">
        <f t="shared" si="90"/>
        <v>0</v>
      </c>
      <c r="AU114" s="55">
        <f t="shared" si="91"/>
        <v>204.6</v>
      </c>
      <c r="AV114" s="55">
        <f t="shared" si="123"/>
        <v>204.6</v>
      </c>
      <c r="AW114" s="55">
        <f t="shared" si="92"/>
        <v>0</v>
      </c>
      <c r="AX114" s="71">
        <v>0</v>
      </c>
      <c r="AY114" s="55">
        <f t="shared" si="124"/>
        <v>0</v>
      </c>
      <c r="AZ114" s="55">
        <f t="shared" si="93"/>
        <v>32136.529999999901</v>
      </c>
      <c r="BA114" s="55">
        <f t="shared" si="94"/>
        <v>2100.6699999999996</v>
      </c>
      <c r="BB114" s="55">
        <f t="shared" si="125"/>
        <v>0</v>
      </c>
      <c r="BD114" s="70">
        <v>46997</v>
      </c>
      <c r="BE114" s="55">
        <f t="shared" si="95"/>
        <v>0</v>
      </c>
      <c r="BF114" s="55">
        <f t="shared" si="96"/>
        <v>221.51</v>
      </c>
      <c r="BG114" s="55">
        <f t="shared" si="126"/>
        <v>221.51</v>
      </c>
      <c r="BH114" s="55">
        <f t="shared" si="97"/>
        <v>0</v>
      </c>
      <c r="BI114" s="71">
        <v>0</v>
      </c>
      <c r="BJ114" s="55">
        <f t="shared" si="127"/>
        <v>0</v>
      </c>
      <c r="BK114" s="55">
        <f t="shared" si="98"/>
        <v>37241.819999999942</v>
      </c>
      <c r="BL114" s="55">
        <f t="shared" si="99"/>
        <v>984.92</v>
      </c>
      <c r="BM114" s="55">
        <f t="shared" si="128"/>
        <v>0</v>
      </c>
    </row>
    <row r="115" spans="1:65" x14ac:dyDescent="0.25">
      <c r="A115" s="70">
        <v>46844</v>
      </c>
      <c r="B115" s="55">
        <f t="shared" si="107"/>
        <v>1454.82</v>
      </c>
      <c r="C115" s="55">
        <f t="shared" si="129"/>
        <v>0</v>
      </c>
      <c r="D115" s="55">
        <f t="shared" si="130"/>
        <v>0</v>
      </c>
      <c r="E115" s="55">
        <f t="shared" si="131"/>
        <v>0</v>
      </c>
      <c r="F115" s="55">
        <f t="shared" si="132"/>
        <v>0</v>
      </c>
      <c r="G115" s="55">
        <f t="shared" si="134"/>
        <v>1454.82</v>
      </c>
      <c r="J115">
        <f t="shared" si="133"/>
        <v>9</v>
      </c>
      <c r="K115" s="70">
        <v>46844</v>
      </c>
      <c r="L115" s="55">
        <f t="shared" si="108"/>
        <v>96492.31999999992</v>
      </c>
      <c r="M115" s="55">
        <f t="shared" si="109"/>
        <v>727.41</v>
      </c>
      <c r="N115" s="55">
        <f t="shared" si="110"/>
        <v>395.32</v>
      </c>
      <c r="O115" s="55">
        <f t="shared" si="111"/>
        <v>332.09</v>
      </c>
      <c r="P115" s="71">
        <v>727.41</v>
      </c>
      <c r="Q115" s="55">
        <f t="shared" si="112"/>
        <v>1454.82</v>
      </c>
      <c r="R115" s="55">
        <f t="shared" si="113"/>
        <v>54630.41</v>
      </c>
      <c r="S115" s="55">
        <f t="shared" si="114"/>
        <v>45752.170000000006</v>
      </c>
      <c r="T115" s="55">
        <f t="shared" si="115"/>
        <v>95369.589999999909</v>
      </c>
      <c r="U115" s="57">
        <f t="shared" si="116"/>
        <v>84630.41</v>
      </c>
      <c r="W115" s="70">
        <v>47027</v>
      </c>
      <c r="X115" s="55">
        <f t="shared" si="100"/>
        <v>0</v>
      </c>
      <c r="Y115" s="55">
        <f t="shared" si="101"/>
        <v>544.78</v>
      </c>
      <c r="Z115" s="55">
        <f t="shared" si="117"/>
        <v>544.78</v>
      </c>
      <c r="AA115" s="55">
        <f t="shared" si="102"/>
        <v>0</v>
      </c>
      <c r="AB115" s="71">
        <v>0</v>
      </c>
      <c r="AC115" s="55">
        <f t="shared" si="118"/>
        <v>0</v>
      </c>
      <c r="AD115" s="55">
        <f t="shared" si="103"/>
        <v>74606.849999999962</v>
      </c>
      <c r="AE115" s="55">
        <f t="shared" si="104"/>
        <v>8935.9199999999946</v>
      </c>
      <c r="AF115" s="55">
        <f t="shared" si="119"/>
        <v>0</v>
      </c>
      <c r="AH115" s="70">
        <v>47027</v>
      </c>
      <c r="AI115" s="55">
        <f t="shared" si="85"/>
        <v>0</v>
      </c>
      <c r="AJ115" s="55">
        <f t="shared" si="86"/>
        <v>186.04</v>
      </c>
      <c r="AK115" s="55">
        <f t="shared" si="120"/>
        <v>186.04</v>
      </c>
      <c r="AL115" s="55">
        <f t="shared" si="87"/>
        <v>0</v>
      </c>
      <c r="AM115" s="71">
        <v>0</v>
      </c>
      <c r="AN115" s="55">
        <f t="shared" si="121"/>
        <v>0</v>
      </c>
      <c r="AO115" s="55">
        <f t="shared" si="88"/>
        <v>28407.610000000052</v>
      </c>
      <c r="AP115" s="55">
        <f t="shared" si="89"/>
        <v>2496.39</v>
      </c>
      <c r="AQ115" s="55">
        <f t="shared" si="122"/>
        <v>0</v>
      </c>
      <c r="AS115" s="70">
        <v>47027</v>
      </c>
      <c r="AT115" s="55">
        <f t="shared" si="90"/>
        <v>0</v>
      </c>
      <c r="AU115" s="55">
        <f t="shared" si="91"/>
        <v>204.6</v>
      </c>
      <c r="AV115" s="55">
        <f t="shared" si="123"/>
        <v>204.6</v>
      </c>
      <c r="AW115" s="55">
        <f t="shared" si="92"/>
        <v>0</v>
      </c>
      <c r="AX115" s="71">
        <v>0</v>
      </c>
      <c r="AY115" s="55">
        <f t="shared" si="124"/>
        <v>0</v>
      </c>
      <c r="AZ115" s="55">
        <f t="shared" si="93"/>
        <v>32341.129999999899</v>
      </c>
      <c r="BA115" s="55">
        <f t="shared" si="94"/>
        <v>2100.6699999999996</v>
      </c>
      <c r="BB115" s="55">
        <f t="shared" si="125"/>
        <v>0</v>
      </c>
      <c r="BD115" s="70">
        <v>47027</v>
      </c>
      <c r="BE115" s="55">
        <f t="shared" si="95"/>
        <v>0</v>
      </c>
      <c r="BF115" s="55">
        <f t="shared" si="96"/>
        <v>221.51</v>
      </c>
      <c r="BG115" s="55">
        <f t="shared" si="126"/>
        <v>221.51</v>
      </c>
      <c r="BH115" s="55">
        <f t="shared" si="97"/>
        <v>0</v>
      </c>
      <c r="BI115" s="71">
        <v>0</v>
      </c>
      <c r="BJ115" s="55">
        <f t="shared" si="127"/>
        <v>0</v>
      </c>
      <c r="BK115" s="55">
        <f t="shared" si="98"/>
        <v>37463.329999999944</v>
      </c>
      <c r="BL115" s="55">
        <f t="shared" si="99"/>
        <v>984.92</v>
      </c>
      <c r="BM115" s="55">
        <f t="shared" si="128"/>
        <v>0</v>
      </c>
    </row>
    <row r="116" spans="1:65" x14ac:dyDescent="0.25">
      <c r="A116" s="70">
        <v>46874</v>
      </c>
      <c r="B116" s="55">
        <f t="shared" si="107"/>
        <v>1454.82</v>
      </c>
      <c r="C116" s="55">
        <f t="shared" si="129"/>
        <v>0</v>
      </c>
      <c r="D116" s="55">
        <f t="shared" si="130"/>
        <v>0</v>
      </c>
      <c r="E116" s="55">
        <f t="shared" si="131"/>
        <v>0</v>
      </c>
      <c r="F116" s="55">
        <f t="shared" si="132"/>
        <v>0</v>
      </c>
      <c r="G116" s="55">
        <f t="shared" si="134"/>
        <v>1454.82</v>
      </c>
      <c r="J116">
        <f t="shared" si="133"/>
        <v>9</v>
      </c>
      <c r="K116" s="70">
        <v>46874</v>
      </c>
      <c r="L116" s="55">
        <f t="shared" si="108"/>
        <v>95369.589999999909</v>
      </c>
      <c r="M116" s="55">
        <f t="shared" si="109"/>
        <v>727.41</v>
      </c>
      <c r="N116" s="55">
        <f t="shared" si="110"/>
        <v>399.17999999999995</v>
      </c>
      <c r="O116" s="55">
        <f t="shared" si="111"/>
        <v>328.23</v>
      </c>
      <c r="P116" s="71">
        <v>727.41</v>
      </c>
      <c r="Q116" s="55">
        <f t="shared" si="112"/>
        <v>1454.82</v>
      </c>
      <c r="R116" s="55">
        <f t="shared" si="113"/>
        <v>55757</v>
      </c>
      <c r="S116" s="55">
        <f t="shared" si="114"/>
        <v>46080.400000000009</v>
      </c>
      <c r="T116" s="55">
        <f t="shared" si="115"/>
        <v>94242.999999999913</v>
      </c>
      <c r="U116" s="57">
        <f t="shared" si="116"/>
        <v>85757</v>
      </c>
      <c r="W116" s="70">
        <v>47058</v>
      </c>
      <c r="X116" s="55">
        <f t="shared" si="100"/>
        <v>0</v>
      </c>
      <c r="Y116" s="55">
        <f t="shared" si="101"/>
        <v>544.78</v>
      </c>
      <c r="Z116" s="55">
        <f t="shared" si="117"/>
        <v>544.78</v>
      </c>
      <c r="AA116" s="55">
        <f t="shared" si="102"/>
        <v>0</v>
      </c>
      <c r="AB116" s="71">
        <v>0</v>
      </c>
      <c r="AC116" s="55">
        <f t="shared" si="118"/>
        <v>0</v>
      </c>
      <c r="AD116" s="55">
        <f t="shared" si="103"/>
        <v>75151.629999999961</v>
      </c>
      <c r="AE116" s="55">
        <f t="shared" si="104"/>
        <v>8935.9199999999946</v>
      </c>
      <c r="AF116" s="55">
        <f t="shared" si="119"/>
        <v>0</v>
      </c>
      <c r="AH116" s="70">
        <v>47058</v>
      </c>
      <c r="AI116" s="55">
        <f t="shared" si="85"/>
        <v>0</v>
      </c>
      <c r="AJ116" s="55">
        <f t="shared" si="86"/>
        <v>186.04</v>
      </c>
      <c r="AK116" s="55">
        <f t="shared" si="120"/>
        <v>186.04</v>
      </c>
      <c r="AL116" s="55">
        <f t="shared" si="87"/>
        <v>0</v>
      </c>
      <c r="AM116" s="71">
        <v>0</v>
      </c>
      <c r="AN116" s="55">
        <f t="shared" si="121"/>
        <v>0</v>
      </c>
      <c r="AO116" s="55">
        <f t="shared" si="88"/>
        <v>28593.650000000052</v>
      </c>
      <c r="AP116" s="55">
        <f t="shared" si="89"/>
        <v>2496.39</v>
      </c>
      <c r="AQ116" s="55">
        <f t="shared" si="122"/>
        <v>0</v>
      </c>
      <c r="AS116" s="70">
        <v>47058</v>
      </c>
      <c r="AT116" s="55">
        <f t="shared" si="90"/>
        <v>0</v>
      </c>
      <c r="AU116" s="55">
        <f t="shared" si="91"/>
        <v>204.6</v>
      </c>
      <c r="AV116" s="55">
        <f t="shared" si="123"/>
        <v>204.6</v>
      </c>
      <c r="AW116" s="55">
        <f t="shared" si="92"/>
        <v>0</v>
      </c>
      <c r="AX116" s="71">
        <v>0</v>
      </c>
      <c r="AY116" s="55">
        <f t="shared" si="124"/>
        <v>0</v>
      </c>
      <c r="AZ116" s="55">
        <f t="shared" si="93"/>
        <v>32545.729999999898</v>
      </c>
      <c r="BA116" s="55">
        <f t="shared" si="94"/>
        <v>2100.6699999999996</v>
      </c>
      <c r="BB116" s="55">
        <f t="shared" si="125"/>
        <v>0</v>
      </c>
      <c r="BD116" s="70">
        <v>47058</v>
      </c>
      <c r="BE116" s="55">
        <f t="shared" si="95"/>
        <v>0</v>
      </c>
      <c r="BF116" s="55">
        <f t="shared" si="96"/>
        <v>221.51</v>
      </c>
      <c r="BG116" s="55">
        <f t="shared" si="126"/>
        <v>221.51</v>
      </c>
      <c r="BH116" s="55">
        <f t="shared" si="97"/>
        <v>0</v>
      </c>
      <c r="BI116" s="71">
        <v>0</v>
      </c>
      <c r="BJ116" s="55">
        <f t="shared" si="127"/>
        <v>0</v>
      </c>
      <c r="BK116" s="55">
        <f t="shared" si="98"/>
        <v>37684.839999999946</v>
      </c>
      <c r="BL116" s="55">
        <f t="shared" si="99"/>
        <v>984.92</v>
      </c>
      <c r="BM116" s="55">
        <f t="shared" si="128"/>
        <v>0</v>
      </c>
    </row>
    <row r="117" spans="1:65" x14ac:dyDescent="0.25">
      <c r="A117" s="70">
        <v>46905</v>
      </c>
      <c r="B117" s="55">
        <f t="shared" si="107"/>
        <v>1454.82</v>
      </c>
      <c r="C117" s="55">
        <f t="shared" si="129"/>
        <v>0</v>
      </c>
      <c r="D117" s="55">
        <f t="shared" si="130"/>
        <v>0</v>
      </c>
      <c r="E117" s="55">
        <f t="shared" si="131"/>
        <v>0</v>
      </c>
      <c r="F117" s="55">
        <f t="shared" si="132"/>
        <v>0</v>
      </c>
      <c r="G117" s="55">
        <f t="shared" si="134"/>
        <v>1454.82</v>
      </c>
      <c r="J117">
        <f t="shared" si="133"/>
        <v>9</v>
      </c>
      <c r="K117" s="70">
        <v>46905</v>
      </c>
      <c r="L117" s="55">
        <f t="shared" si="108"/>
        <v>94242.999999999913</v>
      </c>
      <c r="M117" s="55">
        <f t="shared" si="109"/>
        <v>727.41</v>
      </c>
      <c r="N117" s="55">
        <f t="shared" si="110"/>
        <v>403.05999999999995</v>
      </c>
      <c r="O117" s="55">
        <f t="shared" si="111"/>
        <v>324.35000000000002</v>
      </c>
      <c r="P117" s="71">
        <v>727.41</v>
      </c>
      <c r="Q117" s="55">
        <f t="shared" si="112"/>
        <v>1454.82</v>
      </c>
      <c r="R117" s="55">
        <f t="shared" si="113"/>
        <v>56887.47</v>
      </c>
      <c r="S117" s="55">
        <f t="shared" si="114"/>
        <v>46404.750000000007</v>
      </c>
      <c r="T117" s="55">
        <f t="shared" si="115"/>
        <v>93112.529999999912</v>
      </c>
      <c r="U117" s="57">
        <f t="shared" si="116"/>
        <v>86887.47</v>
      </c>
      <c r="W117" s="70">
        <v>47088</v>
      </c>
      <c r="X117" s="55">
        <f t="shared" si="100"/>
        <v>0</v>
      </c>
      <c r="Y117" s="55">
        <f t="shared" si="101"/>
        <v>544.78</v>
      </c>
      <c r="Z117" s="55">
        <f t="shared" si="117"/>
        <v>544.78</v>
      </c>
      <c r="AA117" s="55">
        <f t="shared" si="102"/>
        <v>0</v>
      </c>
      <c r="AB117" s="71">
        <v>0</v>
      </c>
      <c r="AC117" s="55">
        <f t="shared" si="118"/>
        <v>0</v>
      </c>
      <c r="AD117" s="55">
        <f t="shared" si="103"/>
        <v>75696.40999999996</v>
      </c>
      <c r="AE117" s="55">
        <f t="shared" si="104"/>
        <v>8935.9199999999946</v>
      </c>
      <c r="AF117" s="55">
        <f t="shared" si="119"/>
        <v>0</v>
      </c>
      <c r="AH117" s="70">
        <v>47088</v>
      </c>
      <c r="AI117" s="55">
        <f t="shared" si="85"/>
        <v>0</v>
      </c>
      <c r="AJ117" s="55">
        <f t="shared" si="86"/>
        <v>186.04</v>
      </c>
      <c r="AK117" s="55">
        <f t="shared" si="120"/>
        <v>186.04</v>
      </c>
      <c r="AL117" s="55">
        <f t="shared" si="87"/>
        <v>0</v>
      </c>
      <c r="AM117" s="71">
        <v>0</v>
      </c>
      <c r="AN117" s="55">
        <f t="shared" si="121"/>
        <v>0</v>
      </c>
      <c r="AO117" s="55">
        <f t="shared" si="88"/>
        <v>28779.690000000053</v>
      </c>
      <c r="AP117" s="55">
        <f t="shared" si="89"/>
        <v>2496.39</v>
      </c>
      <c r="AQ117" s="55">
        <f t="shared" si="122"/>
        <v>0</v>
      </c>
      <c r="AS117" s="70">
        <v>47088</v>
      </c>
      <c r="AT117" s="55">
        <f t="shared" si="90"/>
        <v>0</v>
      </c>
      <c r="AU117" s="55">
        <f t="shared" si="91"/>
        <v>204.6</v>
      </c>
      <c r="AV117" s="55">
        <f t="shared" si="123"/>
        <v>204.6</v>
      </c>
      <c r="AW117" s="55">
        <f t="shared" si="92"/>
        <v>0</v>
      </c>
      <c r="AX117" s="71">
        <v>0</v>
      </c>
      <c r="AY117" s="55">
        <f t="shared" si="124"/>
        <v>0</v>
      </c>
      <c r="AZ117" s="55">
        <f t="shared" si="93"/>
        <v>32750.329999999896</v>
      </c>
      <c r="BA117" s="55">
        <f t="shared" si="94"/>
        <v>2100.6699999999996</v>
      </c>
      <c r="BB117" s="55">
        <f t="shared" si="125"/>
        <v>0</v>
      </c>
      <c r="BD117" s="70">
        <v>47088</v>
      </c>
      <c r="BE117" s="55">
        <f t="shared" si="95"/>
        <v>0</v>
      </c>
      <c r="BF117" s="55">
        <f t="shared" si="96"/>
        <v>221.51</v>
      </c>
      <c r="BG117" s="55">
        <f t="shared" si="126"/>
        <v>221.51</v>
      </c>
      <c r="BH117" s="55">
        <f t="shared" si="97"/>
        <v>0</v>
      </c>
      <c r="BI117" s="71">
        <v>0</v>
      </c>
      <c r="BJ117" s="55">
        <f t="shared" si="127"/>
        <v>0</v>
      </c>
      <c r="BK117" s="55">
        <f t="shared" si="98"/>
        <v>37906.349999999948</v>
      </c>
      <c r="BL117" s="55">
        <f t="shared" si="99"/>
        <v>984.92</v>
      </c>
      <c r="BM117" s="55">
        <f t="shared" si="128"/>
        <v>0</v>
      </c>
    </row>
    <row r="118" spans="1:65" x14ac:dyDescent="0.25">
      <c r="A118" s="70">
        <v>46935</v>
      </c>
      <c r="B118" s="55">
        <f t="shared" si="107"/>
        <v>1454.82</v>
      </c>
      <c r="C118" s="55">
        <f t="shared" ref="C118:C149" si="135">AC112</f>
        <v>0</v>
      </c>
      <c r="D118" s="55">
        <f t="shared" ref="D118:D149" si="136">AN112</f>
        <v>0</v>
      </c>
      <c r="E118" s="55">
        <f t="shared" ref="E118:E149" si="137">AY112</f>
        <v>0</v>
      </c>
      <c r="F118" s="55">
        <f t="shared" ref="F118:F149" si="138">BJ112</f>
        <v>0</v>
      </c>
      <c r="G118" s="55">
        <f t="shared" si="134"/>
        <v>1454.82</v>
      </c>
      <c r="J118">
        <f t="shared" si="133"/>
        <v>9</v>
      </c>
      <c r="K118" s="70">
        <v>46935</v>
      </c>
      <c r="L118" s="55">
        <f t="shared" si="108"/>
        <v>93112.529999999912</v>
      </c>
      <c r="M118" s="55">
        <f t="shared" si="109"/>
        <v>727.41</v>
      </c>
      <c r="N118" s="55">
        <f t="shared" si="110"/>
        <v>406.95</v>
      </c>
      <c r="O118" s="55">
        <f t="shared" si="111"/>
        <v>320.45999999999998</v>
      </c>
      <c r="P118" s="71">
        <v>727.41</v>
      </c>
      <c r="Q118" s="55">
        <f t="shared" si="112"/>
        <v>1454.82</v>
      </c>
      <c r="R118" s="55">
        <f t="shared" si="113"/>
        <v>58021.83</v>
      </c>
      <c r="S118" s="55">
        <f t="shared" si="114"/>
        <v>46725.210000000006</v>
      </c>
      <c r="T118" s="55">
        <f t="shared" si="115"/>
        <v>91978.169999999911</v>
      </c>
      <c r="U118" s="57">
        <f t="shared" si="116"/>
        <v>88021.83</v>
      </c>
      <c r="W118" s="70">
        <v>47119</v>
      </c>
      <c r="X118" s="55">
        <f t="shared" si="100"/>
        <v>0</v>
      </c>
      <c r="Y118" s="55">
        <f t="shared" si="101"/>
        <v>544.78</v>
      </c>
      <c r="Z118" s="55">
        <f t="shared" si="117"/>
        <v>544.78</v>
      </c>
      <c r="AA118" s="55">
        <f t="shared" si="102"/>
        <v>0</v>
      </c>
      <c r="AB118" s="71">
        <v>0</v>
      </c>
      <c r="AC118" s="55">
        <f t="shared" si="118"/>
        <v>0</v>
      </c>
      <c r="AD118" s="55">
        <f t="shared" si="103"/>
        <v>76241.189999999959</v>
      </c>
      <c r="AE118" s="55">
        <f t="shared" si="104"/>
        <v>8935.9199999999946</v>
      </c>
      <c r="AF118" s="55">
        <f t="shared" si="119"/>
        <v>0</v>
      </c>
      <c r="AH118" s="70">
        <v>47119</v>
      </c>
      <c r="AI118" s="55">
        <f t="shared" si="85"/>
        <v>0</v>
      </c>
      <c r="AJ118" s="55">
        <f t="shared" si="86"/>
        <v>186.04</v>
      </c>
      <c r="AK118" s="55">
        <f t="shared" si="120"/>
        <v>186.04</v>
      </c>
      <c r="AL118" s="55">
        <f t="shared" si="87"/>
        <v>0</v>
      </c>
      <c r="AM118" s="71">
        <v>0</v>
      </c>
      <c r="AN118" s="55">
        <f t="shared" si="121"/>
        <v>0</v>
      </c>
      <c r="AO118" s="55">
        <f t="shared" si="88"/>
        <v>28965.730000000054</v>
      </c>
      <c r="AP118" s="55">
        <f t="shared" si="89"/>
        <v>2496.39</v>
      </c>
      <c r="AQ118" s="55">
        <f t="shared" si="122"/>
        <v>0</v>
      </c>
      <c r="AS118" s="70">
        <v>47119</v>
      </c>
      <c r="AT118" s="55">
        <f t="shared" si="90"/>
        <v>0</v>
      </c>
      <c r="AU118" s="55">
        <f t="shared" si="91"/>
        <v>204.6</v>
      </c>
      <c r="AV118" s="55">
        <f t="shared" si="123"/>
        <v>204.6</v>
      </c>
      <c r="AW118" s="55">
        <f t="shared" si="92"/>
        <v>0</v>
      </c>
      <c r="AX118" s="71">
        <v>0</v>
      </c>
      <c r="AY118" s="55">
        <f t="shared" si="124"/>
        <v>0</v>
      </c>
      <c r="AZ118" s="55">
        <f t="shared" si="93"/>
        <v>32954.929999999898</v>
      </c>
      <c r="BA118" s="55">
        <f t="shared" si="94"/>
        <v>2100.6699999999996</v>
      </c>
      <c r="BB118" s="55">
        <f t="shared" si="125"/>
        <v>0</v>
      </c>
      <c r="BD118" s="70">
        <v>47119</v>
      </c>
      <c r="BE118" s="55">
        <f t="shared" si="95"/>
        <v>0</v>
      </c>
      <c r="BF118" s="55">
        <f t="shared" si="96"/>
        <v>221.51</v>
      </c>
      <c r="BG118" s="55">
        <f t="shared" si="126"/>
        <v>221.51</v>
      </c>
      <c r="BH118" s="55">
        <f t="shared" si="97"/>
        <v>0</v>
      </c>
      <c r="BI118" s="71">
        <v>0</v>
      </c>
      <c r="BJ118" s="55">
        <f t="shared" si="127"/>
        <v>0</v>
      </c>
      <c r="BK118" s="55">
        <f t="shared" si="98"/>
        <v>38127.85999999995</v>
      </c>
      <c r="BL118" s="55">
        <f t="shared" si="99"/>
        <v>984.92</v>
      </c>
      <c r="BM118" s="55">
        <f t="shared" si="128"/>
        <v>0</v>
      </c>
    </row>
    <row r="119" spans="1:65" x14ac:dyDescent="0.25">
      <c r="A119" s="70">
        <v>46966</v>
      </c>
      <c r="B119" s="55">
        <f t="shared" si="107"/>
        <v>1454.82</v>
      </c>
      <c r="C119" s="55">
        <f t="shared" si="135"/>
        <v>0</v>
      </c>
      <c r="D119" s="55">
        <f t="shared" si="136"/>
        <v>0</v>
      </c>
      <c r="E119" s="55">
        <f t="shared" si="137"/>
        <v>0</v>
      </c>
      <c r="F119" s="55">
        <f t="shared" si="138"/>
        <v>0</v>
      </c>
      <c r="G119" s="55">
        <f t="shared" si="134"/>
        <v>1454.82</v>
      </c>
      <c r="J119">
        <f t="shared" si="133"/>
        <v>9</v>
      </c>
      <c r="K119" s="70">
        <v>46966</v>
      </c>
      <c r="L119" s="55">
        <f t="shared" si="108"/>
        <v>91978.169999999911</v>
      </c>
      <c r="M119" s="55">
        <f t="shared" si="109"/>
        <v>727.41</v>
      </c>
      <c r="N119" s="55">
        <f t="shared" si="110"/>
        <v>410.84999999999997</v>
      </c>
      <c r="O119" s="55">
        <f t="shared" si="111"/>
        <v>316.56</v>
      </c>
      <c r="P119" s="71">
        <v>727.41</v>
      </c>
      <c r="Q119" s="55">
        <f t="shared" si="112"/>
        <v>1454.82</v>
      </c>
      <c r="R119" s="55">
        <f t="shared" si="113"/>
        <v>59160.090000000004</v>
      </c>
      <c r="S119" s="55">
        <f t="shared" si="114"/>
        <v>47041.770000000004</v>
      </c>
      <c r="T119" s="55">
        <f t="shared" si="115"/>
        <v>90839.909999999902</v>
      </c>
      <c r="U119" s="57">
        <f t="shared" si="116"/>
        <v>89160.09</v>
      </c>
      <c r="W119" s="70">
        <v>47150</v>
      </c>
      <c r="X119" s="55">
        <f t="shared" si="100"/>
        <v>0</v>
      </c>
      <c r="Y119" s="55">
        <f t="shared" si="101"/>
        <v>544.78</v>
      </c>
      <c r="Z119" s="55">
        <f t="shared" si="117"/>
        <v>544.78</v>
      </c>
      <c r="AA119" s="55">
        <f t="shared" si="102"/>
        <v>0</v>
      </c>
      <c r="AB119" s="71">
        <v>0</v>
      </c>
      <c r="AC119" s="55">
        <f t="shared" si="118"/>
        <v>0</v>
      </c>
      <c r="AD119" s="55">
        <f t="shared" si="103"/>
        <v>76785.969999999958</v>
      </c>
      <c r="AE119" s="55">
        <f t="shared" si="104"/>
        <v>8935.9199999999946</v>
      </c>
      <c r="AF119" s="55">
        <f t="shared" si="119"/>
        <v>0</v>
      </c>
      <c r="AH119" s="70">
        <v>47150</v>
      </c>
      <c r="AI119" s="55">
        <f t="shared" si="85"/>
        <v>0</v>
      </c>
      <c r="AJ119" s="55">
        <f t="shared" si="86"/>
        <v>186.04</v>
      </c>
      <c r="AK119" s="55">
        <f t="shared" si="120"/>
        <v>186.04</v>
      </c>
      <c r="AL119" s="55">
        <f t="shared" si="87"/>
        <v>0</v>
      </c>
      <c r="AM119" s="71">
        <v>0</v>
      </c>
      <c r="AN119" s="55">
        <f t="shared" si="121"/>
        <v>0</v>
      </c>
      <c r="AO119" s="55">
        <f t="shared" si="88"/>
        <v>29151.770000000055</v>
      </c>
      <c r="AP119" s="55">
        <f t="shared" si="89"/>
        <v>2496.39</v>
      </c>
      <c r="AQ119" s="55">
        <f t="shared" si="122"/>
        <v>0</v>
      </c>
      <c r="AS119" s="70">
        <v>47150</v>
      </c>
      <c r="AT119" s="55">
        <f t="shared" si="90"/>
        <v>0</v>
      </c>
      <c r="AU119" s="55">
        <f t="shared" si="91"/>
        <v>204.6</v>
      </c>
      <c r="AV119" s="55">
        <f t="shared" si="123"/>
        <v>204.6</v>
      </c>
      <c r="AW119" s="55">
        <f t="shared" si="92"/>
        <v>0</v>
      </c>
      <c r="AX119" s="71">
        <v>0</v>
      </c>
      <c r="AY119" s="55">
        <f t="shared" si="124"/>
        <v>0</v>
      </c>
      <c r="AZ119" s="55">
        <f t="shared" si="93"/>
        <v>33159.529999999897</v>
      </c>
      <c r="BA119" s="55">
        <f t="shared" si="94"/>
        <v>2100.6699999999996</v>
      </c>
      <c r="BB119" s="55">
        <f t="shared" si="125"/>
        <v>0</v>
      </c>
      <c r="BD119" s="70">
        <v>47150</v>
      </c>
      <c r="BE119" s="55">
        <f t="shared" si="95"/>
        <v>0</v>
      </c>
      <c r="BF119" s="55">
        <f t="shared" si="96"/>
        <v>221.51</v>
      </c>
      <c r="BG119" s="55">
        <f t="shared" si="126"/>
        <v>221.51</v>
      </c>
      <c r="BH119" s="55">
        <f t="shared" si="97"/>
        <v>0</v>
      </c>
      <c r="BI119" s="71">
        <v>0</v>
      </c>
      <c r="BJ119" s="55">
        <f t="shared" si="127"/>
        <v>0</v>
      </c>
      <c r="BK119" s="55">
        <f t="shared" si="98"/>
        <v>38349.369999999952</v>
      </c>
      <c r="BL119" s="55">
        <f t="shared" si="99"/>
        <v>984.92</v>
      </c>
      <c r="BM119" s="55">
        <f t="shared" si="128"/>
        <v>0</v>
      </c>
    </row>
    <row r="120" spans="1:65" x14ac:dyDescent="0.25">
      <c r="A120" s="70">
        <v>46997</v>
      </c>
      <c r="B120" s="55">
        <f t="shared" si="107"/>
        <v>1454.82</v>
      </c>
      <c r="C120" s="55">
        <f t="shared" si="135"/>
        <v>0</v>
      </c>
      <c r="D120" s="55">
        <f t="shared" si="136"/>
        <v>0</v>
      </c>
      <c r="E120" s="55">
        <f t="shared" si="137"/>
        <v>0</v>
      </c>
      <c r="F120" s="55">
        <f t="shared" si="138"/>
        <v>0</v>
      </c>
      <c r="G120" s="55">
        <f t="shared" si="134"/>
        <v>1454.82</v>
      </c>
      <c r="J120">
        <f t="shared" si="133"/>
        <v>9</v>
      </c>
      <c r="K120" s="70">
        <v>46997</v>
      </c>
      <c r="L120" s="55">
        <f t="shared" si="108"/>
        <v>90839.909999999902</v>
      </c>
      <c r="M120" s="55">
        <f t="shared" si="109"/>
        <v>727.41</v>
      </c>
      <c r="N120" s="55">
        <f t="shared" si="110"/>
        <v>414.77</v>
      </c>
      <c r="O120" s="55">
        <f t="shared" si="111"/>
        <v>312.64</v>
      </c>
      <c r="P120" s="71">
        <v>727.41</v>
      </c>
      <c r="Q120" s="55">
        <f t="shared" si="112"/>
        <v>1454.82</v>
      </c>
      <c r="R120" s="55">
        <f t="shared" si="113"/>
        <v>60302.270000000004</v>
      </c>
      <c r="S120" s="55">
        <f t="shared" si="114"/>
        <v>47354.41</v>
      </c>
      <c r="T120" s="55">
        <f t="shared" si="115"/>
        <v>89697.729999999894</v>
      </c>
      <c r="U120" s="57">
        <f t="shared" si="116"/>
        <v>90302.27</v>
      </c>
      <c r="W120" s="70">
        <v>47178</v>
      </c>
      <c r="X120" s="55">
        <f t="shared" si="100"/>
        <v>0</v>
      </c>
      <c r="Y120" s="55">
        <f t="shared" si="101"/>
        <v>544.78</v>
      </c>
      <c r="Z120" s="55">
        <f t="shared" si="117"/>
        <v>544.78</v>
      </c>
      <c r="AA120" s="55">
        <f t="shared" si="102"/>
        <v>0</v>
      </c>
      <c r="AB120" s="71">
        <v>0</v>
      </c>
      <c r="AC120" s="55">
        <f t="shared" si="118"/>
        <v>0</v>
      </c>
      <c r="AD120" s="55">
        <f t="shared" si="103"/>
        <v>77330.749999999956</v>
      </c>
      <c r="AE120" s="55">
        <f t="shared" si="104"/>
        <v>8935.9199999999946</v>
      </c>
      <c r="AF120" s="55">
        <f t="shared" si="119"/>
        <v>0</v>
      </c>
      <c r="AH120" s="70">
        <v>47178</v>
      </c>
      <c r="AI120" s="55">
        <f t="shared" si="85"/>
        <v>0</v>
      </c>
      <c r="AJ120" s="55">
        <f t="shared" si="86"/>
        <v>186.04</v>
      </c>
      <c r="AK120" s="55">
        <f t="shared" si="120"/>
        <v>186.04</v>
      </c>
      <c r="AL120" s="55">
        <f t="shared" si="87"/>
        <v>0</v>
      </c>
      <c r="AM120" s="71">
        <v>0</v>
      </c>
      <c r="AN120" s="55">
        <f t="shared" si="121"/>
        <v>0</v>
      </c>
      <c r="AO120" s="55">
        <f t="shared" si="88"/>
        <v>29337.810000000056</v>
      </c>
      <c r="AP120" s="55">
        <f t="shared" si="89"/>
        <v>2496.39</v>
      </c>
      <c r="AQ120" s="55">
        <f t="shared" si="122"/>
        <v>0</v>
      </c>
      <c r="AS120" s="70">
        <v>47178</v>
      </c>
      <c r="AT120" s="55">
        <f t="shared" si="90"/>
        <v>0</v>
      </c>
      <c r="AU120" s="55">
        <f t="shared" si="91"/>
        <v>204.6</v>
      </c>
      <c r="AV120" s="55">
        <f t="shared" si="123"/>
        <v>204.6</v>
      </c>
      <c r="AW120" s="55">
        <f t="shared" si="92"/>
        <v>0</v>
      </c>
      <c r="AX120" s="71">
        <v>0</v>
      </c>
      <c r="AY120" s="55">
        <f t="shared" si="124"/>
        <v>0</v>
      </c>
      <c r="AZ120" s="55">
        <f t="shared" si="93"/>
        <v>33364.129999999896</v>
      </c>
      <c r="BA120" s="55">
        <f t="shared" si="94"/>
        <v>2100.6699999999996</v>
      </c>
      <c r="BB120" s="55">
        <f t="shared" si="125"/>
        <v>0</v>
      </c>
      <c r="BD120" s="70">
        <v>47178</v>
      </c>
      <c r="BE120" s="55">
        <f t="shared" si="95"/>
        <v>0</v>
      </c>
      <c r="BF120" s="55">
        <f t="shared" si="96"/>
        <v>221.51</v>
      </c>
      <c r="BG120" s="55">
        <f t="shared" si="126"/>
        <v>221.51</v>
      </c>
      <c r="BH120" s="55">
        <f t="shared" si="97"/>
        <v>0</v>
      </c>
      <c r="BI120" s="71">
        <v>0</v>
      </c>
      <c r="BJ120" s="55">
        <f t="shared" si="127"/>
        <v>0</v>
      </c>
      <c r="BK120" s="55">
        <f t="shared" si="98"/>
        <v>38570.879999999954</v>
      </c>
      <c r="BL120" s="55">
        <f t="shared" si="99"/>
        <v>984.92</v>
      </c>
      <c r="BM120" s="55">
        <f t="shared" si="128"/>
        <v>0</v>
      </c>
    </row>
    <row r="121" spans="1:65" x14ac:dyDescent="0.25">
      <c r="A121" s="70">
        <v>47027</v>
      </c>
      <c r="B121" s="55">
        <f t="shared" si="107"/>
        <v>1454.82</v>
      </c>
      <c r="C121" s="55">
        <f t="shared" si="135"/>
        <v>0</v>
      </c>
      <c r="D121" s="55">
        <f t="shared" si="136"/>
        <v>0</v>
      </c>
      <c r="E121" s="55">
        <f t="shared" si="137"/>
        <v>0</v>
      </c>
      <c r="F121" s="55">
        <f t="shared" si="138"/>
        <v>0</v>
      </c>
      <c r="G121" s="55">
        <f t="shared" si="134"/>
        <v>1454.82</v>
      </c>
      <c r="J121">
        <f t="shared" si="133"/>
        <v>9</v>
      </c>
      <c r="K121" s="70">
        <v>47027</v>
      </c>
      <c r="L121" s="55">
        <f t="shared" si="108"/>
        <v>89697.729999999894</v>
      </c>
      <c r="M121" s="55">
        <f t="shared" si="109"/>
        <v>727.41</v>
      </c>
      <c r="N121" s="55">
        <f t="shared" si="110"/>
        <v>418.7</v>
      </c>
      <c r="O121" s="55">
        <f t="shared" si="111"/>
        <v>308.70999999999998</v>
      </c>
      <c r="P121" s="71">
        <v>727.41</v>
      </c>
      <c r="Q121" s="55">
        <f t="shared" si="112"/>
        <v>1454.82</v>
      </c>
      <c r="R121" s="55">
        <f t="shared" si="113"/>
        <v>61448.380000000005</v>
      </c>
      <c r="S121" s="55">
        <f t="shared" si="114"/>
        <v>47663.12</v>
      </c>
      <c r="T121" s="55">
        <f t="shared" si="115"/>
        <v>88551.619999999893</v>
      </c>
      <c r="U121" s="57">
        <f t="shared" si="116"/>
        <v>91448.38</v>
      </c>
      <c r="W121" s="70">
        <v>47209</v>
      </c>
      <c r="X121" s="55">
        <f t="shared" si="100"/>
        <v>0</v>
      </c>
      <c r="Y121" s="55">
        <f t="shared" si="101"/>
        <v>544.78</v>
      </c>
      <c r="Z121" s="55">
        <f t="shared" si="117"/>
        <v>544.78</v>
      </c>
      <c r="AA121" s="55">
        <f t="shared" si="102"/>
        <v>0</v>
      </c>
      <c r="AB121" s="71">
        <v>0</v>
      </c>
      <c r="AC121" s="55">
        <f t="shared" si="118"/>
        <v>0</v>
      </c>
      <c r="AD121" s="55">
        <f t="shared" si="103"/>
        <v>77875.529999999955</v>
      </c>
      <c r="AE121" s="55">
        <f t="shared" si="104"/>
        <v>8935.9199999999946</v>
      </c>
      <c r="AF121" s="55">
        <f t="shared" si="119"/>
        <v>0</v>
      </c>
      <c r="AH121" s="70">
        <v>47209</v>
      </c>
      <c r="AI121" s="55">
        <f t="shared" si="85"/>
        <v>0</v>
      </c>
      <c r="AJ121" s="55">
        <f t="shared" si="86"/>
        <v>186.04</v>
      </c>
      <c r="AK121" s="55">
        <f t="shared" si="120"/>
        <v>186.04</v>
      </c>
      <c r="AL121" s="55">
        <f t="shared" si="87"/>
        <v>0</v>
      </c>
      <c r="AM121" s="71">
        <v>0</v>
      </c>
      <c r="AN121" s="55">
        <f t="shared" si="121"/>
        <v>0</v>
      </c>
      <c r="AO121" s="55">
        <f t="shared" si="88"/>
        <v>29523.850000000057</v>
      </c>
      <c r="AP121" s="55">
        <f t="shared" si="89"/>
        <v>2496.39</v>
      </c>
      <c r="AQ121" s="55">
        <f t="shared" si="122"/>
        <v>0</v>
      </c>
      <c r="AS121" s="70">
        <v>47209</v>
      </c>
      <c r="AT121" s="55">
        <f t="shared" si="90"/>
        <v>0</v>
      </c>
      <c r="AU121" s="55">
        <f t="shared" si="91"/>
        <v>204.6</v>
      </c>
      <c r="AV121" s="55">
        <f t="shared" si="123"/>
        <v>204.6</v>
      </c>
      <c r="AW121" s="55">
        <f t="shared" si="92"/>
        <v>0</v>
      </c>
      <c r="AX121" s="71">
        <v>0</v>
      </c>
      <c r="AY121" s="55">
        <f t="shared" si="124"/>
        <v>0</v>
      </c>
      <c r="AZ121" s="55">
        <f t="shared" si="93"/>
        <v>33568.729999999894</v>
      </c>
      <c r="BA121" s="55">
        <f t="shared" si="94"/>
        <v>2100.6699999999996</v>
      </c>
      <c r="BB121" s="55">
        <f t="shared" si="125"/>
        <v>0</v>
      </c>
      <c r="BD121" s="70">
        <v>47209</v>
      </c>
      <c r="BE121" s="55">
        <f t="shared" si="95"/>
        <v>0</v>
      </c>
      <c r="BF121" s="55">
        <f t="shared" si="96"/>
        <v>221.51</v>
      </c>
      <c r="BG121" s="55">
        <f t="shared" si="126"/>
        <v>221.51</v>
      </c>
      <c r="BH121" s="55">
        <f t="shared" si="97"/>
        <v>0</v>
      </c>
      <c r="BI121" s="71">
        <v>0</v>
      </c>
      <c r="BJ121" s="55">
        <f t="shared" si="127"/>
        <v>0</v>
      </c>
      <c r="BK121" s="55">
        <f t="shared" si="98"/>
        <v>38792.389999999956</v>
      </c>
      <c r="BL121" s="55">
        <f t="shared" si="99"/>
        <v>984.92</v>
      </c>
      <c r="BM121" s="55">
        <f t="shared" si="128"/>
        <v>0</v>
      </c>
    </row>
    <row r="122" spans="1:65" x14ac:dyDescent="0.25">
      <c r="A122" s="70">
        <v>47058</v>
      </c>
      <c r="B122" s="55">
        <f t="shared" si="107"/>
        <v>1454.82</v>
      </c>
      <c r="C122" s="55">
        <f t="shared" si="135"/>
        <v>0</v>
      </c>
      <c r="D122" s="55">
        <f t="shared" si="136"/>
        <v>0</v>
      </c>
      <c r="E122" s="55">
        <f t="shared" si="137"/>
        <v>0</v>
      </c>
      <c r="F122" s="55">
        <f t="shared" si="138"/>
        <v>0</v>
      </c>
      <c r="G122" s="55">
        <f t="shared" si="134"/>
        <v>1454.82</v>
      </c>
      <c r="J122">
        <f t="shared" si="133"/>
        <v>9</v>
      </c>
      <c r="K122" s="70">
        <v>47058</v>
      </c>
      <c r="L122" s="55">
        <f t="shared" si="108"/>
        <v>88551.619999999893</v>
      </c>
      <c r="M122" s="55">
        <f t="shared" si="109"/>
        <v>727.41</v>
      </c>
      <c r="N122" s="55">
        <f t="shared" si="110"/>
        <v>422.64</v>
      </c>
      <c r="O122" s="55">
        <f t="shared" si="111"/>
        <v>304.77</v>
      </c>
      <c r="P122" s="71">
        <v>727.41</v>
      </c>
      <c r="Q122" s="55">
        <f t="shared" si="112"/>
        <v>1454.82</v>
      </c>
      <c r="R122" s="55">
        <f t="shared" si="113"/>
        <v>62598.430000000008</v>
      </c>
      <c r="S122" s="55">
        <f t="shared" si="114"/>
        <v>47967.89</v>
      </c>
      <c r="T122" s="55">
        <f t="shared" si="115"/>
        <v>87401.569999999891</v>
      </c>
      <c r="U122" s="57">
        <f t="shared" si="116"/>
        <v>92598.430000000008</v>
      </c>
      <c r="W122" s="70">
        <v>47239</v>
      </c>
      <c r="X122" s="55">
        <f t="shared" si="100"/>
        <v>0</v>
      </c>
      <c r="Y122" s="55">
        <f t="shared" si="101"/>
        <v>544.78</v>
      </c>
      <c r="Z122" s="55">
        <f t="shared" si="117"/>
        <v>544.78</v>
      </c>
      <c r="AA122" s="55">
        <f t="shared" si="102"/>
        <v>0</v>
      </c>
      <c r="AB122" s="71">
        <v>0</v>
      </c>
      <c r="AC122" s="55">
        <f t="shared" si="118"/>
        <v>0</v>
      </c>
      <c r="AD122" s="55">
        <f t="shared" si="103"/>
        <v>78420.309999999954</v>
      </c>
      <c r="AE122" s="55">
        <f t="shared" si="104"/>
        <v>8935.9199999999946</v>
      </c>
      <c r="AF122" s="55">
        <f t="shared" si="119"/>
        <v>0</v>
      </c>
      <c r="AH122" s="70">
        <v>47239</v>
      </c>
      <c r="AI122" s="55">
        <f t="shared" si="85"/>
        <v>0</v>
      </c>
      <c r="AJ122" s="55">
        <f t="shared" si="86"/>
        <v>186.04</v>
      </c>
      <c r="AK122" s="55">
        <f t="shared" si="120"/>
        <v>186.04</v>
      </c>
      <c r="AL122" s="55">
        <f t="shared" si="87"/>
        <v>0</v>
      </c>
      <c r="AM122" s="71">
        <v>0</v>
      </c>
      <c r="AN122" s="55">
        <f t="shared" si="121"/>
        <v>0</v>
      </c>
      <c r="AO122" s="55">
        <f t="shared" si="88"/>
        <v>29709.890000000058</v>
      </c>
      <c r="AP122" s="55">
        <f t="shared" si="89"/>
        <v>2496.39</v>
      </c>
      <c r="AQ122" s="55">
        <f t="shared" si="122"/>
        <v>0</v>
      </c>
      <c r="AS122" s="70">
        <v>47239</v>
      </c>
      <c r="AT122" s="55">
        <f t="shared" si="90"/>
        <v>0</v>
      </c>
      <c r="AU122" s="55">
        <f t="shared" si="91"/>
        <v>204.6</v>
      </c>
      <c r="AV122" s="55">
        <f t="shared" si="123"/>
        <v>204.6</v>
      </c>
      <c r="AW122" s="55">
        <f t="shared" si="92"/>
        <v>0</v>
      </c>
      <c r="AX122" s="71">
        <v>0</v>
      </c>
      <c r="AY122" s="55">
        <f t="shared" si="124"/>
        <v>0</v>
      </c>
      <c r="AZ122" s="55">
        <f t="shared" si="93"/>
        <v>33773.329999999893</v>
      </c>
      <c r="BA122" s="55">
        <f t="shared" si="94"/>
        <v>2100.6699999999996</v>
      </c>
      <c r="BB122" s="55">
        <f t="shared" si="125"/>
        <v>0</v>
      </c>
      <c r="BD122" s="70">
        <v>47239</v>
      </c>
      <c r="BE122" s="55">
        <f t="shared" si="95"/>
        <v>0</v>
      </c>
      <c r="BF122" s="55">
        <f t="shared" si="96"/>
        <v>221.51</v>
      </c>
      <c r="BG122" s="55">
        <f t="shared" si="126"/>
        <v>221.51</v>
      </c>
      <c r="BH122" s="55">
        <f t="shared" si="97"/>
        <v>0</v>
      </c>
      <c r="BI122" s="71">
        <v>0</v>
      </c>
      <c r="BJ122" s="55">
        <f t="shared" si="127"/>
        <v>0</v>
      </c>
      <c r="BK122" s="55">
        <f t="shared" si="98"/>
        <v>39013.899999999958</v>
      </c>
      <c r="BL122" s="55">
        <f t="shared" si="99"/>
        <v>984.92</v>
      </c>
      <c r="BM122" s="55">
        <f t="shared" si="128"/>
        <v>0</v>
      </c>
    </row>
    <row r="123" spans="1:65" x14ac:dyDescent="0.25">
      <c r="A123" s="70">
        <v>47088</v>
      </c>
      <c r="B123" s="55">
        <f t="shared" si="107"/>
        <v>1454.82</v>
      </c>
      <c r="C123" s="55">
        <f t="shared" si="135"/>
        <v>0</v>
      </c>
      <c r="D123" s="55">
        <f t="shared" si="136"/>
        <v>0</v>
      </c>
      <c r="E123" s="55">
        <f t="shared" si="137"/>
        <v>0</v>
      </c>
      <c r="F123" s="55">
        <f t="shared" si="138"/>
        <v>0</v>
      </c>
      <c r="G123" s="55">
        <f t="shared" si="134"/>
        <v>1454.82</v>
      </c>
      <c r="J123">
        <f t="shared" si="133"/>
        <v>9</v>
      </c>
      <c r="K123" s="70">
        <v>47088</v>
      </c>
      <c r="L123" s="55">
        <f t="shared" si="108"/>
        <v>87401.569999999891</v>
      </c>
      <c r="M123" s="55">
        <f t="shared" si="109"/>
        <v>727.41</v>
      </c>
      <c r="N123" s="55">
        <f t="shared" si="110"/>
        <v>426.59999999999997</v>
      </c>
      <c r="O123" s="55">
        <f t="shared" si="111"/>
        <v>300.81</v>
      </c>
      <c r="P123" s="71">
        <v>727.41</v>
      </c>
      <c r="Q123" s="55">
        <f t="shared" si="112"/>
        <v>1454.82</v>
      </c>
      <c r="R123" s="55">
        <f t="shared" si="113"/>
        <v>63752.44000000001</v>
      </c>
      <c r="S123" s="55">
        <f t="shared" si="114"/>
        <v>48268.7</v>
      </c>
      <c r="T123" s="55">
        <f t="shared" si="115"/>
        <v>86247.559999999881</v>
      </c>
      <c r="U123" s="57">
        <f t="shared" si="116"/>
        <v>93752.44</v>
      </c>
      <c r="W123" s="70">
        <v>47270</v>
      </c>
      <c r="X123" s="55">
        <f t="shared" si="100"/>
        <v>0</v>
      </c>
      <c r="Y123" s="55">
        <f t="shared" si="101"/>
        <v>544.78</v>
      </c>
      <c r="Z123" s="55">
        <f t="shared" si="117"/>
        <v>544.78</v>
      </c>
      <c r="AA123" s="55">
        <f t="shared" si="102"/>
        <v>0</v>
      </c>
      <c r="AB123" s="71">
        <v>0</v>
      </c>
      <c r="AC123" s="55">
        <f t="shared" si="118"/>
        <v>0</v>
      </c>
      <c r="AD123" s="55">
        <f t="shared" si="103"/>
        <v>78965.089999999953</v>
      </c>
      <c r="AE123" s="55">
        <f t="shared" si="104"/>
        <v>8935.9199999999946</v>
      </c>
      <c r="AF123" s="55">
        <f t="shared" si="119"/>
        <v>0</v>
      </c>
      <c r="AH123" s="70">
        <v>47270</v>
      </c>
      <c r="AI123" s="55">
        <f t="shared" si="85"/>
        <v>0</v>
      </c>
      <c r="AJ123" s="55">
        <f t="shared" si="86"/>
        <v>186.04</v>
      </c>
      <c r="AK123" s="55">
        <f t="shared" si="120"/>
        <v>186.04</v>
      </c>
      <c r="AL123" s="55">
        <f t="shared" si="87"/>
        <v>0</v>
      </c>
      <c r="AM123" s="71">
        <v>0</v>
      </c>
      <c r="AN123" s="55">
        <f t="shared" si="121"/>
        <v>0</v>
      </c>
      <c r="AO123" s="55">
        <f t="shared" si="88"/>
        <v>29895.930000000058</v>
      </c>
      <c r="AP123" s="55">
        <f t="shared" si="89"/>
        <v>2496.39</v>
      </c>
      <c r="AQ123" s="55">
        <f t="shared" si="122"/>
        <v>0</v>
      </c>
      <c r="AS123" s="70">
        <v>47270</v>
      </c>
      <c r="AT123" s="55">
        <f t="shared" si="90"/>
        <v>0</v>
      </c>
      <c r="AU123" s="55">
        <f t="shared" si="91"/>
        <v>204.6</v>
      </c>
      <c r="AV123" s="55">
        <f t="shared" si="123"/>
        <v>204.6</v>
      </c>
      <c r="AW123" s="55">
        <f t="shared" si="92"/>
        <v>0</v>
      </c>
      <c r="AX123" s="71">
        <v>0</v>
      </c>
      <c r="AY123" s="55">
        <f t="shared" si="124"/>
        <v>0</v>
      </c>
      <c r="AZ123" s="55">
        <f t="shared" si="93"/>
        <v>33977.929999999891</v>
      </c>
      <c r="BA123" s="55">
        <f t="shared" si="94"/>
        <v>2100.6699999999996</v>
      </c>
      <c r="BB123" s="55">
        <f t="shared" si="125"/>
        <v>0</v>
      </c>
      <c r="BD123" s="70">
        <v>47270</v>
      </c>
      <c r="BE123" s="55">
        <f t="shared" si="95"/>
        <v>0</v>
      </c>
      <c r="BF123" s="55">
        <f t="shared" si="96"/>
        <v>221.51</v>
      </c>
      <c r="BG123" s="55">
        <f t="shared" si="126"/>
        <v>221.51</v>
      </c>
      <c r="BH123" s="55">
        <f t="shared" si="97"/>
        <v>0</v>
      </c>
      <c r="BI123" s="71">
        <v>0</v>
      </c>
      <c r="BJ123" s="55">
        <f t="shared" si="127"/>
        <v>0</v>
      </c>
      <c r="BK123" s="55">
        <f t="shared" si="98"/>
        <v>39235.40999999996</v>
      </c>
      <c r="BL123" s="55">
        <f t="shared" si="99"/>
        <v>984.92</v>
      </c>
      <c r="BM123" s="55">
        <f t="shared" si="128"/>
        <v>0</v>
      </c>
    </row>
    <row r="124" spans="1:65" x14ac:dyDescent="0.25">
      <c r="A124" s="70">
        <v>47119</v>
      </c>
      <c r="B124" s="55">
        <f t="shared" si="107"/>
        <v>1454.82</v>
      </c>
      <c r="C124" s="55">
        <f t="shared" si="135"/>
        <v>0</v>
      </c>
      <c r="D124" s="55">
        <f t="shared" si="136"/>
        <v>0</v>
      </c>
      <c r="E124" s="55">
        <f t="shared" si="137"/>
        <v>0</v>
      </c>
      <c r="F124" s="55">
        <f t="shared" si="138"/>
        <v>0</v>
      </c>
      <c r="G124" s="55">
        <f t="shared" si="134"/>
        <v>1454.82</v>
      </c>
      <c r="J124">
        <f t="shared" si="133"/>
        <v>10</v>
      </c>
      <c r="K124" s="70">
        <v>47119</v>
      </c>
      <c r="L124" s="55">
        <f t="shared" si="108"/>
        <v>86247.559999999881</v>
      </c>
      <c r="M124" s="55">
        <f t="shared" si="109"/>
        <v>727.41</v>
      </c>
      <c r="N124" s="55">
        <f t="shared" si="110"/>
        <v>430.57</v>
      </c>
      <c r="O124" s="55">
        <f t="shared" si="111"/>
        <v>296.83999999999997</v>
      </c>
      <c r="P124" s="71">
        <v>727.41</v>
      </c>
      <c r="Q124" s="55">
        <f t="shared" si="112"/>
        <v>1454.82</v>
      </c>
      <c r="R124" s="55">
        <f t="shared" si="113"/>
        <v>64910.420000000013</v>
      </c>
      <c r="S124" s="55">
        <f t="shared" si="114"/>
        <v>48565.539999999994</v>
      </c>
      <c r="T124" s="55">
        <f t="shared" si="115"/>
        <v>85089.579999999871</v>
      </c>
      <c r="U124" s="57">
        <f t="shared" si="116"/>
        <v>94910.420000000013</v>
      </c>
      <c r="W124" s="70">
        <v>47300</v>
      </c>
      <c r="X124" s="55">
        <f t="shared" si="100"/>
        <v>0</v>
      </c>
      <c r="Y124" s="55">
        <f t="shared" si="101"/>
        <v>544.78</v>
      </c>
      <c r="Z124" s="55">
        <f t="shared" si="117"/>
        <v>544.78</v>
      </c>
      <c r="AA124" s="55">
        <f t="shared" si="102"/>
        <v>0</v>
      </c>
      <c r="AB124" s="71">
        <v>0</v>
      </c>
      <c r="AC124" s="55">
        <f t="shared" si="118"/>
        <v>0</v>
      </c>
      <c r="AD124" s="55">
        <f t="shared" si="103"/>
        <v>79509.869999999952</v>
      </c>
      <c r="AE124" s="55">
        <f t="shared" si="104"/>
        <v>8935.9199999999946</v>
      </c>
      <c r="AF124" s="55">
        <f t="shared" si="119"/>
        <v>0</v>
      </c>
      <c r="AH124" s="70">
        <v>47300</v>
      </c>
      <c r="AI124" s="55">
        <f t="shared" si="85"/>
        <v>0</v>
      </c>
      <c r="AJ124" s="55">
        <f t="shared" si="86"/>
        <v>186.04</v>
      </c>
      <c r="AK124" s="55">
        <f t="shared" si="120"/>
        <v>186.04</v>
      </c>
      <c r="AL124" s="55">
        <f t="shared" si="87"/>
        <v>0</v>
      </c>
      <c r="AM124" s="71">
        <v>0</v>
      </c>
      <c r="AN124" s="55">
        <f t="shared" si="121"/>
        <v>0</v>
      </c>
      <c r="AO124" s="55">
        <f t="shared" si="88"/>
        <v>30081.970000000059</v>
      </c>
      <c r="AP124" s="55">
        <f t="shared" si="89"/>
        <v>2496.39</v>
      </c>
      <c r="AQ124" s="55">
        <f t="shared" si="122"/>
        <v>0</v>
      </c>
      <c r="AS124" s="70">
        <v>47300</v>
      </c>
      <c r="AT124" s="55">
        <f t="shared" si="90"/>
        <v>0</v>
      </c>
      <c r="AU124" s="55">
        <f t="shared" si="91"/>
        <v>204.6</v>
      </c>
      <c r="AV124" s="55">
        <f t="shared" si="123"/>
        <v>204.6</v>
      </c>
      <c r="AW124" s="55">
        <f t="shared" si="92"/>
        <v>0</v>
      </c>
      <c r="AX124" s="71">
        <v>0</v>
      </c>
      <c r="AY124" s="55">
        <f t="shared" si="124"/>
        <v>0</v>
      </c>
      <c r="AZ124" s="55">
        <f t="shared" si="93"/>
        <v>34182.52999999989</v>
      </c>
      <c r="BA124" s="55">
        <f t="shared" si="94"/>
        <v>2100.6699999999996</v>
      </c>
      <c r="BB124" s="55">
        <f t="shared" si="125"/>
        <v>0</v>
      </c>
      <c r="BD124" s="70">
        <v>47300</v>
      </c>
      <c r="BE124" s="55">
        <f t="shared" si="95"/>
        <v>0</v>
      </c>
      <c r="BF124" s="55">
        <f t="shared" si="96"/>
        <v>221.51</v>
      </c>
      <c r="BG124" s="55">
        <f t="shared" si="126"/>
        <v>221.51</v>
      </c>
      <c r="BH124" s="55">
        <f t="shared" si="97"/>
        <v>0</v>
      </c>
      <c r="BI124" s="71">
        <v>0</v>
      </c>
      <c r="BJ124" s="55">
        <f t="shared" si="127"/>
        <v>0</v>
      </c>
      <c r="BK124" s="55">
        <f t="shared" si="98"/>
        <v>39456.919999999962</v>
      </c>
      <c r="BL124" s="55">
        <f t="shared" si="99"/>
        <v>984.92</v>
      </c>
      <c r="BM124" s="55">
        <f t="shared" si="128"/>
        <v>0</v>
      </c>
    </row>
    <row r="125" spans="1:65" x14ac:dyDescent="0.25">
      <c r="A125" s="70">
        <v>47150</v>
      </c>
      <c r="B125" s="55">
        <f t="shared" si="107"/>
        <v>1454.82</v>
      </c>
      <c r="C125" s="55">
        <f t="shared" si="135"/>
        <v>0</v>
      </c>
      <c r="D125" s="55">
        <f t="shared" si="136"/>
        <v>0</v>
      </c>
      <c r="E125" s="55">
        <f t="shared" si="137"/>
        <v>0</v>
      </c>
      <c r="F125" s="55">
        <f t="shared" si="138"/>
        <v>0</v>
      </c>
      <c r="G125" s="55">
        <f t="shared" si="134"/>
        <v>1454.82</v>
      </c>
      <c r="J125">
        <f t="shared" si="133"/>
        <v>10</v>
      </c>
      <c r="K125" s="70">
        <v>47150</v>
      </c>
      <c r="L125" s="55">
        <f t="shared" si="108"/>
        <v>85089.579999999871</v>
      </c>
      <c r="M125" s="55">
        <f t="shared" si="109"/>
        <v>727.41</v>
      </c>
      <c r="N125" s="55">
        <f t="shared" si="110"/>
        <v>434.55999999999995</v>
      </c>
      <c r="O125" s="55">
        <f t="shared" si="111"/>
        <v>292.85000000000002</v>
      </c>
      <c r="P125" s="71">
        <v>727.41</v>
      </c>
      <c r="Q125" s="55">
        <f t="shared" si="112"/>
        <v>1454.82</v>
      </c>
      <c r="R125" s="55">
        <f t="shared" si="113"/>
        <v>66072.390000000014</v>
      </c>
      <c r="S125" s="55">
        <f t="shared" si="114"/>
        <v>48858.389999999992</v>
      </c>
      <c r="T125" s="55">
        <f t="shared" si="115"/>
        <v>83927.60999999987</v>
      </c>
      <c r="U125" s="57">
        <f t="shared" si="116"/>
        <v>96072.390000000014</v>
      </c>
      <c r="W125" s="70">
        <v>47331</v>
      </c>
      <c r="X125" s="55">
        <f t="shared" si="100"/>
        <v>0</v>
      </c>
      <c r="Y125" s="55">
        <f t="shared" si="101"/>
        <v>544.78</v>
      </c>
      <c r="Z125" s="55">
        <f t="shared" si="117"/>
        <v>544.78</v>
      </c>
      <c r="AA125" s="55">
        <f t="shared" si="102"/>
        <v>0</v>
      </c>
      <c r="AB125" s="71">
        <v>0</v>
      </c>
      <c r="AC125" s="55">
        <f t="shared" si="118"/>
        <v>0</v>
      </c>
      <c r="AD125" s="55">
        <f t="shared" si="103"/>
        <v>80054.649999999951</v>
      </c>
      <c r="AE125" s="55">
        <f t="shared" si="104"/>
        <v>8935.9199999999946</v>
      </c>
      <c r="AF125" s="55">
        <f t="shared" si="119"/>
        <v>0</v>
      </c>
      <c r="AH125" s="70">
        <v>47331</v>
      </c>
      <c r="AI125" s="55">
        <f t="shared" si="85"/>
        <v>0</v>
      </c>
      <c r="AJ125" s="55">
        <f t="shared" si="86"/>
        <v>186.04</v>
      </c>
      <c r="AK125" s="55">
        <f t="shared" si="120"/>
        <v>186.04</v>
      </c>
      <c r="AL125" s="55">
        <f t="shared" si="87"/>
        <v>0</v>
      </c>
      <c r="AM125" s="71">
        <v>0</v>
      </c>
      <c r="AN125" s="55">
        <f t="shared" si="121"/>
        <v>0</v>
      </c>
      <c r="AO125" s="55">
        <f t="shared" si="88"/>
        <v>30268.01000000006</v>
      </c>
      <c r="AP125" s="55">
        <f t="shared" si="89"/>
        <v>2496.39</v>
      </c>
      <c r="AQ125" s="55">
        <f t="shared" si="122"/>
        <v>0</v>
      </c>
      <c r="AS125" s="70">
        <v>47331</v>
      </c>
      <c r="AT125" s="55">
        <f t="shared" si="90"/>
        <v>0</v>
      </c>
      <c r="AU125" s="55">
        <f t="shared" si="91"/>
        <v>204.6</v>
      </c>
      <c r="AV125" s="55">
        <f t="shared" si="123"/>
        <v>204.6</v>
      </c>
      <c r="AW125" s="55">
        <f t="shared" si="92"/>
        <v>0</v>
      </c>
      <c r="AX125" s="71">
        <v>0</v>
      </c>
      <c r="AY125" s="55">
        <f t="shared" si="124"/>
        <v>0</v>
      </c>
      <c r="AZ125" s="55">
        <f t="shared" si="93"/>
        <v>34387.129999999888</v>
      </c>
      <c r="BA125" s="55">
        <f t="shared" si="94"/>
        <v>2100.6699999999996</v>
      </c>
      <c r="BB125" s="55">
        <f t="shared" si="125"/>
        <v>0</v>
      </c>
      <c r="BD125" s="70">
        <v>47331</v>
      </c>
      <c r="BE125" s="55">
        <f t="shared" si="95"/>
        <v>0</v>
      </c>
      <c r="BF125" s="55">
        <f t="shared" si="96"/>
        <v>221.51</v>
      </c>
      <c r="BG125" s="55">
        <f t="shared" si="126"/>
        <v>221.51</v>
      </c>
      <c r="BH125" s="55">
        <f t="shared" si="97"/>
        <v>0</v>
      </c>
      <c r="BI125" s="71">
        <v>0</v>
      </c>
      <c r="BJ125" s="55">
        <f t="shared" si="127"/>
        <v>0</v>
      </c>
      <c r="BK125" s="55">
        <f t="shared" si="98"/>
        <v>39678.429999999964</v>
      </c>
      <c r="BL125" s="55">
        <f t="shared" si="99"/>
        <v>984.92</v>
      </c>
      <c r="BM125" s="55">
        <f t="shared" si="128"/>
        <v>0</v>
      </c>
    </row>
    <row r="126" spans="1:65" x14ac:dyDescent="0.25">
      <c r="A126" s="70">
        <v>47178</v>
      </c>
      <c r="B126" s="55">
        <f t="shared" si="107"/>
        <v>1454.82</v>
      </c>
      <c r="C126" s="55">
        <f t="shared" si="135"/>
        <v>0</v>
      </c>
      <c r="D126" s="55">
        <f t="shared" si="136"/>
        <v>0</v>
      </c>
      <c r="E126" s="55">
        <f t="shared" si="137"/>
        <v>0</v>
      </c>
      <c r="F126" s="55">
        <f t="shared" si="138"/>
        <v>0</v>
      </c>
      <c r="G126" s="55">
        <f t="shared" si="134"/>
        <v>1454.82</v>
      </c>
      <c r="J126">
        <f t="shared" si="133"/>
        <v>10</v>
      </c>
      <c r="K126" s="70">
        <v>47178</v>
      </c>
      <c r="L126" s="55">
        <f t="shared" si="108"/>
        <v>83927.60999999987</v>
      </c>
      <c r="M126" s="55">
        <f t="shared" si="109"/>
        <v>727.41</v>
      </c>
      <c r="N126" s="55">
        <f t="shared" si="110"/>
        <v>438.55999999999995</v>
      </c>
      <c r="O126" s="55">
        <f t="shared" si="111"/>
        <v>288.85000000000002</v>
      </c>
      <c r="P126" s="71">
        <v>727.41</v>
      </c>
      <c r="Q126" s="55">
        <f t="shared" si="112"/>
        <v>1454.82</v>
      </c>
      <c r="R126" s="55">
        <f t="shared" si="113"/>
        <v>67238.360000000015</v>
      </c>
      <c r="S126" s="55">
        <f t="shared" si="114"/>
        <v>49147.239999999991</v>
      </c>
      <c r="T126" s="55">
        <f t="shared" si="115"/>
        <v>82761.639999999868</v>
      </c>
      <c r="U126" s="57">
        <f t="shared" si="116"/>
        <v>97238.360000000015</v>
      </c>
      <c r="W126" s="70">
        <v>47362</v>
      </c>
      <c r="X126" s="55">
        <f t="shared" si="100"/>
        <v>0</v>
      </c>
      <c r="Y126" s="55">
        <f t="shared" si="101"/>
        <v>544.78</v>
      </c>
      <c r="Z126" s="55">
        <f t="shared" si="117"/>
        <v>544.78</v>
      </c>
      <c r="AA126" s="55">
        <f t="shared" si="102"/>
        <v>0</v>
      </c>
      <c r="AB126" s="71">
        <v>0</v>
      </c>
      <c r="AC126" s="55">
        <f t="shared" si="118"/>
        <v>0</v>
      </c>
      <c r="AD126" s="55">
        <f t="shared" si="103"/>
        <v>80599.429999999949</v>
      </c>
      <c r="AE126" s="55">
        <f t="shared" si="104"/>
        <v>8935.9199999999946</v>
      </c>
      <c r="AF126" s="55">
        <f t="shared" si="119"/>
        <v>0</v>
      </c>
      <c r="AH126" s="70">
        <v>47362</v>
      </c>
      <c r="AI126" s="55">
        <f t="shared" si="85"/>
        <v>0</v>
      </c>
      <c r="AJ126" s="55">
        <f t="shared" si="86"/>
        <v>186.04</v>
      </c>
      <c r="AK126" s="55">
        <f t="shared" si="120"/>
        <v>186.04</v>
      </c>
      <c r="AL126" s="55">
        <f t="shared" si="87"/>
        <v>0</v>
      </c>
      <c r="AM126" s="71">
        <v>0</v>
      </c>
      <c r="AN126" s="55">
        <f t="shared" si="121"/>
        <v>0</v>
      </c>
      <c r="AO126" s="55">
        <f t="shared" si="88"/>
        <v>30454.050000000061</v>
      </c>
      <c r="AP126" s="55">
        <f t="shared" si="89"/>
        <v>2496.39</v>
      </c>
      <c r="AQ126" s="55">
        <f t="shared" si="122"/>
        <v>0</v>
      </c>
      <c r="AS126" s="70">
        <v>47362</v>
      </c>
      <c r="AT126" s="55">
        <f t="shared" si="90"/>
        <v>0</v>
      </c>
      <c r="AU126" s="55">
        <f t="shared" si="91"/>
        <v>204.6</v>
      </c>
      <c r="AV126" s="55">
        <f t="shared" si="123"/>
        <v>204.6</v>
      </c>
      <c r="AW126" s="55">
        <f t="shared" si="92"/>
        <v>0</v>
      </c>
      <c r="AX126" s="71">
        <v>0</v>
      </c>
      <c r="AY126" s="55">
        <f t="shared" si="124"/>
        <v>0</v>
      </c>
      <c r="AZ126" s="55">
        <f t="shared" si="93"/>
        <v>34591.729999999887</v>
      </c>
      <c r="BA126" s="55">
        <f t="shared" si="94"/>
        <v>2100.6699999999996</v>
      </c>
      <c r="BB126" s="55">
        <f t="shared" si="125"/>
        <v>0</v>
      </c>
      <c r="BD126" s="70">
        <v>47362</v>
      </c>
      <c r="BE126" s="55">
        <f t="shared" si="95"/>
        <v>0</v>
      </c>
      <c r="BF126" s="55">
        <f t="shared" si="96"/>
        <v>221.51</v>
      </c>
      <c r="BG126" s="55">
        <f t="shared" si="126"/>
        <v>221.51</v>
      </c>
      <c r="BH126" s="55">
        <f t="shared" si="97"/>
        <v>0</v>
      </c>
      <c r="BI126" s="71">
        <v>0</v>
      </c>
      <c r="BJ126" s="55">
        <f t="shared" si="127"/>
        <v>0</v>
      </c>
      <c r="BK126" s="55">
        <f t="shared" si="98"/>
        <v>39899.939999999966</v>
      </c>
      <c r="BL126" s="55">
        <f t="shared" si="99"/>
        <v>984.92</v>
      </c>
      <c r="BM126" s="55">
        <f t="shared" si="128"/>
        <v>0</v>
      </c>
    </row>
    <row r="127" spans="1:65" x14ac:dyDescent="0.25">
      <c r="A127" s="70">
        <v>47209</v>
      </c>
      <c r="B127" s="55">
        <f t="shared" si="107"/>
        <v>1454.82</v>
      </c>
      <c r="C127" s="55">
        <f t="shared" si="135"/>
        <v>0</v>
      </c>
      <c r="D127" s="55">
        <f t="shared" si="136"/>
        <v>0</v>
      </c>
      <c r="E127" s="55">
        <f t="shared" si="137"/>
        <v>0</v>
      </c>
      <c r="F127" s="55">
        <f t="shared" si="138"/>
        <v>0</v>
      </c>
      <c r="G127" s="55">
        <f t="shared" si="134"/>
        <v>1454.82</v>
      </c>
      <c r="J127">
        <f t="shared" si="133"/>
        <v>10</v>
      </c>
      <c r="K127" s="70">
        <v>47209</v>
      </c>
      <c r="L127" s="55">
        <f t="shared" si="108"/>
        <v>82761.639999999868</v>
      </c>
      <c r="M127" s="55">
        <f t="shared" si="109"/>
        <v>727.41</v>
      </c>
      <c r="N127" s="55">
        <f t="shared" si="110"/>
        <v>442.57</v>
      </c>
      <c r="O127" s="55">
        <f t="shared" si="111"/>
        <v>284.83999999999997</v>
      </c>
      <c r="P127" s="71">
        <v>727.41</v>
      </c>
      <c r="Q127" s="55">
        <f t="shared" si="112"/>
        <v>1454.82</v>
      </c>
      <c r="R127" s="55">
        <f t="shared" si="113"/>
        <v>68408.340000000011</v>
      </c>
      <c r="S127" s="55">
        <f t="shared" si="114"/>
        <v>49432.079999999987</v>
      </c>
      <c r="T127" s="55">
        <f t="shared" si="115"/>
        <v>81591.659999999858</v>
      </c>
      <c r="U127" s="57">
        <f t="shared" si="116"/>
        <v>98408.340000000011</v>
      </c>
      <c r="W127" s="70">
        <v>47392</v>
      </c>
      <c r="X127" s="55">
        <f t="shared" si="100"/>
        <v>0</v>
      </c>
      <c r="Y127" s="55">
        <f t="shared" si="101"/>
        <v>544.78</v>
      </c>
      <c r="Z127" s="55">
        <f t="shared" si="117"/>
        <v>544.78</v>
      </c>
      <c r="AA127" s="55">
        <f t="shared" si="102"/>
        <v>0</v>
      </c>
      <c r="AB127" s="71">
        <v>0</v>
      </c>
      <c r="AC127" s="55">
        <f t="shared" si="118"/>
        <v>0</v>
      </c>
      <c r="AD127" s="55">
        <f t="shared" si="103"/>
        <v>81144.209999999948</v>
      </c>
      <c r="AE127" s="55">
        <f t="shared" si="104"/>
        <v>8935.9199999999946</v>
      </c>
      <c r="AF127" s="55">
        <f t="shared" si="119"/>
        <v>0</v>
      </c>
      <c r="AH127" s="70">
        <v>47392</v>
      </c>
      <c r="AI127" s="55">
        <f t="shared" si="85"/>
        <v>0</v>
      </c>
      <c r="AJ127" s="55">
        <f t="shared" si="86"/>
        <v>186.04</v>
      </c>
      <c r="AK127" s="55">
        <f t="shared" si="120"/>
        <v>186.04</v>
      </c>
      <c r="AL127" s="55">
        <f t="shared" si="87"/>
        <v>0</v>
      </c>
      <c r="AM127" s="71">
        <v>0</v>
      </c>
      <c r="AN127" s="55">
        <f t="shared" si="121"/>
        <v>0</v>
      </c>
      <c r="AO127" s="55">
        <f t="shared" si="88"/>
        <v>30640.090000000062</v>
      </c>
      <c r="AP127" s="55">
        <f t="shared" si="89"/>
        <v>2496.39</v>
      </c>
      <c r="AQ127" s="55">
        <f t="shared" si="122"/>
        <v>0</v>
      </c>
      <c r="AS127" s="70">
        <v>47392</v>
      </c>
      <c r="AT127" s="55">
        <f t="shared" si="90"/>
        <v>0</v>
      </c>
      <c r="AU127" s="55">
        <f t="shared" si="91"/>
        <v>204.6</v>
      </c>
      <c r="AV127" s="55">
        <f t="shared" si="123"/>
        <v>204.6</v>
      </c>
      <c r="AW127" s="55">
        <f t="shared" si="92"/>
        <v>0</v>
      </c>
      <c r="AX127" s="71">
        <v>0</v>
      </c>
      <c r="AY127" s="55">
        <f t="shared" si="124"/>
        <v>0</v>
      </c>
      <c r="AZ127" s="55">
        <f t="shared" si="93"/>
        <v>34796.329999999885</v>
      </c>
      <c r="BA127" s="55">
        <f t="shared" si="94"/>
        <v>2100.6699999999996</v>
      </c>
      <c r="BB127" s="55">
        <f t="shared" si="125"/>
        <v>0</v>
      </c>
      <c r="BD127" s="70">
        <v>47392</v>
      </c>
      <c r="BE127" s="55">
        <f t="shared" si="95"/>
        <v>0</v>
      </c>
      <c r="BF127" s="55">
        <f t="shared" si="96"/>
        <v>221.51</v>
      </c>
      <c r="BG127" s="55">
        <f t="shared" si="126"/>
        <v>221.51</v>
      </c>
      <c r="BH127" s="55">
        <f t="shared" si="97"/>
        <v>0</v>
      </c>
      <c r="BI127" s="71">
        <v>0</v>
      </c>
      <c r="BJ127" s="55">
        <f t="shared" si="127"/>
        <v>0</v>
      </c>
      <c r="BK127" s="55">
        <f t="shared" si="98"/>
        <v>40121.449999999968</v>
      </c>
      <c r="BL127" s="55">
        <f t="shared" si="99"/>
        <v>984.92</v>
      </c>
      <c r="BM127" s="55">
        <f t="shared" si="128"/>
        <v>0</v>
      </c>
    </row>
    <row r="128" spans="1:65" x14ac:dyDescent="0.25">
      <c r="A128" s="70">
        <v>47239</v>
      </c>
      <c r="B128" s="55">
        <f t="shared" si="107"/>
        <v>1454.82</v>
      </c>
      <c r="C128" s="55">
        <f t="shared" si="135"/>
        <v>0</v>
      </c>
      <c r="D128" s="55">
        <f t="shared" si="136"/>
        <v>0</v>
      </c>
      <c r="E128" s="55">
        <f t="shared" si="137"/>
        <v>0</v>
      </c>
      <c r="F128" s="55">
        <f t="shared" si="138"/>
        <v>0</v>
      </c>
      <c r="G128" s="55">
        <f t="shared" si="134"/>
        <v>1454.82</v>
      </c>
      <c r="J128">
        <f t="shared" si="133"/>
        <v>10</v>
      </c>
      <c r="K128" s="70">
        <v>47239</v>
      </c>
      <c r="L128" s="55">
        <f t="shared" si="108"/>
        <v>81591.659999999858</v>
      </c>
      <c r="M128" s="55">
        <f t="shared" si="109"/>
        <v>727.41</v>
      </c>
      <c r="N128" s="55">
        <f t="shared" si="110"/>
        <v>446.59999999999997</v>
      </c>
      <c r="O128" s="55">
        <f t="shared" si="111"/>
        <v>280.81</v>
      </c>
      <c r="P128" s="71">
        <v>727.41</v>
      </c>
      <c r="Q128" s="55">
        <f t="shared" si="112"/>
        <v>1454.82</v>
      </c>
      <c r="R128" s="55">
        <f t="shared" si="113"/>
        <v>69582.350000000006</v>
      </c>
      <c r="S128" s="55">
        <f t="shared" si="114"/>
        <v>49712.889999999985</v>
      </c>
      <c r="T128" s="55">
        <f t="shared" si="115"/>
        <v>80417.649999999849</v>
      </c>
      <c r="U128" s="57">
        <f t="shared" si="116"/>
        <v>99582.35</v>
      </c>
      <c r="W128" s="70">
        <v>47423</v>
      </c>
      <c r="X128" s="55">
        <f t="shared" si="100"/>
        <v>0</v>
      </c>
      <c r="Y128" s="55">
        <f t="shared" si="101"/>
        <v>544.78</v>
      </c>
      <c r="Z128" s="55">
        <f t="shared" si="117"/>
        <v>544.78</v>
      </c>
      <c r="AA128" s="55">
        <f t="shared" si="102"/>
        <v>0</v>
      </c>
      <c r="AB128" s="71">
        <v>0</v>
      </c>
      <c r="AC128" s="55">
        <f t="shared" si="118"/>
        <v>0</v>
      </c>
      <c r="AD128" s="55">
        <f t="shared" si="103"/>
        <v>81688.989999999947</v>
      </c>
      <c r="AE128" s="55">
        <f t="shared" si="104"/>
        <v>8935.9199999999946</v>
      </c>
      <c r="AF128" s="55">
        <f t="shared" si="119"/>
        <v>0</v>
      </c>
      <c r="AH128" s="70">
        <v>47423</v>
      </c>
      <c r="AI128" s="55">
        <f t="shared" ref="AI128:AI142" si="139">AQ127</f>
        <v>0</v>
      </c>
      <c r="AJ128" s="55">
        <f t="shared" ref="AJ128:AJ142" si="140">AH$11</f>
        <v>186.04</v>
      </c>
      <c r="AK128" s="55">
        <f t="shared" si="120"/>
        <v>186.04</v>
      </c>
      <c r="AL128" s="55">
        <f t="shared" ref="AL128:AL142" si="141">ROUND(AI128*AH$8/12,2)</f>
        <v>0</v>
      </c>
      <c r="AM128" s="71">
        <v>0</v>
      </c>
      <c r="AN128" s="55">
        <f t="shared" si="121"/>
        <v>0</v>
      </c>
      <c r="AO128" s="55">
        <f t="shared" ref="AO128:AO142" si="142">AK128+AM128+AO127</f>
        <v>30826.130000000063</v>
      </c>
      <c r="AP128" s="55">
        <f t="shared" ref="AP128:AP142" si="143">AL128+AP127</f>
        <v>2496.39</v>
      </c>
      <c r="AQ128" s="55">
        <f t="shared" si="122"/>
        <v>0</v>
      </c>
      <c r="AS128" s="70">
        <v>47423</v>
      </c>
      <c r="AT128" s="55">
        <f t="shared" ref="AT128:AT142" si="144">BB127</f>
        <v>0</v>
      </c>
      <c r="AU128" s="55">
        <f t="shared" ref="AU128:AU142" si="145">AS$11</f>
        <v>204.6</v>
      </c>
      <c r="AV128" s="55">
        <f t="shared" si="123"/>
        <v>204.6</v>
      </c>
      <c r="AW128" s="55">
        <f t="shared" ref="AW128:AW142" si="146">ROUND(AT128*AS$8/12,2)</f>
        <v>0</v>
      </c>
      <c r="AX128" s="71">
        <v>0</v>
      </c>
      <c r="AY128" s="55">
        <f t="shared" si="124"/>
        <v>0</v>
      </c>
      <c r="AZ128" s="55">
        <f t="shared" ref="AZ128:AZ142" si="147">AV128+AX128+AZ127</f>
        <v>35000.929999999884</v>
      </c>
      <c r="BA128" s="55">
        <f t="shared" ref="BA128:BA142" si="148">AW128+BA127</f>
        <v>2100.6699999999996</v>
      </c>
      <c r="BB128" s="55">
        <f t="shared" si="125"/>
        <v>0</v>
      </c>
      <c r="BD128" s="70">
        <v>47423</v>
      </c>
      <c r="BE128" s="55">
        <f t="shared" ref="BE128:BE142" si="149">BM127</f>
        <v>0</v>
      </c>
      <c r="BF128" s="55">
        <f t="shared" ref="BF128:BF142" si="150">BD$11</f>
        <v>221.51</v>
      </c>
      <c r="BG128" s="55">
        <f t="shared" si="126"/>
        <v>221.51</v>
      </c>
      <c r="BH128" s="55">
        <f t="shared" ref="BH128:BH142" si="151">ROUND(BE128*BD$8/12,2)</f>
        <v>0</v>
      </c>
      <c r="BI128" s="71">
        <v>0</v>
      </c>
      <c r="BJ128" s="55">
        <f t="shared" si="127"/>
        <v>0</v>
      </c>
      <c r="BK128" s="55">
        <f t="shared" ref="BK128:BK142" si="152">BG128+BI128+BK127</f>
        <v>40342.95999999997</v>
      </c>
      <c r="BL128" s="55">
        <f t="shared" ref="BL128:BL142" si="153">BH128+BL127</f>
        <v>984.92</v>
      </c>
      <c r="BM128" s="55">
        <f t="shared" si="128"/>
        <v>0</v>
      </c>
    </row>
    <row r="129" spans="1:65" x14ac:dyDescent="0.25">
      <c r="A129" s="70">
        <v>47270</v>
      </c>
      <c r="B129" s="55">
        <f t="shared" si="107"/>
        <v>1454.82</v>
      </c>
      <c r="C129" s="55">
        <f t="shared" si="135"/>
        <v>0</v>
      </c>
      <c r="D129" s="55">
        <f t="shared" si="136"/>
        <v>0</v>
      </c>
      <c r="E129" s="55">
        <f t="shared" si="137"/>
        <v>0</v>
      </c>
      <c r="F129" s="55">
        <f t="shared" si="138"/>
        <v>0</v>
      </c>
      <c r="G129" s="55">
        <f t="shared" si="134"/>
        <v>1454.82</v>
      </c>
      <c r="J129">
        <f t="shared" si="133"/>
        <v>10</v>
      </c>
      <c r="K129" s="70">
        <v>47270</v>
      </c>
      <c r="L129" s="55">
        <f t="shared" si="108"/>
        <v>80417.649999999849</v>
      </c>
      <c r="M129" s="55">
        <f t="shared" si="109"/>
        <v>727.41</v>
      </c>
      <c r="N129" s="55">
        <f t="shared" si="110"/>
        <v>450.64</v>
      </c>
      <c r="O129" s="55">
        <f t="shared" si="111"/>
        <v>276.77</v>
      </c>
      <c r="P129" s="71">
        <v>727.41</v>
      </c>
      <c r="Q129" s="55">
        <f t="shared" si="112"/>
        <v>1454.82</v>
      </c>
      <c r="R129" s="55">
        <f t="shared" si="113"/>
        <v>70760.400000000009</v>
      </c>
      <c r="S129" s="55">
        <f t="shared" si="114"/>
        <v>49989.659999999982</v>
      </c>
      <c r="T129" s="55">
        <f t="shared" si="115"/>
        <v>79239.599999999846</v>
      </c>
      <c r="U129" s="57">
        <f t="shared" si="116"/>
        <v>100760.40000000001</v>
      </c>
      <c r="W129" s="70">
        <v>47453</v>
      </c>
      <c r="X129" s="55">
        <f t="shared" si="100"/>
        <v>0</v>
      </c>
      <c r="Y129" s="55">
        <f t="shared" si="101"/>
        <v>544.78</v>
      </c>
      <c r="Z129" s="55">
        <f t="shared" si="117"/>
        <v>544.78</v>
      </c>
      <c r="AA129" s="55">
        <f t="shared" si="102"/>
        <v>0</v>
      </c>
      <c r="AB129" s="71">
        <v>0</v>
      </c>
      <c r="AC129" s="55">
        <f t="shared" si="118"/>
        <v>0</v>
      </c>
      <c r="AD129" s="55">
        <f t="shared" si="103"/>
        <v>82233.769999999946</v>
      </c>
      <c r="AE129" s="55">
        <f t="shared" si="104"/>
        <v>8935.9199999999946</v>
      </c>
      <c r="AF129" s="55">
        <f t="shared" si="119"/>
        <v>0</v>
      </c>
      <c r="AH129" s="70">
        <v>47453</v>
      </c>
      <c r="AI129" s="55">
        <f t="shared" si="139"/>
        <v>0</v>
      </c>
      <c r="AJ129" s="55">
        <f t="shared" si="140"/>
        <v>186.04</v>
      </c>
      <c r="AK129" s="55">
        <f t="shared" si="120"/>
        <v>186.04</v>
      </c>
      <c r="AL129" s="55">
        <f t="shared" si="141"/>
        <v>0</v>
      </c>
      <c r="AM129" s="71">
        <v>0</v>
      </c>
      <c r="AN129" s="55">
        <f t="shared" si="121"/>
        <v>0</v>
      </c>
      <c r="AO129" s="55">
        <f t="shared" si="142"/>
        <v>31012.170000000064</v>
      </c>
      <c r="AP129" s="55">
        <f t="shared" si="143"/>
        <v>2496.39</v>
      </c>
      <c r="AQ129" s="55">
        <f t="shared" si="122"/>
        <v>0</v>
      </c>
      <c r="AS129" s="70">
        <v>47453</v>
      </c>
      <c r="AT129" s="55">
        <f t="shared" si="144"/>
        <v>0</v>
      </c>
      <c r="AU129" s="55">
        <f t="shared" si="145"/>
        <v>204.6</v>
      </c>
      <c r="AV129" s="55">
        <f t="shared" si="123"/>
        <v>204.6</v>
      </c>
      <c r="AW129" s="55">
        <f t="shared" si="146"/>
        <v>0</v>
      </c>
      <c r="AX129" s="71">
        <v>0</v>
      </c>
      <c r="AY129" s="55">
        <f t="shared" si="124"/>
        <v>0</v>
      </c>
      <c r="AZ129" s="55">
        <f t="shared" si="147"/>
        <v>35205.529999999882</v>
      </c>
      <c r="BA129" s="55">
        <f t="shared" si="148"/>
        <v>2100.6699999999996</v>
      </c>
      <c r="BB129" s="55">
        <f t="shared" si="125"/>
        <v>0</v>
      </c>
      <c r="BD129" s="70">
        <v>47453</v>
      </c>
      <c r="BE129" s="55">
        <f t="shared" si="149"/>
        <v>0</v>
      </c>
      <c r="BF129" s="55">
        <f t="shared" si="150"/>
        <v>221.51</v>
      </c>
      <c r="BG129" s="55">
        <f t="shared" si="126"/>
        <v>221.51</v>
      </c>
      <c r="BH129" s="55">
        <f t="shared" si="151"/>
        <v>0</v>
      </c>
      <c r="BI129" s="71">
        <v>0</v>
      </c>
      <c r="BJ129" s="55">
        <f t="shared" si="127"/>
        <v>0</v>
      </c>
      <c r="BK129" s="55">
        <f t="shared" si="152"/>
        <v>40564.469999999972</v>
      </c>
      <c r="BL129" s="55">
        <f t="shared" si="153"/>
        <v>984.92</v>
      </c>
      <c r="BM129" s="55">
        <f t="shared" si="128"/>
        <v>0</v>
      </c>
    </row>
    <row r="130" spans="1:65" x14ac:dyDescent="0.25">
      <c r="A130" s="70">
        <v>47300</v>
      </c>
      <c r="B130" s="55">
        <f t="shared" si="107"/>
        <v>1454.82</v>
      </c>
      <c r="C130" s="55">
        <f t="shared" si="135"/>
        <v>0</v>
      </c>
      <c r="D130" s="55">
        <f t="shared" si="136"/>
        <v>0</v>
      </c>
      <c r="E130" s="55">
        <f t="shared" si="137"/>
        <v>0</v>
      </c>
      <c r="F130" s="55">
        <f t="shared" si="138"/>
        <v>0</v>
      </c>
      <c r="G130" s="55">
        <f t="shared" si="134"/>
        <v>1454.82</v>
      </c>
      <c r="J130">
        <f t="shared" si="133"/>
        <v>10</v>
      </c>
      <c r="K130" s="70">
        <v>47300</v>
      </c>
      <c r="L130" s="55">
        <f t="shared" si="108"/>
        <v>79239.599999999846</v>
      </c>
      <c r="M130" s="55">
        <f t="shared" si="109"/>
        <v>727.41</v>
      </c>
      <c r="N130" s="55">
        <f t="shared" si="110"/>
        <v>454.68999999999994</v>
      </c>
      <c r="O130" s="55">
        <f t="shared" si="111"/>
        <v>272.72000000000003</v>
      </c>
      <c r="P130" s="71">
        <v>727.41</v>
      </c>
      <c r="Q130" s="55">
        <f t="shared" si="112"/>
        <v>1454.82</v>
      </c>
      <c r="R130" s="55">
        <f t="shared" si="113"/>
        <v>71942.500000000015</v>
      </c>
      <c r="S130" s="55">
        <f t="shared" si="114"/>
        <v>50262.379999999983</v>
      </c>
      <c r="T130" s="55">
        <f t="shared" si="115"/>
        <v>78057.49999999984</v>
      </c>
      <c r="U130" s="57">
        <f t="shared" si="116"/>
        <v>101942.50000000001</v>
      </c>
      <c r="W130" s="70">
        <v>47484</v>
      </c>
      <c r="X130" s="55">
        <f t="shared" ref="X130:X142" si="154">AF129</f>
        <v>0</v>
      </c>
      <c r="Y130" s="55">
        <f t="shared" ref="Y130:Y142" si="155">W$11</f>
        <v>544.78</v>
      </c>
      <c r="Z130" s="55">
        <f t="shared" si="117"/>
        <v>544.78</v>
      </c>
      <c r="AA130" s="55">
        <f t="shared" ref="AA130:AA142" si="156">ROUND(X130*W$8/12,2)</f>
        <v>0</v>
      </c>
      <c r="AB130" s="71">
        <v>0</v>
      </c>
      <c r="AC130" s="55">
        <f t="shared" si="118"/>
        <v>0</v>
      </c>
      <c r="AD130" s="55">
        <f t="shared" ref="AD130:AD142" si="157">Z130+AB130+AD129</f>
        <v>82778.549999999945</v>
      </c>
      <c r="AE130" s="55">
        <f t="shared" ref="AE130:AE142" si="158">AA130+AE129</f>
        <v>8935.9199999999946</v>
      </c>
      <c r="AF130" s="55">
        <f t="shared" si="119"/>
        <v>0</v>
      </c>
      <c r="AH130" s="70">
        <v>47484</v>
      </c>
      <c r="AI130" s="55">
        <f t="shared" si="139"/>
        <v>0</v>
      </c>
      <c r="AJ130" s="55">
        <f t="shared" si="140"/>
        <v>186.04</v>
      </c>
      <c r="AK130" s="55">
        <f t="shared" si="120"/>
        <v>186.04</v>
      </c>
      <c r="AL130" s="55">
        <f t="shared" si="141"/>
        <v>0</v>
      </c>
      <c r="AM130" s="71">
        <v>0</v>
      </c>
      <c r="AN130" s="55">
        <f t="shared" si="121"/>
        <v>0</v>
      </c>
      <c r="AO130" s="55">
        <f t="shared" si="142"/>
        <v>31198.210000000065</v>
      </c>
      <c r="AP130" s="55">
        <f t="shared" si="143"/>
        <v>2496.39</v>
      </c>
      <c r="AQ130" s="55">
        <f t="shared" si="122"/>
        <v>0</v>
      </c>
      <c r="AS130" s="70">
        <v>47484</v>
      </c>
      <c r="AT130" s="55">
        <f t="shared" si="144"/>
        <v>0</v>
      </c>
      <c r="AU130" s="55">
        <f t="shared" si="145"/>
        <v>204.6</v>
      </c>
      <c r="AV130" s="55">
        <f t="shared" si="123"/>
        <v>204.6</v>
      </c>
      <c r="AW130" s="55">
        <f t="shared" si="146"/>
        <v>0</v>
      </c>
      <c r="AX130" s="71">
        <v>0</v>
      </c>
      <c r="AY130" s="55">
        <f t="shared" si="124"/>
        <v>0</v>
      </c>
      <c r="AZ130" s="55">
        <f t="shared" si="147"/>
        <v>35410.129999999881</v>
      </c>
      <c r="BA130" s="55">
        <f t="shared" si="148"/>
        <v>2100.6699999999996</v>
      </c>
      <c r="BB130" s="55">
        <f t="shared" si="125"/>
        <v>0</v>
      </c>
      <c r="BD130" s="70">
        <v>47484</v>
      </c>
      <c r="BE130" s="55">
        <f t="shared" si="149"/>
        <v>0</v>
      </c>
      <c r="BF130" s="55">
        <f t="shared" si="150"/>
        <v>221.51</v>
      </c>
      <c r="BG130" s="55">
        <f t="shared" si="126"/>
        <v>221.51</v>
      </c>
      <c r="BH130" s="55">
        <f t="shared" si="151"/>
        <v>0</v>
      </c>
      <c r="BI130" s="71">
        <v>0</v>
      </c>
      <c r="BJ130" s="55">
        <f t="shared" si="127"/>
        <v>0</v>
      </c>
      <c r="BK130" s="55">
        <f t="shared" si="152"/>
        <v>40785.979999999974</v>
      </c>
      <c r="BL130" s="55">
        <f t="shared" si="153"/>
        <v>984.92</v>
      </c>
      <c r="BM130" s="55">
        <f t="shared" si="128"/>
        <v>0</v>
      </c>
    </row>
    <row r="131" spans="1:65" x14ac:dyDescent="0.25">
      <c r="A131" s="70">
        <v>47331</v>
      </c>
      <c r="B131" s="55">
        <f t="shared" si="107"/>
        <v>1454.82</v>
      </c>
      <c r="C131" s="55">
        <f t="shared" si="135"/>
        <v>0</v>
      </c>
      <c r="D131" s="55">
        <f t="shared" si="136"/>
        <v>0</v>
      </c>
      <c r="E131" s="55">
        <f t="shared" si="137"/>
        <v>0</v>
      </c>
      <c r="F131" s="55">
        <f t="shared" si="138"/>
        <v>0</v>
      </c>
      <c r="G131" s="55">
        <f t="shared" si="134"/>
        <v>1454.82</v>
      </c>
      <c r="J131">
        <f t="shared" si="133"/>
        <v>10</v>
      </c>
      <c r="K131" s="70">
        <v>47331</v>
      </c>
      <c r="L131" s="55">
        <f t="shared" si="108"/>
        <v>78057.49999999984</v>
      </c>
      <c r="M131" s="55">
        <f t="shared" si="109"/>
        <v>727.41</v>
      </c>
      <c r="N131" s="55">
        <f t="shared" si="110"/>
        <v>458.76</v>
      </c>
      <c r="O131" s="55">
        <f t="shared" si="111"/>
        <v>268.64999999999998</v>
      </c>
      <c r="P131" s="71">
        <v>727.41</v>
      </c>
      <c r="Q131" s="55">
        <f t="shared" si="112"/>
        <v>1454.82</v>
      </c>
      <c r="R131" s="55">
        <f t="shared" si="113"/>
        <v>73128.670000000013</v>
      </c>
      <c r="S131" s="55">
        <f t="shared" si="114"/>
        <v>50531.029999999984</v>
      </c>
      <c r="T131" s="55">
        <f t="shared" si="115"/>
        <v>76871.329999999842</v>
      </c>
      <c r="U131" s="57">
        <f t="shared" si="116"/>
        <v>103128.67000000001</v>
      </c>
      <c r="W131" s="70">
        <v>47515</v>
      </c>
      <c r="X131" s="55">
        <f t="shared" si="154"/>
        <v>0</v>
      </c>
      <c r="Y131" s="55">
        <f t="shared" si="155"/>
        <v>544.78</v>
      </c>
      <c r="Z131" s="55">
        <f t="shared" si="117"/>
        <v>544.78</v>
      </c>
      <c r="AA131" s="55">
        <f t="shared" si="156"/>
        <v>0</v>
      </c>
      <c r="AB131" s="71">
        <v>0</v>
      </c>
      <c r="AC131" s="55">
        <f t="shared" si="118"/>
        <v>0</v>
      </c>
      <c r="AD131" s="55">
        <f t="shared" si="157"/>
        <v>83323.329999999944</v>
      </c>
      <c r="AE131" s="55">
        <f t="shared" si="158"/>
        <v>8935.9199999999946</v>
      </c>
      <c r="AF131" s="55">
        <f t="shared" si="119"/>
        <v>0</v>
      </c>
      <c r="AH131" s="70">
        <v>47515</v>
      </c>
      <c r="AI131" s="55">
        <f t="shared" si="139"/>
        <v>0</v>
      </c>
      <c r="AJ131" s="55">
        <f t="shared" si="140"/>
        <v>186.04</v>
      </c>
      <c r="AK131" s="55">
        <f t="shared" si="120"/>
        <v>186.04</v>
      </c>
      <c r="AL131" s="55">
        <f t="shared" si="141"/>
        <v>0</v>
      </c>
      <c r="AM131" s="71">
        <v>0</v>
      </c>
      <c r="AN131" s="55">
        <f t="shared" si="121"/>
        <v>0</v>
      </c>
      <c r="AO131" s="55">
        <f t="shared" si="142"/>
        <v>31384.250000000065</v>
      </c>
      <c r="AP131" s="55">
        <f t="shared" si="143"/>
        <v>2496.39</v>
      </c>
      <c r="AQ131" s="55">
        <f t="shared" si="122"/>
        <v>0</v>
      </c>
      <c r="AS131" s="70">
        <v>47515</v>
      </c>
      <c r="AT131" s="55">
        <f t="shared" si="144"/>
        <v>0</v>
      </c>
      <c r="AU131" s="55">
        <f t="shared" si="145"/>
        <v>204.6</v>
      </c>
      <c r="AV131" s="55">
        <f t="shared" si="123"/>
        <v>204.6</v>
      </c>
      <c r="AW131" s="55">
        <f t="shared" si="146"/>
        <v>0</v>
      </c>
      <c r="AX131" s="71">
        <v>0</v>
      </c>
      <c r="AY131" s="55">
        <f t="shared" si="124"/>
        <v>0</v>
      </c>
      <c r="AZ131" s="55">
        <f t="shared" si="147"/>
        <v>35614.72999999988</v>
      </c>
      <c r="BA131" s="55">
        <f t="shared" si="148"/>
        <v>2100.6699999999996</v>
      </c>
      <c r="BB131" s="55">
        <f t="shared" si="125"/>
        <v>0</v>
      </c>
      <c r="BD131" s="70">
        <v>47515</v>
      </c>
      <c r="BE131" s="55">
        <f t="shared" si="149"/>
        <v>0</v>
      </c>
      <c r="BF131" s="55">
        <f t="shared" si="150"/>
        <v>221.51</v>
      </c>
      <c r="BG131" s="55">
        <f t="shared" si="126"/>
        <v>221.51</v>
      </c>
      <c r="BH131" s="55">
        <f t="shared" si="151"/>
        <v>0</v>
      </c>
      <c r="BI131" s="71">
        <v>0</v>
      </c>
      <c r="BJ131" s="55">
        <f t="shared" si="127"/>
        <v>0</v>
      </c>
      <c r="BK131" s="55">
        <f t="shared" si="152"/>
        <v>41007.489999999976</v>
      </c>
      <c r="BL131" s="55">
        <f t="shared" si="153"/>
        <v>984.92</v>
      </c>
      <c r="BM131" s="55">
        <f t="shared" si="128"/>
        <v>0</v>
      </c>
    </row>
    <row r="132" spans="1:65" x14ac:dyDescent="0.25">
      <c r="A132" s="70">
        <v>47362</v>
      </c>
      <c r="B132" s="55">
        <f t="shared" si="107"/>
        <v>1454.82</v>
      </c>
      <c r="C132" s="55">
        <f t="shared" si="135"/>
        <v>0</v>
      </c>
      <c r="D132" s="55">
        <f t="shared" si="136"/>
        <v>0</v>
      </c>
      <c r="E132" s="55">
        <f t="shared" si="137"/>
        <v>0</v>
      </c>
      <c r="F132" s="55">
        <f t="shared" si="138"/>
        <v>0</v>
      </c>
      <c r="G132" s="55">
        <f t="shared" si="134"/>
        <v>1454.82</v>
      </c>
      <c r="J132">
        <f t="shared" si="133"/>
        <v>10</v>
      </c>
      <c r="K132" s="70">
        <v>47362</v>
      </c>
      <c r="L132" s="55">
        <f t="shared" si="108"/>
        <v>76871.329999999842</v>
      </c>
      <c r="M132" s="55">
        <f t="shared" si="109"/>
        <v>727.41</v>
      </c>
      <c r="N132" s="55">
        <f t="shared" si="110"/>
        <v>462.84</v>
      </c>
      <c r="O132" s="55">
        <f t="shared" si="111"/>
        <v>264.57</v>
      </c>
      <c r="P132" s="71">
        <v>727.41</v>
      </c>
      <c r="Q132" s="55">
        <f t="shared" si="112"/>
        <v>1454.82</v>
      </c>
      <c r="R132" s="55">
        <f t="shared" si="113"/>
        <v>74318.920000000013</v>
      </c>
      <c r="S132" s="55">
        <f t="shared" si="114"/>
        <v>50795.599999999984</v>
      </c>
      <c r="T132" s="55">
        <f t="shared" si="115"/>
        <v>75681.079999999842</v>
      </c>
      <c r="U132" s="57">
        <f t="shared" si="116"/>
        <v>104318.92000000001</v>
      </c>
      <c r="W132" s="70">
        <v>47543</v>
      </c>
      <c r="X132" s="55">
        <f t="shared" si="154"/>
        <v>0</v>
      </c>
      <c r="Y132" s="55">
        <f t="shared" si="155"/>
        <v>544.78</v>
      </c>
      <c r="Z132" s="55">
        <f t="shared" si="117"/>
        <v>544.78</v>
      </c>
      <c r="AA132" s="55">
        <f t="shared" si="156"/>
        <v>0</v>
      </c>
      <c r="AB132" s="71">
        <v>0</v>
      </c>
      <c r="AC132" s="55">
        <f t="shared" si="118"/>
        <v>0</v>
      </c>
      <c r="AD132" s="55">
        <f t="shared" si="157"/>
        <v>83868.109999999942</v>
      </c>
      <c r="AE132" s="55">
        <f t="shared" si="158"/>
        <v>8935.9199999999946</v>
      </c>
      <c r="AF132" s="55">
        <f t="shared" si="119"/>
        <v>0</v>
      </c>
      <c r="AH132" s="70">
        <v>47543</v>
      </c>
      <c r="AI132" s="55">
        <f t="shared" si="139"/>
        <v>0</v>
      </c>
      <c r="AJ132" s="55">
        <f t="shared" si="140"/>
        <v>186.04</v>
      </c>
      <c r="AK132" s="55">
        <f t="shared" si="120"/>
        <v>186.04</v>
      </c>
      <c r="AL132" s="55">
        <f t="shared" si="141"/>
        <v>0</v>
      </c>
      <c r="AM132" s="71">
        <v>0</v>
      </c>
      <c r="AN132" s="55">
        <f t="shared" si="121"/>
        <v>0</v>
      </c>
      <c r="AO132" s="55">
        <f t="shared" si="142"/>
        <v>31570.290000000066</v>
      </c>
      <c r="AP132" s="55">
        <f t="shared" si="143"/>
        <v>2496.39</v>
      </c>
      <c r="AQ132" s="55">
        <f t="shared" si="122"/>
        <v>0</v>
      </c>
      <c r="AS132" s="70">
        <v>47543</v>
      </c>
      <c r="AT132" s="55">
        <f t="shared" si="144"/>
        <v>0</v>
      </c>
      <c r="AU132" s="55">
        <f t="shared" si="145"/>
        <v>204.6</v>
      </c>
      <c r="AV132" s="55">
        <f t="shared" si="123"/>
        <v>204.6</v>
      </c>
      <c r="AW132" s="55">
        <f t="shared" si="146"/>
        <v>0</v>
      </c>
      <c r="AX132" s="71">
        <v>0</v>
      </c>
      <c r="AY132" s="55">
        <f t="shared" si="124"/>
        <v>0</v>
      </c>
      <c r="AZ132" s="55">
        <f t="shared" si="147"/>
        <v>35819.329999999878</v>
      </c>
      <c r="BA132" s="55">
        <f t="shared" si="148"/>
        <v>2100.6699999999996</v>
      </c>
      <c r="BB132" s="55">
        <f t="shared" si="125"/>
        <v>0</v>
      </c>
      <c r="BD132" s="70">
        <v>47543</v>
      </c>
      <c r="BE132" s="55">
        <f t="shared" si="149"/>
        <v>0</v>
      </c>
      <c r="BF132" s="55">
        <f t="shared" si="150"/>
        <v>221.51</v>
      </c>
      <c r="BG132" s="55">
        <f t="shared" si="126"/>
        <v>221.51</v>
      </c>
      <c r="BH132" s="55">
        <f t="shared" si="151"/>
        <v>0</v>
      </c>
      <c r="BI132" s="71">
        <v>0</v>
      </c>
      <c r="BJ132" s="55">
        <f t="shared" si="127"/>
        <v>0</v>
      </c>
      <c r="BK132" s="55">
        <f t="shared" si="152"/>
        <v>41228.999999999978</v>
      </c>
      <c r="BL132" s="55">
        <f t="shared" si="153"/>
        <v>984.92</v>
      </c>
      <c r="BM132" s="55">
        <f t="shared" si="128"/>
        <v>0</v>
      </c>
    </row>
    <row r="133" spans="1:65" x14ac:dyDescent="0.25">
      <c r="A133" s="70">
        <v>47392</v>
      </c>
      <c r="B133" s="55">
        <f t="shared" si="107"/>
        <v>1454.82</v>
      </c>
      <c r="C133" s="55">
        <f t="shared" si="135"/>
        <v>0</v>
      </c>
      <c r="D133" s="55">
        <f t="shared" si="136"/>
        <v>0</v>
      </c>
      <c r="E133" s="55">
        <f t="shared" si="137"/>
        <v>0</v>
      </c>
      <c r="F133" s="55">
        <f t="shared" si="138"/>
        <v>0</v>
      </c>
      <c r="G133" s="55">
        <f t="shared" si="134"/>
        <v>1454.82</v>
      </c>
      <c r="J133">
        <f t="shared" si="133"/>
        <v>10</v>
      </c>
      <c r="K133" s="70">
        <v>47392</v>
      </c>
      <c r="L133" s="55">
        <f t="shared" si="108"/>
        <v>75681.079999999842</v>
      </c>
      <c r="M133" s="55">
        <f t="shared" si="109"/>
        <v>727.41</v>
      </c>
      <c r="N133" s="55">
        <f t="shared" si="110"/>
        <v>466.93999999999994</v>
      </c>
      <c r="O133" s="55">
        <f t="shared" si="111"/>
        <v>260.47000000000003</v>
      </c>
      <c r="P133" s="71">
        <v>727.41</v>
      </c>
      <c r="Q133" s="55">
        <f t="shared" si="112"/>
        <v>1454.82</v>
      </c>
      <c r="R133" s="55">
        <f t="shared" si="113"/>
        <v>75513.270000000019</v>
      </c>
      <c r="S133" s="55">
        <f t="shared" si="114"/>
        <v>51056.069999999985</v>
      </c>
      <c r="T133" s="55">
        <f t="shared" si="115"/>
        <v>74486.729999999836</v>
      </c>
      <c r="U133" s="57">
        <f t="shared" si="116"/>
        <v>105513.27000000002</v>
      </c>
      <c r="W133" s="70">
        <v>47574</v>
      </c>
      <c r="X133" s="55">
        <f t="shared" si="154"/>
        <v>0</v>
      </c>
      <c r="Y133" s="55">
        <f t="shared" si="155"/>
        <v>544.78</v>
      </c>
      <c r="Z133" s="55">
        <f t="shared" si="117"/>
        <v>544.78</v>
      </c>
      <c r="AA133" s="55">
        <f t="shared" si="156"/>
        <v>0</v>
      </c>
      <c r="AB133" s="71">
        <v>0</v>
      </c>
      <c r="AC133" s="55">
        <f t="shared" si="118"/>
        <v>0</v>
      </c>
      <c r="AD133" s="55">
        <f t="shared" si="157"/>
        <v>84412.889999999941</v>
      </c>
      <c r="AE133" s="55">
        <f t="shared" si="158"/>
        <v>8935.9199999999946</v>
      </c>
      <c r="AF133" s="55">
        <f t="shared" si="119"/>
        <v>0</v>
      </c>
      <c r="AH133" s="70">
        <v>47574</v>
      </c>
      <c r="AI133" s="55">
        <f t="shared" si="139"/>
        <v>0</v>
      </c>
      <c r="AJ133" s="55">
        <f t="shared" si="140"/>
        <v>186.04</v>
      </c>
      <c r="AK133" s="55">
        <f t="shared" si="120"/>
        <v>186.04</v>
      </c>
      <c r="AL133" s="55">
        <f t="shared" si="141"/>
        <v>0</v>
      </c>
      <c r="AM133" s="71">
        <v>0</v>
      </c>
      <c r="AN133" s="55">
        <f t="shared" si="121"/>
        <v>0</v>
      </c>
      <c r="AO133" s="55">
        <f t="shared" si="142"/>
        <v>31756.330000000067</v>
      </c>
      <c r="AP133" s="55">
        <f t="shared" si="143"/>
        <v>2496.39</v>
      </c>
      <c r="AQ133" s="55">
        <f t="shared" si="122"/>
        <v>0</v>
      </c>
      <c r="AS133" s="70">
        <v>47574</v>
      </c>
      <c r="AT133" s="55">
        <f t="shared" si="144"/>
        <v>0</v>
      </c>
      <c r="AU133" s="55">
        <f t="shared" si="145"/>
        <v>204.6</v>
      </c>
      <c r="AV133" s="55">
        <f t="shared" si="123"/>
        <v>204.6</v>
      </c>
      <c r="AW133" s="55">
        <f t="shared" si="146"/>
        <v>0</v>
      </c>
      <c r="AX133" s="71">
        <v>0</v>
      </c>
      <c r="AY133" s="55">
        <f t="shared" si="124"/>
        <v>0</v>
      </c>
      <c r="AZ133" s="55">
        <f t="shared" si="147"/>
        <v>36023.929999999877</v>
      </c>
      <c r="BA133" s="55">
        <f t="shared" si="148"/>
        <v>2100.6699999999996</v>
      </c>
      <c r="BB133" s="55">
        <f t="shared" si="125"/>
        <v>0</v>
      </c>
      <c r="BD133" s="70">
        <v>47574</v>
      </c>
      <c r="BE133" s="55">
        <f t="shared" si="149"/>
        <v>0</v>
      </c>
      <c r="BF133" s="55">
        <f t="shared" si="150"/>
        <v>221.51</v>
      </c>
      <c r="BG133" s="55">
        <f t="shared" si="126"/>
        <v>221.51</v>
      </c>
      <c r="BH133" s="55">
        <f t="shared" si="151"/>
        <v>0</v>
      </c>
      <c r="BI133" s="71">
        <v>0</v>
      </c>
      <c r="BJ133" s="55">
        <f t="shared" si="127"/>
        <v>0</v>
      </c>
      <c r="BK133" s="55">
        <f t="shared" si="152"/>
        <v>41450.50999999998</v>
      </c>
      <c r="BL133" s="55">
        <f t="shared" si="153"/>
        <v>984.92</v>
      </c>
      <c r="BM133" s="55">
        <f t="shared" si="128"/>
        <v>0</v>
      </c>
    </row>
    <row r="134" spans="1:65" x14ac:dyDescent="0.25">
      <c r="A134" s="70">
        <v>47423</v>
      </c>
      <c r="B134" s="55">
        <f t="shared" si="107"/>
        <v>1454.82</v>
      </c>
      <c r="C134" s="55">
        <f t="shared" si="135"/>
        <v>0</v>
      </c>
      <c r="D134" s="55">
        <f t="shared" si="136"/>
        <v>0</v>
      </c>
      <c r="E134" s="55">
        <f t="shared" si="137"/>
        <v>0</v>
      </c>
      <c r="F134" s="55">
        <f t="shared" si="138"/>
        <v>0</v>
      </c>
      <c r="G134" s="55">
        <f t="shared" si="134"/>
        <v>1454.82</v>
      </c>
      <c r="J134">
        <f t="shared" si="133"/>
        <v>10</v>
      </c>
      <c r="K134" s="70">
        <v>47423</v>
      </c>
      <c r="L134" s="55">
        <f t="shared" si="108"/>
        <v>74486.729999999836</v>
      </c>
      <c r="M134" s="55">
        <f t="shared" si="109"/>
        <v>727.41</v>
      </c>
      <c r="N134" s="55">
        <f t="shared" si="110"/>
        <v>471.04999999999995</v>
      </c>
      <c r="O134" s="55">
        <f t="shared" si="111"/>
        <v>256.36</v>
      </c>
      <c r="P134" s="71">
        <v>727.41</v>
      </c>
      <c r="Q134" s="55">
        <f t="shared" si="112"/>
        <v>1454.82</v>
      </c>
      <c r="R134" s="55">
        <f t="shared" si="113"/>
        <v>76711.730000000025</v>
      </c>
      <c r="S134" s="55">
        <f t="shared" si="114"/>
        <v>51312.429999999986</v>
      </c>
      <c r="T134" s="55">
        <f t="shared" si="115"/>
        <v>73288.269999999829</v>
      </c>
      <c r="U134" s="57">
        <f t="shared" si="116"/>
        <v>106711.73000000003</v>
      </c>
      <c r="W134" s="70">
        <v>47604</v>
      </c>
      <c r="X134" s="55">
        <f t="shared" si="154"/>
        <v>0</v>
      </c>
      <c r="Y134" s="55">
        <f t="shared" si="155"/>
        <v>544.78</v>
      </c>
      <c r="Z134" s="55">
        <f t="shared" si="117"/>
        <v>544.78</v>
      </c>
      <c r="AA134" s="55">
        <f t="shared" si="156"/>
        <v>0</v>
      </c>
      <c r="AB134" s="71">
        <v>0</v>
      </c>
      <c r="AC134" s="55">
        <f t="shared" si="118"/>
        <v>0</v>
      </c>
      <c r="AD134" s="55">
        <f t="shared" si="157"/>
        <v>84957.66999999994</v>
      </c>
      <c r="AE134" s="55">
        <f t="shared" si="158"/>
        <v>8935.9199999999946</v>
      </c>
      <c r="AF134" s="55">
        <f t="shared" si="119"/>
        <v>0</v>
      </c>
      <c r="AH134" s="70">
        <v>47604</v>
      </c>
      <c r="AI134" s="55">
        <f t="shared" si="139"/>
        <v>0</v>
      </c>
      <c r="AJ134" s="55">
        <f t="shared" si="140"/>
        <v>186.04</v>
      </c>
      <c r="AK134" s="55">
        <f t="shared" si="120"/>
        <v>186.04</v>
      </c>
      <c r="AL134" s="55">
        <f t="shared" si="141"/>
        <v>0</v>
      </c>
      <c r="AM134" s="71">
        <v>0</v>
      </c>
      <c r="AN134" s="55">
        <f t="shared" si="121"/>
        <v>0</v>
      </c>
      <c r="AO134" s="55">
        <f t="shared" si="142"/>
        <v>31942.370000000068</v>
      </c>
      <c r="AP134" s="55">
        <f t="shared" si="143"/>
        <v>2496.39</v>
      </c>
      <c r="AQ134" s="55">
        <f t="shared" si="122"/>
        <v>0</v>
      </c>
      <c r="AS134" s="70">
        <v>47604</v>
      </c>
      <c r="AT134" s="55">
        <f t="shared" si="144"/>
        <v>0</v>
      </c>
      <c r="AU134" s="55">
        <f t="shared" si="145"/>
        <v>204.6</v>
      </c>
      <c r="AV134" s="55">
        <f t="shared" si="123"/>
        <v>204.6</v>
      </c>
      <c r="AW134" s="55">
        <f t="shared" si="146"/>
        <v>0</v>
      </c>
      <c r="AX134" s="71">
        <v>0</v>
      </c>
      <c r="AY134" s="55">
        <f t="shared" si="124"/>
        <v>0</v>
      </c>
      <c r="AZ134" s="55">
        <f t="shared" si="147"/>
        <v>36228.529999999875</v>
      </c>
      <c r="BA134" s="55">
        <f t="shared" si="148"/>
        <v>2100.6699999999996</v>
      </c>
      <c r="BB134" s="55">
        <f t="shared" si="125"/>
        <v>0</v>
      </c>
      <c r="BD134" s="70">
        <v>47604</v>
      </c>
      <c r="BE134" s="55">
        <f t="shared" si="149"/>
        <v>0</v>
      </c>
      <c r="BF134" s="55">
        <f t="shared" si="150"/>
        <v>221.51</v>
      </c>
      <c r="BG134" s="55">
        <f t="shared" si="126"/>
        <v>221.51</v>
      </c>
      <c r="BH134" s="55">
        <f t="shared" si="151"/>
        <v>0</v>
      </c>
      <c r="BI134" s="71">
        <v>0</v>
      </c>
      <c r="BJ134" s="55">
        <f t="shared" si="127"/>
        <v>0</v>
      </c>
      <c r="BK134" s="55">
        <f t="shared" si="152"/>
        <v>41672.019999999982</v>
      </c>
      <c r="BL134" s="55">
        <f t="shared" si="153"/>
        <v>984.92</v>
      </c>
      <c r="BM134" s="55">
        <f t="shared" si="128"/>
        <v>0</v>
      </c>
    </row>
    <row r="135" spans="1:65" x14ac:dyDescent="0.25">
      <c r="A135" s="70">
        <v>47453</v>
      </c>
      <c r="B135" s="55">
        <f t="shared" si="107"/>
        <v>1454.82</v>
      </c>
      <c r="C135" s="55">
        <f t="shared" si="135"/>
        <v>0</v>
      </c>
      <c r="D135" s="55">
        <f t="shared" si="136"/>
        <v>0</v>
      </c>
      <c r="E135" s="55">
        <f t="shared" si="137"/>
        <v>0</v>
      </c>
      <c r="F135" s="55">
        <f t="shared" si="138"/>
        <v>0</v>
      </c>
      <c r="G135" s="55">
        <f t="shared" si="134"/>
        <v>1454.82</v>
      </c>
      <c r="J135">
        <f t="shared" si="133"/>
        <v>10</v>
      </c>
      <c r="K135" s="70">
        <v>47453</v>
      </c>
      <c r="L135" s="55">
        <f t="shared" si="108"/>
        <v>73288.269999999829</v>
      </c>
      <c r="M135" s="55">
        <f t="shared" si="109"/>
        <v>727.41</v>
      </c>
      <c r="N135" s="55">
        <f t="shared" si="110"/>
        <v>475.17999999999995</v>
      </c>
      <c r="O135" s="55">
        <f t="shared" si="111"/>
        <v>252.23</v>
      </c>
      <c r="P135" s="71">
        <v>727.41</v>
      </c>
      <c r="Q135" s="55">
        <f t="shared" si="112"/>
        <v>1454.82</v>
      </c>
      <c r="R135" s="55">
        <f t="shared" si="113"/>
        <v>77914.320000000022</v>
      </c>
      <c r="S135" s="55">
        <f t="shared" si="114"/>
        <v>51564.659999999989</v>
      </c>
      <c r="T135" s="55">
        <f t="shared" si="115"/>
        <v>72085.679999999833</v>
      </c>
      <c r="U135" s="57">
        <f t="shared" si="116"/>
        <v>107914.32000000002</v>
      </c>
      <c r="W135" s="70">
        <v>47635</v>
      </c>
      <c r="X135" s="55">
        <f t="shared" si="154"/>
        <v>0</v>
      </c>
      <c r="Y135" s="55">
        <f t="shared" si="155"/>
        <v>544.78</v>
      </c>
      <c r="Z135" s="55">
        <f t="shared" si="117"/>
        <v>544.78</v>
      </c>
      <c r="AA135" s="55">
        <f t="shared" si="156"/>
        <v>0</v>
      </c>
      <c r="AB135" s="71">
        <v>0</v>
      </c>
      <c r="AC135" s="55">
        <f t="shared" si="118"/>
        <v>0</v>
      </c>
      <c r="AD135" s="55">
        <f t="shared" si="157"/>
        <v>85502.449999999939</v>
      </c>
      <c r="AE135" s="55">
        <f t="shared" si="158"/>
        <v>8935.9199999999946</v>
      </c>
      <c r="AF135" s="55">
        <f t="shared" si="119"/>
        <v>0</v>
      </c>
      <c r="AH135" s="70">
        <v>47635</v>
      </c>
      <c r="AI135" s="55">
        <f t="shared" si="139"/>
        <v>0</v>
      </c>
      <c r="AJ135" s="55">
        <f t="shared" si="140"/>
        <v>186.04</v>
      </c>
      <c r="AK135" s="55">
        <f t="shared" si="120"/>
        <v>186.04</v>
      </c>
      <c r="AL135" s="55">
        <f t="shared" si="141"/>
        <v>0</v>
      </c>
      <c r="AM135" s="71">
        <v>0</v>
      </c>
      <c r="AN135" s="55">
        <f t="shared" si="121"/>
        <v>0</v>
      </c>
      <c r="AO135" s="55">
        <f t="shared" si="142"/>
        <v>32128.410000000069</v>
      </c>
      <c r="AP135" s="55">
        <f t="shared" si="143"/>
        <v>2496.39</v>
      </c>
      <c r="AQ135" s="55">
        <f t="shared" si="122"/>
        <v>0</v>
      </c>
      <c r="AS135" s="70">
        <v>47635</v>
      </c>
      <c r="AT135" s="55">
        <f t="shared" si="144"/>
        <v>0</v>
      </c>
      <c r="AU135" s="55">
        <f t="shared" si="145"/>
        <v>204.6</v>
      </c>
      <c r="AV135" s="55">
        <f t="shared" si="123"/>
        <v>204.6</v>
      </c>
      <c r="AW135" s="55">
        <f t="shared" si="146"/>
        <v>0</v>
      </c>
      <c r="AX135" s="71">
        <v>0</v>
      </c>
      <c r="AY135" s="55">
        <f t="shared" si="124"/>
        <v>0</v>
      </c>
      <c r="AZ135" s="55">
        <f t="shared" si="147"/>
        <v>36433.129999999874</v>
      </c>
      <c r="BA135" s="55">
        <f t="shared" si="148"/>
        <v>2100.6699999999996</v>
      </c>
      <c r="BB135" s="55">
        <f t="shared" si="125"/>
        <v>0</v>
      </c>
      <c r="BD135" s="70">
        <v>47635</v>
      </c>
      <c r="BE135" s="55">
        <f t="shared" si="149"/>
        <v>0</v>
      </c>
      <c r="BF135" s="55">
        <f t="shared" si="150"/>
        <v>221.51</v>
      </c>
      <c r="BG135" s="55">
        <f t="shared" si="126"/>
        <v>221.51</v>
      </c>
      <c r="BH135" s="55">
        <f t="shared" si="151"/>
        <v>0</v>
      </c>
      <c r="BI135" s="71">
        <v>0</v>
      </c>
      <c r="BJ135" s="55">
        <f t="shared" si="127"/>
        <v>0</v>
      </c>
      <c r="BK135" s="55">
        <f t="shared" si="152"/>
        <v>41893.529999999984</v>
      </c>
      <c r="BL135" s="55">
        <f t="shared" si="153"/>
        <v>984.92</v>
      </c>
      <c r="BM135" s="55">
        <f t="shared" si="128"/>
        <v>0</v>
      </c>
    </row>
    <row r="136" spans="1:65" x14ac:dyDescent="0.25">
      <c r="A136" s="70">
        <v>47484</v>
      </c>
      <c r="B136" s="55">
        <f t="shared" si="107"/>
        <v>1454.82</v>
      </c>
      <c r="C136" s="55">
        <f t="shared" si="135"/>
        <v>0</v>
      </c>
      <c r="D136" s="55">
        <f t="shared" si="136"/>
        <v>0</v>
      </c>
      <c r="E136" s="55">
        <f t="shared" si="137"/>
        <v>0</v>
      </c>
      <c r="F136" s="55">
        <f t="shared" si="138"/>
        <v>0</v>
      </c>
      <c r="G136" s="55">
        <f t="shared" si="134"/>
        <v>1454.82</v>
      </c>
      <c r="J136">
        <f t="shared" si="133"/>
        <v>11</v>
      </c>
      <c r="K136" s="70">
        <v>47484</v>
      </c>
      <c r="L136" s="55">
        <f t="shared" si="108"/>
        <v>72085.679999999833</v>
      </c>
      <c r="M136" s="55">
        <f t="shared" si="109"/>
        <v>727.41</v>
      </c>
      <c r="N136" s="55">
        <f t="shared" si="110"/>
        <v>479.31999999999994</v>
      </c>
      <c r="O136" s="55">
        <f t="shared" si="111"/>
        <v>248.09</v>
      </c>
      <c r="P136" s="71">
        <v>727.41</v>
      </c>
      <c r="Q136" s="55">
        <f t="shared" si="112"/>
        <v>1454.82</v>
      </c>
      <c r="R136" s="55">
        <f t="shared" si="113"/>
        <v>79121.050000000017</v>
      </c>
      <c r="S136" s="55">
        <f t="shared" si="114"/>
        <v>51812.749999999985</v>
      </c>
      <c r="T136" s="55">
        <f t="shared" si="115"/>
        <v>70878.949999999822</v>
      </c>
      <c r="U136" s="57">
        <f t="shared" si="116"/>
        <v>109121.05000000002</v>
      </c>
      <c r="W136" s="70">
        <v>47665</v>
      </c>
      <c r="X136" s="55">
        <f t="shared" si="154"/>
        <v>0</v>
      </c>
      <c r="Y136" s="55">
        <f t="shared" si="155"/>
        <v>544.78</v>
      </c>
      <c r="Z136" s="55">
        <f t="shared" si="117"/>
        <v>544.78</v>
      </c>
      <c r="AA136" s="55">
        <f t="shared" si="156"/>
        <v>0</v>
      </c>
      <c r="AB136" s="71">
        <v>0</v>
      </c>
      <c r="AC136" s="55">
        <f t="shared" si="118"/>
        <v>0</v>
      </c>
      <c r="AD136" s="55">
        <f t="shared" si="157"/>
        <v>86047.229999999938</v>
      </c>
      <c r="AE136" s="55">
        <f t="shared" si="158"/>
        <v>8935.9199999999946</v>
      </c>
      <c r="AF136" s="55">
        <f t="shared" si="119"/>
        <v>0</v>
      </c>
      <c r="AH136" s="70">
        <v>47665</v>
      </c>
      <c r="AI136" s="55">
        <f t="shared" si="139"/>
        <v>0</v>
      </c>
      <c r="AJ136" s="55">
        <f t="shared" si="140"/>
        <v>186.04</v>
      </c>
      <c r="AK136" s="55">
        <f t="shared" si="120"/>
        <v>186.04</v>
      </c>
      <c r="AL136" s="55">
        <f t="shared" si="141"/>
        <v>0</v>
      </c>
      <c r="AM136" s="71">
        <v>0</v>
      </c>
      <c r="AN136" s="55">
        <f t="shared" si="121"/>
        <v>0</v>
      </c>
      <c r="AO136" s="55">
        <f t="shared" si="142"/>
        <v>32314.45000000007</v>
      </c>
      <c r="AP136" s="55">
        <f t="shared" si="143"/>
        <v>2496.39</v>
      </c>
      <c r="AQ136" s="55">
        <f t="shared" si="122"/>
        <v>0</v>
      </c>
      <c r="AS136" s="70">
        <v>47665</v>
      </c>
      <c r="AT136" s="55">
        <f t="shared" si="144"/>
        <v>0</v>
      </c>
      <c r="AU136" s="55">
        <f t="shared" si="145"/>
        <v>204.6</v>
      </c>
      <c r="AV136" s="55">
        <f t="shared" si="123"/>
        <v>204.6</v>
      </c>
      <c r="AW136" s="55">
        <f t="shared" si="146"/>
        <v>0</v>
      </c>
      <c r="AX136" s="71">
        <v>0</v>
      </c>
      <c r="AY136" s="55">
        <f t="shared" si="124"/>
        <v>0</v>
      </c>
      <c r="AZ136" s="55">
        <f t="shared" si="147"/>
        <v>36637.729999999872</v>
      </c>
      <c r="BA136" s="55">
        <f t="shared" si="148"/>
        <v>2100.6699999999996</v>
      </c>
      <c r="BB136" s="55">
        <f t="shared" si="125"/>
        <v>0</v>
      </c>
      <c r="BD136" s="70">
        <v>47665</v>
      </c>
      <c r="BE136" s="55">
        <f t="shared" si="149"/>
        <v>0</v>
      </c>
      <c r="BF136" s="55">
        <f t="shared" si="150"/>
        <v>221.51</v>
      </c>
      <c r="BG136" s="55">
        <f t="shared" si="126"/>
        <v>221.51</v>
      </c>
      <c r="BH136" s="55">
        <f t="shared" si="151"/>
        <v>0</v>
      </c>
      <c r="BI136" s="71">
        <v>0</v>
      </c>
      <c r="BJ136" s="55">
        <f t="shared" si="127"/>
        <v>0</v>
      </c>
      <c r="BK136" s="55">
        <f t="shared" si="152"/>
        <v>42115.039999999986</v>
      </c>
      <c r="BL136" s="55">
        <f t="shared" si="153"/>
        <v>984.92</v>
      </c>
      <c r="BM136" s="55">
        <f t="shared" si="128"/>
        <v>0</v>
      </c>
    </row>
    <row r="137" spans="1:65" x14ac:dyDescent="0.25">
      <c r="A137" s="70">
        <v>47515</v>
      </c>
      <c r="B137" s="55">
        <f t="shared" si="107"/>
        <v>1454.82</v>
      </c>
      <c r="C137" s="55">
        <f t="shared" si="135"/>
        <v>0</v>
      </c>
      <c r="D137" s="55">
        <f t="shared" si="136"/>
        <v>0</v>
      </c>
      <c r="E137" s="55">
        <f t="shared" si="137"/>
        <v>0</v>
      </c>
      <c r="F137" s="55">
        <f t="shared" si="138"/>
        <v>0</v>
      </c>
      <c r="G137" s="55">
        <f t="shared" si="134"/>
        <v>1454.82</v>
      </c>
      <c r="J137">
        <f t="shared" si="133"/>
        <v>11</v>
      </c>
      <c r="K137" s="70">
        <v>47515</v>
      </c>
      <c r="L137" s="55">
        <f t="shared" si="108"/>
        <v>70878.949999999822</v>
      </c>
      <c r="M137" s="55">
        <f t="shared" si="109"/>
        <v>727.41</v>
      </c>
      <c r="N137" s="55">
        <f t="shared" si="110"/>
        <v>483.46999999999997</v>
      </c>
      <c r="O137" s="55">
        <f t="shared" si="111"/>
        <v>243.94</v>
      </c>
      <c r="P137" s="71">
        <v>727.41</v>
      </c>
      <c r="Q137" s="55">
        <f t="shared" si="112"/>
        <v>1454.82</v>
      </c>
      <c r="R137" s="55">
        <f t="shared" si="113"/>
        <v>80331.930000000022</v>
      </c>
      <c r="S137" s="55">
        <f t="shared" si="114"/>
        <v>52056.689999999988</v>
      </c>
      <c r="T137" s="55">
        <f t="shared" si="115"/>
        <v>69668.069999999818</v>
      </c>
      <c r="U137" s="57">
        <f t="shared" si="116"/>
        <v>110331.93000000002</v>
      </c>
      <c r="W137" s="70">
        <v>47696</v>
      </c>
      <c r="X137" s="55">
        <f t="shared" si="154"/>
        <v>0</v>
      </c>
      <c r="Y137" s="55">
        <f t="shared" si="155"/>
        <v>544.78</v>
      </c>
      <c r="Z137" s="55">
        <f t="shared" si="117"/>
        <v>544.78</v>
      </c>
      <c r="AA137" s="55">
        <f t="shared" si="156"/>
        <v>0</v>
      </c>
      <c r="AB137" s="71">
        <v>0</v>
      </c>
      <c r="AC137" s="55">
        <f t="shared" si="118"/>
        <v>0</v>
      </c>
      <c r="AD137" s="55">
        <f t="shared" si="157"/>
        <v>86592.009999999937</v>
      </c>
      <c r="AE137" s="55">
        <f t="shared" si="158"/>
        <v>8935.9199999999946</v>
      </c>
      <c r="AF137" s="55">
        <f t="shared" si="119"/>
        <v>0</v>
      </c>
      <c r="AH137" s="70">
        <v>47696</v>
      </c>
      <c r="AI137" s="55">
        <f t="shared" si="139"/>
        <v>0</v>
      </c>
      <c r="AJ137" s="55">
        <f t="shared" si="140"/>
        <v>186.04</v>
      </c>
      <c r="AK137" s="55">
        <f t="shared" si="120"/>
        <v>186.04</v>
      </c>
      <c r="AL137" s="55">
        <f t="shared" si="141"/>
        <v>0</v>
      </c>
      <c r="AM137" s="71">
        <v>0</v>
      </c>
      <c r="AN137" s="55">
        <f t="shared" si="121"/>
        <v>0</v>
      </c>
      <c r="AO137" s="55">
        <f t="shared" si="142"/>
        <v>32500.490000000071</v>
      </c>
      <c r="AP137" s="55">
        <f t="shared" si="143"/>
        <v>2496.39</v>
      </c>
      <c r="AQ137" s="55">
        <f t="shared" si="122"/>
        <v>0</v>
      </c>
      <c r="AS137" s="70">
        <v>47696</v>
      </c>
      <c r="AT137" s="55">
        <f t="shared" si="144"/>
        <v>0</v>
      </c>
      <c r="AU137" s="55">
        <f t="shared" si="145"/>
        <v>204.6</v>
      </c>
      <c r="AV137" s="55">
        <f t="shared" si="123"/>
        <v>204.6</v>
      </c>
      <c r="AW137" s="55">
        <f t="shared" si="146"/>
        <v>0</v>
      </c>
      <c r="AX137" s="71">
        <v>0</v>
      </c>
      <c r="AY137" s="55">
        <f t="shared" si="124"/>
        <v>0</v>
      </c>
      <c r="AZ137" s="55">
        <f t="shared" si="147"/>
        <v>36842.329999999871</v>
      </c>
      <c r="BA137" s="55">
        <f t="shared" si="148"/>
        <v>2100.6699999999996</v>
      </c>
      <c r="BB137" s="55">
        <f t="shared" si="125"/>
        <v>0</v>
      </c>
      <c r="BD137" s="70">
        <v>47696</v>
      </c>
      <c r="BE137" s="55">
        <f t="shared" si="149"/>
        <v>0</v>
      </c>
      <c r="BF137" s="55">
        <f t="shared" si="150"/>
        <v>221.51</v>
      </c>
      <c r="BG137" s="55">
        <f t="shared" si="126"/>
        <v>221.51</v>
      </c>
      <c r="BH137" s="55">
        <f t="shared" si="151"/>
        <v>0</v>
      </c>
      <c r="BI137" s="71">
        <v>0</v>
      </c>
      <c r="BJ137" s="55">
        <f t="shared" si="127"/>
        <v>0</v>
      </c>
      <c r="BK137" s="55">
        <f t="shared" si="152"/>
        <v>42336.549999999988</v>
      </c>
      <c r="BL137" s="55">
        <f t="shared" si="153"/>
        <v>984.92</v>
      </c>
      <c r="BM137" s="55">
        <f t="shared" si="128"/>
        <v>0</v>
      </c>
    </row>
    <row r="138" spans="1:65" x14ac:dyDescent="0.25">
      <c r="A138" s="70">
        <v>47543</v>
      </c>
      <c r="B138" s="55">
        <f t="shared" si="107"/>
        <v>1454.82</v>
      </c>
      <c r="C138" s="55">
        <f t="shared" si="135"/>
        <v>0</v>
      </c>
      <c r="D138" s="55">
        <f t="shared" si="136"/>
        <v>0</v>
      </c>
      <c r="E138" s="55">
        <f t="shared" si="137"/>
        <v>0</v>
      </c>
      <c r="F138" s="55">
        <f t="shared" si="138"/>
        <v>0</v>
      </c>
      <c r="G138" s="55">
        <f t="shared" si="134"/>
        <v>1454.82</v>
      </c>
      <c r="J138">
        <f t="shared" si="133"/>
        <v>11</v>
      </c>
      <c r="K138" s="70">
        <v>47543</v>
      </c>
      <c r="L138" s="55">
        <f t="shared" si="108"/>
        <v>69668.069999999818</v>
      </c>
      <c r="M138" s="55">
        <f t="shared" si="109"/>
        <v>727.41</v>
      </c>
      <c r="N138" s="55">
        <f t="shared" si="110"/>
        <v>487.64</v>
      </c>
      <c r="O138" s="55">
        <f t="shared" si="111"/>
        <v>239.77</v>
      </c>
      <c r="P138" s="71">
        <v>727.41</v>
      </c>
      <c r="Q138" s="55">
        <f t="shared" si="112"/>
        <v>1454.82</v>
      </c>
      <c r="R138" s="55">
        <f t="shared" si="113"/>
        <v>81546.980000000025</v>
      </c>
      <c r="S138" s="55">
        <f t="shared" si="114"/>
        <v>52296.459999999985</v>
      </c>
      <c r="T138" s="55">
        <f t="shared" si="115"/>
        <v>68453.019999999815</v>
      </c>
      <c r="U138" s="57">
        <f t="shared" si="116"/>
        <v>111546.98000000003</v>
      </c>
      <c r="W138" s="70">
        <v>47727</v>
      </c>
      <c r="X138" s="55">
        <f t="shared" si="154"/>
        <v>0</v>
      </c>
      <c r="Y138" s="55">
        <f t="shared" si="155"/>
        <v>544.78</v>
      </c>
      <c r="Z138" s="55">
        <f t="shared" si="117"/>
        <v>544.78</v>
      </c>
      <c r="AA138" s="55">
        <f t="shared" si="156"/>
        <v>0</v>
      </c>
      <c r="AB138" s="71">
        <v>0</v>
      </c>
      <c r="AC138" s="55">
        <f t="shared" si="118"/>
        <v>0</v>
      </c>
      <c r="AD138" s="55">
        <f t="shared" si="157"/>
        <v>87136.789999999935</v>
      </c>
      <c r="AE138" s="55">
        <f t="shared" si="158"/>
        <v>8935.9199999999946</v>
      </c>
      <c r="AF138" s="55">
        <f t="shared" si="119"/>
        <v>0</v>
      </c>
      <c r="AH138" s="70">
        <v>47727</v>
      </c>
      <c r="AI138" s="55">
        <f t="shared" si="139"/>
        <v>0</v>
      </c>
      <c r="AJ138" s="55">
        <f t="shared" si="140"/>
        <v>186.04</v>
      </c>
      <c r="AK138" s="55">
        <f t="shared" si="120"/>
        <v>186.04</v>
      </c>
      <c r="AL138" s="55">
        <f t="shared" si="141"/>
        <v>0</v>
      </c>
      <c r="AM138" s="71">
        <v>0</v>
      </c>
      <c r="AN138" s="55">
        <f t="shared" si="121"/>
        <v>0</v>
      </c>
      <c r="AO138" s="55">
        <f t="shared" si="142"/>
        <v>32686.530000000072</v>
      </c>
      <c r="AP138" s="55">
        <f t="shared" si="143"/>
        <v>2496.39</v>
      </c>
      <c r="AQ138" s="55">
        <f t="shared" si="122"/>
        <v>0</v>
      </c>
      <c r="AS138" s="70">
        <v>47727</v>
      </c>
      <c r="AT138" s="55">
        <f t="shared" si="144"/>
        <v>0</v>
      </c>
      <c r="AU138" s="55">
        <f t="shared" si="145"/>
        <v>204.6</v>
      </c>
      <c r="AV138" s="55">
        <f t="shared" si="123"/>
        <v>204.6</v>
      </c>
      <c r="AW138" s="55">
        <f t="shared" si="146"/>
        <v>0</v>
      </c>
      <c r="AX138" s="71">
        <v>0</v>
      </c>
      <c r="AY138" s="55">
        <f t="shared" si="124"/>
        <v>0</v>
      </c>
      <c r="AZ138" s="55">
        <f t="shared" si="147"/>
        <v>37046.929999999869</v>
      </c>
      <c r="BA138" s="55">
        <f t="shared" si="148"/>
        <v>2100.6699999999996</v>
      </c>
      <c r="BB138" s="55">
        <f t="shared" si="125"/>
        <v>0</v>
      </c>
      <c r="BD138" s="70">
        <v>47727</v>
      </c>
      <c r="BE138" s="55">
        <f t="shared" si="149"/>
        <v>0</v>
      </c>
      <c r="BF138" s="55">
        <f t="shared" si="150"/>
        <v>221.51</v>
      </c>
      <c r="BG138" s="55">
        <f t="shared" si="126"/>
        <v>221.51</v>
      </c>
      <c r="BH138" s="55">
        <f t="shared" si="151"/>
        <v>0</v>
      </c>
      <c r="BI138" s="71">
        <v>0</v>
      </c>
      <c r="BJ138" s="55">
        <f t="shared" si="127"/>
        <v>0</v>
      </c>
      <c r="BK138" s="55">
        <f t="shared" si="152"/>
        <v>42558.05999999999</v>
      </c>
      <c r="BL138" s="55">
        <f t="shared" si="153"/>
        <v>984.92</v>
      </c>
      <c r="BM138" s="55">
        <f t="shared" si="128"/>
        <v>0</v>
      </c>
    </row>
    <row r="139" spans="1:65" x14ac:dyDescent="0.25">
      <c r="A139" s="70">
        <v>47574</v>
      </c>
      <c r="B139" s="55">
        <f t="shared" si="107"/>
        <v>1454.82</v>
      </c>
      <c r="C139" s="55">
        <f t="shared" si="135"/>
        <v>0</v>
      </c>
      <c r="D139" s="55">
        <f t="shared" si="136"/>
        <v>0</v>
      </c>
      <c r="E139" s="55">
        <f t="shared" si="137"/>
        <v>0</v>
      </c>
      <c r="F139" s="55">
        <f t="shared" si="138"/>
        <v>0</v>
      </c>
      <c r="G139" s="55">
        <f t="shared" si="134"/>
        <v>1454.82</v>
      </c>
      <c r="J139">
        <f t="shared" si="133"/>
        <v>11</v>
      </c>
      <c r="K139" s="70">
        <v>47574</v>
      </c>
      <c r="L139" s="55">
        <f t="shared" si="108"/>
        <v>68453.019999999815</v>
      </c>
      <c r="M139" s="55">
        <f t="shared" si="109"/>
        <v>727.41</v>
      </c>
      <c r="N139" s="55">
        <f t="shared" si="110"/>
        <v>491.81999999999994</v>
      </c>
      <c r="O139" s="55">
        <f t="shared" si="111"/>
        <v>235.59</v>
      </c>
      <c r="P139" s="71">
        <v>727.41</v>
      </c>
      <c r="Q139" s="55">
        <f t="shared" si="112"/>
        <v>1454.82</v>
      </c>
      <c r="R139" s="55">
        <f t="shared" si="113"/>
        <v>82766.210000000021</v>
      </c>
      <c r="S139" s="55">
        <f t="shared" si="114"/>
        <v>52532.049999999981</v>
      </c>
      <c r="T139" s="55">
        <f t="shared" si="115"/>
        <v>67233.789999999804</v>
      </c>
      <c r="U139" s="57">
        <f t="shared" si="116"/>
        <v>112766.21000000002</v>
      </c>
      <c r="W139" s="70">
        <v>47757</v>
      </c>
      <c r="X139" s="55">
        <f t="shared" si="154"/>
        <v>0</v>
      </c>
      <c r="Y139" s="55">
        <f t="shared" si="155"/>
        <v>544.78</v>
      </c>
      <c r="Z139" s="55">
        <f t="shared" si="117"/>
        <v>544.78</v>
      </c>
      <c r="AA139" s="55">
        <f t="shared" si="156"/>
        <v>0</v>
      </c>
      <c r="AB139" s="71">
        <v>0</v>
      </c>
      <c r="AC139" s="55">
        <f t="shared" si="118"/>
        <v>0</v>
      </c>
      <c r="AD139" s="55">
        <f t="shared" si="157"/>
        <v>87681.569999999934</v>
      </c>
      <c r="AE139" s="55">
        <f t="shared" si="158"/>
        <v>8935.9199999999946</v>
      </c>
      <c r="AF139" s="55">
        <f t="shared" si="119"/>
        <v>0</v>
      </c>
      <c r="AH139" s="70">
        <v>47757</v>
      </c>
      <c r="AI139" s="55">
        <f t="shared" si="139"/>
        <v>0</v>
      </c>
      <c r="AJ139" s="55">
        <f t="shared" si="140"/>
        <v>186.04</v>
      </c>
      <c r="AK139" s="55">
        <f t="shared" si="120"/>
        <v>186.04</v>
      </c>
      <c r="AL139" s="55">
        <f t="shared" si="141"/>
        <v>0</v>
      </c>
      <c r="AM139" s="71">
        <v>0</v>
      </c>
      <c r="AN139" s="55">
        <f t="shared" si="121"/>
        <v>0</v>
      </c>
      <c r="AO139" s="55">
        <f t="shared" si="142"/>
        <v>32872.570000000072</v>
      </c>
      <c r="AP139" s="55">
        <f t="shared" si="143"/>
        <v>2496.39</v>
      </c>
      <c r="AQ139" s="55">
        <f t="shared" si="122"/>
        <v>0</v>
      </c>
      <c r="AS139" s="70">
        <v>47757</v>
      </c>
      <c r="AT139" s="55">
        <f t="shared" si="144"/>
        <v>0</v>
      </c>
      <c r="AU139" s="55">
        <f t="shared" si="145"/>
        <v>204.6</v>
      </c>
      <c r="AV139" s="55">
        <f t="shared" si="123"/>
        <v>204.6</v>
      </c>
      <c r="AW139" s="55">
        <f t="shared" si="146"/>
        <v>0</v>
      </c>
      <c r="AX139" s="71">
        <v>0</v>
      </c>
      <c r="AY139" s="55">
        <f t="shared" si="124"/>
        <v>0</v>
      </c>
      <c r="AZ139" s="55">
        <f t="shared" si="147"/>
        <v>37251.529999999868</v>
      </c>
      <c r="BA139" s="55">
        <f t="shared" si="148"/>
        <v>2100.6699999999996</v>
      </c>
      <c r="BB139" s="55">
        <f t="shared" si="125"/>
        <v>0</v>
      </c>
      <c r="BD139" s="70">
        <v>47757</v>
      </c>
      <c r="BE139" s="55">
        <f t="shared" si="149"/>
        <v>0</v>
      </c>
      <c r="BF139" s="55">
        <f t="shared" si="150"/>
        <v>221.51</v>
      </c>
      <c r="BG139" s="55">
        <f t="shared" si="126"/>
        <v>221.51</v>
      </c>
      <c r="BH139" s="55">
        <f t="shared" si="151"/>
        <v>0</v>
      </c>
      <c r="BI139" s="71">
        <v>0</v>
      </c>
      <c r="BJ139" s="55">
        <f t="shared" si="127"/>
        <v>0</v>
      </c>
      <c r="BK139" s="55">
        <f t="shared" si="152"/>
        <v>42779.569999999992</v>
      </c>
      <c r="BL139" s="55">
        <f t="shared" si="153"/>
        <v>984.92</v>
      </c>
      <c r="BM139" s="55">
        <f t="shared" si="128"/>
        <v>0</v>
      </c>
    </row>
    <row r="140" spans="1:65" x14ac:dyDescent="0.25">
      <c r="A140" s="70">
        <v>47604</v>
      </c>
      <c r="B140" s="55">
        <f t="shared" si="107"/>
        <v>1454.82</v>
      </c>
      <c r="C140" s="55">
        <f t="shared" si="135"/>
        <v>0</v>
      </c>
      <c r="D140" s="55">
        <f t="shared" si="136"/>
        <v>0</v>
      </c>
      <c r="E140" s="55">
        <f t="shared" si="137"/>
        <v>0</v>
      </c>
      <c r="F140" s="55">
        <f t="shared" si="138"/>
        <v>0</v>
      </c>
      <c r="G140" s="55">
        <f t="shared" si="134"/>
        <v>1454.82</v>
      </c>
      <c r="J140">
        <f t="shared" si="133"/>
        <v>11</v>
      </c>
      <c r="K140" s="70">
        <v>47604</v>
      </c>
      <c r="L140" s="55">
        <f t="shared" si="108"/>
        <v>67233.789999999804</v>
      </c>
      <c r="M140" s="55">
        <f t="shared" si="109"/>
        <v>727.41</v>
      </c>
      <c r="N140" s="55">
        <f t="shared" si="110"/>
        <v>496.01</v>
      </c>
      <c r="O140" s="55">
        <f t="shared" si="111"/>
        <v>231.4</v>
      </c>
      <c r="P140" s="71">
        <v>727.41</v>
      </c>
      <c r="Q140" s="55">
        <f t="shared" si="112"/>
        <v>1454.82</v>
      </c>
      <c r="R140" s="55">
        <f t="shared" si="113"/>
        <v>83989.630000000019</v>
      </c>
      <c r="S140" s="55">
        <f t="shared" si="114"/>
        <v>52763.449999999983</v>
      </c>
      <c r="T140" s="55">
        <f t="shared" si="115"/>
        <v>66010.369999999806</v>
      </c>
      <c r="U140" s="57">
        <f t="shared" si="116"/>
        <v>113989.63000000002</v>
      </c>
      <c r="W140" s="70">
        <v>47788</v>
      </c>
      <c r="X140" s="55">
        <f t="shared" si="154"/>
        <v>0</v>
      </c>
      <c r="Y140" s="55">
        <f t="shared" si="155"/>
        <v>544.78</v>
      </c>
      <c r="Z140" s="55">
        <f t="shared" si="117"/>
        <v>544.78</v>
      </c>
      <c r="AA140" s="55">
        <f t="shared" si="156"/>
        <v>0</v>
      </c>
      <c r="AB140" s="71">
        <v>0</v>
      </c>
      <c r="AC140" s="55">
        <f t="shared" si="118"/>
        <v>0</v>
      </c>
      <c r="AD140" s="55">
        <f t="shared" si="157"/>
        <v>88226.349999999933</v>
      </c>
      <c r="AE140" s="55">
        <f t="shared" si="158"/>
        <v>8935.9199999999946</v>
      </c>
      <c r="AF140" s="55">
        <f t="shared" si="119"/>
        <v>0</v>
      </c>
      <c r="AH140" s="70">
        <v>47788</v>
      </c>
      <c r="AI140" s="55">
        <f t="shared" si="139"/>
        <v>0</v>
      </c>
      <c r="AJ140" s="55">
        <f t="shared" si="140"/>
        <v>186.04</v>
      </c>
      <c r="AK140" s="55">
        <f t="shared" si="120"/>
        <v>186.04</v>
      </c>
      <c r="AL140" s="55">
        <f t="shared" si="141"/>
        <v>0</v>
      </c>
      <c r="AM140" s="71">
        <v>0</v>
      </c>
      <c r="AN140" s="55">
        <f t="shared" si="121"/>
        <v>0</v>
      </c>
      <c r="AO140" s="55">
        <f t="shared" si="142"/>
        <v>33058.610000000073</v>
      </c>
      <c r="AP140" s="55">
        <f t="shared" si="143"/>
        <v>2496.39</v>
      </c>
      <c r="AQ140" s="55">
        <f t="shared" si="122"/>
        <v>0</v>
      </c>
      <c r="AS140" s="70">
        <v>47788</v>
      </c>
      <c r="AT140" s="55">
        <f t="shared" si="144"/>
        <v>0</v>
      </c>
      <c r="AU140" s="55">
        <f t="shared" si="145"/>
        <v>204.6</v>
      </c>
      <c r="AV140" s="55">
        <f t="shared" si="123"/>
        <v>204.6</v>
      </c>
      <c r="AW140" s="55">
        <f t="shared" si="146"/>
        <v>0</v>
      </c>
      <c r="AX140" s="71">
        <v>0</v>
      </c>
      <c r="AY140" s="55">
        <f t="shared" si="124"/>
        <v>0</v>
      </c>
      <c r="AZ140" s="55">
        <f t="shared" si="147"/>
        <v>37456.129999999866</v>
      </c>
      <c r="BA140" s="55">
        <f t="shared" si="148"/>
        <v>2100.6699999999996</v>
      </c>
      <c r="BB140" s="55">
        <f t="shared" si="125"/>
        <v>0</v>
      </c>
      <c r="BD140" s="70">
        <v>47788</v>
      </c>
      <c r="BE140" s="55">
        <f t="shared" si="149"/>
        <v>0</v>
      </c>
      <c r="BF140" s="55">
        <f t="shared" si="150"/>
        <v>221.51</v>
      </c>
      <c r="BG140" s="55">
        <f t="shared" si="126"/>
        <v>221.51</v>
      </c>
      <c r="BH140" s="55">
        <f t="shared" si="151"/>
        <v>0</v>
      </c>
      <c r="BI140" s="71">
        <v>0</v>
      </c>
      <c r="BJ140" s="55">
        <f t="shared" si="127"/>
        <v>0</v>
      </c>
      <c r="BK140" s="55">
        <f t="shared" si="152"/>
        <v>43001.079999999994</v>
      </c>
      <c r="BL140" s="55">
        <f t="shared" si="153"/>
        <v>984.92</v>
      </c>
      <c r="BM140" s="55">
        <f t="shared" si="128"/>
        <v>0</v>
      </c>
    </row>
    <row r="141" spans="1:65" x14ac:dyDescent="0.25">
      <c r="C141" s="55">
        <f t="shared" si="135"/>
        <v>0</v>
      </c>
      <c r="D141" s="55">
        <f t="shared" si="136"/>
        <v>0</v>
      </c>
      <c r="E141" s="55">
        <f t="shared" si="137"/>
        <v>0</v>
      </c>
      <c r="F141" s="55">
        <f t="shared" si="138"/>
        <v>0</v>
      </c>
      <c r="J141">
        <f t="shared" si="133"/>
        <v>11</v>
      </c>
      <c r="K141" s="70">
        <v>47635</v>
      </c>
      <c r="L141" s="55">
        <f t="shared" si="108"/>
        <v>66010.369999999806</v>
      </c>
      <c r="M141" s="55">
        <f t="shared" si="109"/>
        <v>727.41</v>
      </c>
      <c r="N141" s="55">
        <f t="shared" si="110"/>
        <v>500.21999999999997</v>
      </c>
      <c r="O141" s="55">
        <f t="shared" si="111"/>
        <v>227.19</v>
      </c>
      <c r="P141" s="71">
        <v>727.41</v>
      </c>
      <c r="Q141" s="55">
        <f t="shared" si="112"/>
        <v>1454.82</v>
      </c>
      <c r="R141" s="55">
        <f t="shared" si="113"/>
        <v>85217.260000000024</v>
      </c>
      <c r="S141" s="55">
        <f t="shared" si="114"/>
        <v>52990.639999999985</v>
      </c>
      <c r="T141" s="55">
        <f t="shared" si="115"/>
        <v>64782.739999999802</v>
      </c>
      <c r="U141" s="57">
        <f t="shared" si="116"/>
        <v>115217.26000000002</v>
      </c>
      <c r="W141" s="70">
        <v>47818</v>
      </c>
      <c r="X141" s="55">
        <f t="shared" si="154"/>
        <v>0</v>
      </c>
      <c r="Y141" s="55">
        <f t="shared" si="155"/>
        <v>544.78</v>
      </c>
      <c r="Z141" s="55">
        <f t="shared" si="117"/>
        <v>544.78</v>
      </c>
      <c r="AA141" s="55">
        <f t="shared" si="156"/>
        <v>0</v>
      </c>
      <c r="AB141" s="71">
        <v>0</v>
      </c>
      <c r="AC141" s="55">
        <f t="shared" si="118"/>
        <v>0</v>
      </c>
      <c r="AD141" s="55">
        <f t="shared" si="157"/>
        <v>88771.129999999932</v>
      </c>
      <c r="AE141" s="55">
        <f t="shared" si="158"/>
        <v>8935.9199999999946</v>
      </c>
      <c r="AF141" s="55">
        <f t="shared" si="119"/>
        <v>0</v>
      </c>
      <c r="AH141" s="70">
        <v>47818</v>
      </c>
      <c r="AI141" s="55">
        <f t="shared" si="139"/>
        <v>0</v>
      </c>
      <c r="AJ141" s="55">
        <f t="shared" si="140"/>
        <v>186.04</v>
      </c>
      <c r="AK141" s="55">
        <f t="shared" si="120"/>
        <v>186.04</v>
      </c>
      <c r="AL141" s="55">
        <f t="shared" si="141"/>
        <v>0</v>
      </c>
      <c r="AM141" s="71">
        <v>0</v>
      </c>
      <c r="AN141" s="55">
        <f t="shared" si="121"/>
        <v>0</v>
      </c>
      <c r="AO141" s="55">
        <f t="shared" si="142"/>
        <v>33244.650000000074</v>
      </c>
      <c r="AP141" s="55">
        <f t="shared" si="143"/>
        <v>2496.39</v>
      </c>
      <c r="AQ141" s="55">
        <f t="shared" si="122"/>
        <v>0</v>
      </c>
      <c r="AS141" s="70">
        <v>47818</v>
      </c>
      <c r="AT141" s="55">
        <f t="shared" si="144"/>
        <v>0</v>
      </c>
      <c r="AU141" s="55">
        <f t="shared" si="145"/>
        <v>204.6</v>
      </c>
      <c r="AV141" s="55">
        <f t="shared" si="123"/>
        <v>204.6</v>
      </c>
      <c r="AW141" s="55">
        <f t="shared" si="146"/>
        <v>0</v>
      </c>
      <c r="AX141" s="71">
        <v>0</v>
      </c>
      <c r="AY141" s="55">
        <f t="shared" si="124"/>
        <v>0</v>
      </c>
      <c r="AZ141" s="55">
        <f t="shared" si="147"/>
        <v>37660.729999999865</v>
      </c>
      <c r="BA141" s="55">
        <f t="shared" si="148"/>
        <v>2100.6699999999996</v>
      </c>
      <c r="BB141" s="55">
        <f t="shared" si="125"/>
        <v>0</v>
      </c>
      <c r="BD141" s="70">
        <v>47818</v>
      </c>
      <c r="BE141" s="55">
        <f t="shared" si="149"/>
        <v>0</v>
      </c>
      <c r="BF141" s="55">
        <f t="shared" si="150"/>
        <v>221.51</v>
      </c>
      <c r="BG141" s="55">
        <f t="shared" si="126"/>
        <v>221.51</v>
      </c>
      <c r="BH141" s="55">
        <f t="shared" si="151"/>
        <v>0</v>
      </c>
      <c r="BI141" s="71">
        <v>0</v>
      </c>
      <c r="BJ141" s="55">
        <f t="shared" si="127"/>
        <v>0</v>
      </c>
      <c r="BK141" s="55">
        <f t="shared" si="152"/>
        <v>43222.59</v>
      </c>
      <c r="BL141" s="55">
        <f t="shared" si="153"/>
        <v>984.92</v>
      </c>
      <c r="BM141" s="55">
        <f t="shared" si="128"/>
        <v>0</v>
      </c>
    </row>
    <row r="142" spans="1:65" x14ac:dyDescent="0.25">
      <c r="C142" s="55">
        <f t="shared" si="135"/>
        <v>0</v>
      </c>
      <c r="D142" s="55">
        <f t="shared" si="136"/>
        <v>0</v>
      </c>
      <c r="E142" s="55">
        <f t="shared" si="137"/>
        <v>0</v>
      </c>
      <c r="F142" s="55">
        <f t="shared" si="138"/>
        <v>0</v>
      </c>
      <c r="J142">
        <f t="shared" si="133"/>
        <v>11</v>
      </c>
      <c r="K142" s="70">
        <v>47665</v>
      </c>
      <c r="L142" s="55">
        <f t="shared" si="108"/>
        <v>64782.739999999802</v>
      </c>
      <c r="M142" s="55">
        <f t="shared" si="109"/>
        <v>727.41</v>
      </c>
      <c r="N142" s="55">
        <f t="shared" si="110"/>
        <v>504.44999999999993</v>
      </c>
      <c r="O142" s="55">
        <f t="shared" si="111"/>
        <v>222.96</v>
      </c>
      <c r="P142" s="71">
        <v>727.41</v>
      </c>
      <c r="Q142" s="55">
        <f t="shared" si="112"/>
        <v>1454.82</v>
      </c>
      <c r="R142" s="55">
        <f t="shared" si="113"/>
        <v>86449.120000000024</v>
      </c>
      <c r="S142" s="55">
        <f t="shared" si="114"/>
        <v>53213.599999999984</v>
      </c>
      <c r="T142" s="55">
        <f t="shared" si="115"/>
        <v>63550.879999999801</v>
      </c>
      <c r="U142" s="57">
        <f t="shared" si="116"/>
        <v>116449.12000000002</v>
      </c>
      <c r="W142" s="70">
        <v>47849</v>
      </c>
      <c r="X142" s="55">
        <f t="shared" si="154"/>
        <v>0</v>
      </c>
      <c r="Y142" s="55">
        <f t="shared" si="155"/>
        <v>544.78</v>
      </c>
      <c r="Z142" s="55">
        <f t="shared" si="117"/>
        <v>544.78</v>
      </c>
      <c r="AA142" s="55">
        <f t="shared" si="156"/>
        <v>0</v>
      </c>
      <c r="AB142" s="71">
        <v>0</v>
      </c>
      <c r="AC142" s="55">
        <f t="shared" si="118"/>
        <v>0</v>
      </c>
      <c r="AD142" s="55">
        <f t="shared" si="157"/>
        <v>89315.909999999931</v>
      </c>
      <c r="AE142" s="55">
        <f t="shared" si="158"/>
        <v>8935.9199999999946</v>
      </c>
      <c r="AF142" s="55">
        <f t="shared" si="119"/>
        <v>0</v>
      </c>
      <c r="AH142" s="70">
        <v>47849</v>
      </c>
      <c r="AI142" s="55">
        <f t="shared" si="139"/>
        <v>0</v>
      </c>
      <c r="AJ142" s="55">
        <f t="shared" si="140"/>
        <v>186.04</v>
      </c>
      <c r="AK142" s="55">
        <f t="shared" si="120"/>
        <v>186.04</v>
      </c>
      <c r="AL142" s="55">
        <f t="shared" si="141"/>
        <v>0</v>
      </c>
      <c r="AM142" s="71">
        <v>0</v>
      </c>
      <c r="AN142" s="55">
        <f t="shared" si="121"/>
        <v>0</v>
      </c>
      <c r="AO142" s="55">
        <f t="shared" si="142"/>
        <v>33430.690000000075</v>
      </c>
      <c r="AP142" s="55">
        <f t="shared" si="143"/>
        <v>2496.39</v>
      </c>
      <c r="AQ142" s="55">
        <f t="shared" si="122"/>
        <v>0</v>
      </c>
      <c r="AS142" s="70">
        <v>47849</v>
      </c>
      <c r="AT142" s="55">
        <f t="shared" si="144"/>
        <v>0</v>
      </c>
      <c r="AU142" s="55">
        <f t="shared" si="145"/>
        <v>204.6</v>
      </c>
      <c r="AV142" s="55">
        <f t="shared" si="123"/>
        <v>204.6</v>
      </c>
      <c r="AW142" s="55">
        <f t="shared" si="146"/>
        <v>0</v>
      </c>
      <c r="AX142" s="71">
        <v>0</v>
      </c>
      <c r="AY142" s="55">
        <f t="shared" si="124"/>
        <v>0</v>
      </c>
      <c r="AZ142" s="55">
        <f t="shared" si="147"/>
        <v>37865.329999999864</v>
      </c>
      <c r="BA142" s="55">
        <f t="shared" si="148"/>
        <v>2100.6699999999996</v>
      </c>
      <c r="BB142" s="55">
        <f t="shared" si="125"/>
        <v>0</v>
      </c>
      <c r="BD142" s="70">
        <v>47849</v>
      </c>
      <c r="BE142" s="55">
        <f t="shared" si="149"/>
        <v>0</v>
      </c>
      <c r="BF142" s="55">
        <f t="shared" si="150"/>
        <v>221.51</v>
      </c>
      <c r="BG142" s="55">
        <f t="shared" si="126"/>
        <v>221.51</v>
      </c>
      <c r="BH142" s="55">
        <f t="shared" si="151"/>
        <v>0</v>
      </c>
      <c r="BI142" s="71">
        <v>0</v>
      </c>
      <c r="BJ142" s="55">
        <f t="shared" si="127"/>
        <v>0</v>
      </c>
      <c r="BK142" s="55">
        <f t="shared" si="152"/>
        <v>43444.1</v>
      </c>
      <c r="BL142" s="55">
        <f t="shared" si="153"/>
        <v>984.92</v>
      </c>
      <c r="BM142" s="55">
        <f t="shared" si="128"/>
        <v>0</v>
      </c>
    </row>
    <row r="143" spans="1:65" x14ac:dyDescent="0.25">
      <c r="C143" s="55">
        <f t="shared" si="135"/>
        <v>0</v>
      </c>
      <c r="D143" s="55">
        <f t="shared" si="136"/>
        <v>0</v>
      </c>
      <c r="E143" s="55">
        <f t="shared" si="137"/>
        <v>0</v>
      </c>
      <c r="F143" s="55">
        <f t="shared" si="138"/>
        <v>0</v>
      </c>
      <c r="J143">
        <f t="shared" si="133"/>
        <v>11</v>
      </c>
      <c r="K143" s="70">
        <v>47696</v>
      </c>
      <c r="L143" s="55">
        <f t="shared" si="108"/>
        <v>63550.879999999801</v>
      </c>
      <c r="M143" s="55">
        <f t="shared" si="109"/>
        <v>727.41</v>
      </c>
      <c r="N143" s="55">
        <f t="shared" si="110"/>
        <v>508.68999999999994</v>
      </c>
      <c r="O143" s="55">
        <f t="shared" si="111"/>
        <v>218.72</v>
      </c>
      <c r="P143" s="71">
        <v>727.41</v>
      </c>
      <c r="Q143" s="55">
        <f t="shared" si="112"/>
        <v>1454.82</v>
      </c>
      <c r="R143" s="55">
        <f t="shared" si="113"/>
        <v>87685.22000000003</v>
      </c>
      <c r="S143" s="55">
        <f t="shared" si="114"/>
        <v>53432.319999999985</v>
      </c>
      <c r="T143" s="55">
        <f t="shared" si="115"/>
        <v>62314.779999999795</v>
      </c>
      <c r="U143" s="57">
        <f t="shared" si="116"/>
        <v>117685.22000000003</v>
      </c>
    </row>
    <row r="144" spans="1:65" x14ac:dyDescent="0.25">
      <c r="C144" s="55">
        <f t="shared" si="135"/>
        <v>0</v>
      </c>
      <c r="D144" s="55">
        <f t="shared" si="136"/>
        <v>0</v>
      </c>
      <c r="E144" s="55">
        <f t="shared" si="137"/>
        <v>0</v>
      </c>
      <c r="F144" s="55">
        <f t="shared" si="138"/>
        <v>0</v>
      </c>
      <c r="J144">
        <f t="shared" si="133"/>
        <v>11</v>
      </c>
      <c r="K144" s="70">
        <v>47727</v>
      </c>
      <c r="L144" s="55">
        <f t="shared" si="108"/>
        <v>62314.779999999795</v>
      </c>
      <c r="M144" s="55">
        <f t="shared" si="109"/>
        <v>727.41</v>
      </c>
      <c r="N144" s="55">
        <f t="shared" si="110"/>
        <v>512.93999999999994</v>
      </c>
      <c r="O144" s="55">
        <f t="shared" si="111"/>
        <v>214.47</v>
      </c>
      <c r="P144" s="71">
        <v>727.41</v>
      </c>
      <c r="Q144" s="55">
        <f t="shared" si="112"/>
        <v>1454.82</v>
      </c>
      <c r="R144" s="55">
        <f t="shared" si="113"/>
        <v>88925.570000000036</v>
      </c>
      <c r="S144" s="55">
        <f t="shared" si="114"/>
        <v>53646.789999999986</v>
      </c>
      <c r="T144" s="55">
        <f t="shared" si="115"/>
        <v>61074.429999999789</v>
      </c>
      <c r="U144" s="57">
        <f t="shared" si="116"/>
        <v>118925.57000000004</v>
      </c>
    </row>
    <row r="145" spans="3:21" x14ac:dyDescent="0.25">
      <c r="C145" s="55">
        <f t="shared" si="135"/>
        <v>0</v>
      </c>
      <c r="D145" s="55">
        <f t="shared" si="136"/>
        <v>0</v>
      </c>
      <c r="E145" s="55">
        <f t="shared" si="137"/>
        <v>0</v>
      </c>
      <c r="F145" s="55">
        <f t="shared" si="138"/>
        <v>0</v>
      </c>
      <c r="J145">
        <f t="shared" si="133"/>
        <v>11</v>
      </c>
      <c r="K145" s="70">
        <v>47757</v>
      </c>
      <c r="L145" s="55">
        <f t="shared" si="108"/>
        <v>61074.429999999789</v>
      </c>
      <c r="M145" s="55">
        <f t="shared" si="109"/>
        <v>727.41</v>
      </c>
      <c r="N145" s="55">
        <f t="shared" si="110"/>
        <v>517.21</v>
      </c>
      <c r="O145" s="55">
        <f t="shared" si="111"/>
        <v>210.2</v>
      </c>
      <c r="P145" s="71">
        <v>727.41</v>
      </c>
      <c r="Q145" s="55">
        <f t="shared" si="112"/>
        <v>1454.82</v>
      </c>
      <c r="R145" s="55">
        <f t="shared" si="113"/>
        <v>90170.190000000031</v>
      </c>
      <c r="S145" s="55">
        <f t="shared" si="114"/>
        <v>53856.989999999983</v>
      </c>
      <c r="T145" s="55">
        <f t="shared" si="115"/>
        <v>59829.809999999787</v>
      </c>
      <c r="U145" s="57">
        <f t="shared" si="116"/>
        <v>120170.19000000003</v>
      </c>
    </row>
    <row r="146" spans="3:21" x14ac:dyDescent="0.25">
      <c r="C146" s="55">
        <f t="shared" si="135"/>
        <v>0</v>
      </c>
      <c r="D146" s="55">
        <f t="shared" si="136"/>
        <v>0</v>
      </c>
      <c r="E146" s="55">
        <f t="shared" si="137"/>
        <v>0</v>
      </c>
      <c r="F146" s="55">
        <f t="shared" si="138"/>
        <v>0</v>
      </c>
      <c r="J146">
        <f t="shared" si="133"/>
        <v>11</v>
      </c>
      <c r="K146" s="70">
        <v>47788</v>
      </c>
      <c r="L146" s="55">
        <f t="shared" ref="L146:L209" si="159">$T145</f>
        <v>59829.809999999787</v>
      </c>
      <c r="M146" s="55">
        <f t="shared" ref="M146:M209" si="160">$K$11</f>
        <v>727.41</v>
      </c>
      <c r="N146" s="55">
        <f t="shared" ref="N146:N209" si="161">M146-O146</f>
        <v>521.5</v>
      </c>
      <c r="O146" s="55">
        <f t="shared" ref="O146:O209" si="162">ROUND($L146*$K$8/12,2)</f>
        <v>205.91</v>
      </c>
      <c r="P146" s="71">
        <v>727.41</v>
      </c>
      <c r="Q146" s="55">
        <f t="shared" ref="Q146:Q209" si="163">IF(T145&lt;100,0,M146+P146)</f>
        <v>1454.82</v>
      </c>
      <c r="R146" s="55">
        <f t="shared" ref="R146:R209" si="164">N146+P146+R145</f>
        <v>91419.100000000035</v>
      </c>
      <c r="S146" s="55">
        <f t="shared" ref="S146:S209" si="165">O146+S145</f>
        <v>54062.899999999987</v>
      </c>
      <c r="T146" s="55">
        <f t="shared" ref="T146:T209" si="166">IF(T145&lt;100,0,L146-N146-P146)</f>
        <v>58580.899999999783</v>
      </c>
      <c r="U146" s="57">
        <f t="shared" ref="U146:U209" si="167">IF(U145&gt;=180000,180000,K$6+R146)</f>
        <v>121419.10000000003</v>
      </c>
    </row>
    <row r="147" spans="3:21" x14ac:dyDescent="0.25">
      <c r="J147">
        <f t="shared" si="133"/>
        <v>11</v>
      </c>
      <c r="K147" s="70">
        <v>47818</v>
      </c>
      <c r="L147" s="55">
        <f t="shared" si="159"/>
        <v>58580.899999999783</v>
      </c>
      <c r="M147" s="55">
        <f t="shared" si="160"/>
        <v>727.41</v>
      </c>
      <c r="N147" s="55">
        <f t="shared" si="161"/>
        <v>525.79</v>
      </c>
      <c r="O147" s="55">
        <f t="shared" si="162"/>
        <v>201.62</v>
      </c>
      <c r="P147" s="71">
        <v>727.41</v>
      </c>
      <c r="Q147" s="55">
        <f t="shared" si="163"/>
        <v>1454.82</v>
      </c>
      <c r="R147" s="55">
        <f t="shared" si="164"/>
        <v>92672.300000000032</v>
      </c>
      <c r="S147" s="55">
        <f t="shared" si="165"/>
        <v>54264.51999999999</v>
      </c>
      <c r="T147" s="55">
        <f t="shared" si="166"/>
        <v>57327.699999999779</v>
      </c>
      <c r="U147" s="57">
        <f t="shared" si="167"/>
        <v>122672.30000000003</v>
      </c>
    </row>
    <row r="148" spans="3:21" x14ac:dyDescent="0.25">
      <c r="J148">
        <f t="shared" si="133"/>
        <v>12</v>
      </c>
      <c r="K148" s="70">
        <v>47849</v>
      </c>
      <c r="L148" s="55">
        <f t="shared" si="159"/>
        <v>57327.699999999779</v>
      </c>
      <c r="M148" s="55">
        <f t="shared" si="160"/>
        <v>727.41</v>
      </c>
      <c r="N148" s="55">
        <f t="shared" si="161"/>
        <v>530.1099999999999</v>
      </c>
      <c r="O148" s="55">
        <f t="shared" si="162"/>
        <v>197.3</v>
      </c>
      <c r="P148" s="71">
        <v>727.41</v>
      </c>
      <c r="Q148" s="55">
        <f t="shared" si="163"/>
        <v>1454.82</v>
      </c>
      <c r="R148" s="55">
        <f t="shared" si="164"/>
        <v>93929.820000000036</v>
      </c>
      <c r="S148" s="55">
        <f t="shared" si="165"/>
        <v>54461.819999999992</v>
      </c>
      <c r="T148" s="55">
        <f t="shared" si="166"/>
        <v>56070.179999999775</v>
      </c>
      <c r="U148" s="57">
        <f t="shared" si="167"/>
        <v>123929.82000000004</v>
      </c>
    </row>
    <row r="149" spans="3:21" x14ac:dyDescent="0.25">
      <c r="J149">
        <f t="shared" si="133"/>
        <v>12</v>
      </c>
      <c r="K149" s="70">
        <v>47880</v>
      </c>
      <c r="L149" s="55">
        <f t="shared" si="159"/>
        <v>56070.179999999775</v>
      </c>
      <c r="M149" s="55">
        <f t="shared" si="160"/>
        <v>727.41</v>
      </c>
      <c r="N149" s="55">
        <f t="shared" si="161"/>
        <v>534.43999999999994</v>
      </c>
      <c r="O149" s="55">
        <f t="shared" si="162"/>
        <v>192.97</v>
      </c>
      <c r="P149" s="71">
        <v>727.41</v>
      </c>
      <c r="Q149" s="55">
        <f t="shared" si="163"/>
        <v>1454.82</v>
      </c>
      <c r="R149" s="55">
        <f t="shared" si="164"/>
        <v>95191.670000000042</v>
      </c>
      <c r="S149" s="55">
        <f t="shared" si="165"/>
        <v>54654.789999999994</v>
      </c>
      <c r="T149" s="55">
        <f t="shared" si="166"/>
        <v>54808.329999999769</v>
      </c>
      <c r="U149" s="57">
        <f t="shared" si="167"/>
        <v>125191.67000000004</v>
      </c>
    </row>
    <row r="150" spans="3:21" x14ac:dyDescent="0.25">
      <c r="J150">
        <f t="shared" si="133"/>
        <v>12</v>
      </c>
      <c r="K150" s="70">
        <v>47908</v>
      </c>
      <c r="L150" s="55">
        <f t="shared" si="159"/>
        <v>54808.329999999769</v>
      </c>
      <c r="M150" s="55">
        <f t="shared" si="160"/>
        <v>727.41</v>
      </c>
      <c r="N150" s="55">
        <f t="shared" si="161"/>
        <v>538.78</v>
      </c>
      <c r="O150" s="55">
        <f t="shared" si="162"/>
        <v>188.63</v>
      </c>
      <c r="P150" s="71">
        <v>727.41</v>
      </c>
      <c r="Q150" s="55">
        <f t="shared" si="163"/>
        <v>1454.82</v>
      </c>
      <c r="R150" s="55">
        <f t="shared" si="164"/>
        <v>96457.860000000044</v>
      </c>
      <c r="S150" s="55">
        <f t="shared" si="165"/>
        <v>54843.419999999991</v>
      </c>
      <c r="T150" s="55">
        <f t="shared" si="166"/>
        <v>53542.139999999767</v>
      </c>
      <c r="U150" s="57">
        <f t="shared" si="167"/>
        <v>126457.86000000004</v>
      </c>
    </row>
    <row r="151" spans="3:21" x14ac:dyDescent="0.25">
      <c r="J151">
        <f t="shared" si="133"/>
        <v>12</v>
      </c>
      <c r="K151" s="70">
        <v>47939</v>
      </c>
      <c r="L151" s="55">
        <f t="shared" si="159"/>
        <v>53542.139999999767</v>
      </c>
      <c r="M151" s="55">
        <f t="shared" si="160"/>
        <v>727.41</v>
      </c>
      <c r="N151" s="55">
        <f t="shared" si="161"/>
        <v>543.14</v>
      </c>
      <c r="O151" s="55">
        <f t="shared" si="162"/>
        <v>184.27</v>
      </c>
      <c r="P151" s="71">
        <v>727.41</v>
      </c>
      <c r="Q151" s="55">
        <f t="shared" si="163"/>
        <v>1454.82</v>
      </c>
      <c r="R151" s="55">
        <f t="shared" si="164"/>
        <v>97728.410000000047</v>
      </c>
      <c r="S151" s="55">
        <f t="shared" si="165"/>
        <v>55027.689999999988</v>
      </c>
      <c r="T151" s="55">
        <f t="shared" si="166"/>
        <v>52271.589999999764</v>
      </c>
      <c r="U151" s="57">
        <f t="shared" si="167"/>
        <v>127728.41000000005</v>
      </c>
    </row>
    <row r="152" spans="3:21" x14ac:dyDescent="0.25">
      <c r="J152">
        <f t="shared" si="133"/>
        <v>12</v>
      </c>
      <c r="K152" s="70">
        <v>47969</v>
      </c>
      <c r="L152" s="55">
        <f t="shared" si="159"/>
        <v>52271.589999999764</v>
      </c>
      <c r="M152" s="55">
        <f t="shared" si="160"/>
        <v>727.41</v>
      </c>
      <c r="N152" s="55">
        <f t="shared" si="161"/>
        <v>547.51</v>
      </c>
      <c r="O152" s="55">
        <f t="shared" si="162"/>
        <v>179.9</v>
      </c>
      <c r="P152" s="71">
        <v>727.41</v>
      </c>
      <c r="Q152" s="55">
        <f t="shared" si="163"/>
        <v>1454.82</v>
      </c>
      <c r="R152" s="55">
        <f t="shared" si="164"/>
        <v>99003.330000000045</v>
      </c>
      <c r="S152" s="55">
        <f t="shared" si="165"/>
        <v>55207.589999999989</v>
      </c>
      <c r="T152" s="55">
        <f t="shared" si="166"/>
        <v>50996.669999999758</v>
      </c>
      <c r="U152" s="57">
        <f t="shared" si="167"/>
        <v>129003.33000000005</v>
      </c>
    </row>
    <row r="153" spans="3:21" x14ac:dyDescent="0.25">
      <c r="J153">
        <f t="shared" si="133"/>
        <v>12</v>
      </c>
      <c r="K153" s="70">
        <v>48000</v>
      </c>
      <c r="L153" s="55">
        <f t="shared" si="159"/>
        <v>50996.669999999758</v>
      </c>
      <c r="M153" s="55">
        <f t="shared" si="160"/>
        <v>727.41</v>
      </c>
      <c r="N153" s="55">
        <f t="shared" si="161"/>
        <v>551.9</v>
      </c>
      <c r="O153" s="55">
        <f t="shared" si="162"/>
        <v>175.51</v>
      </c>
      <c r="P153" s="71">
        <v>727.41</v>
      </c>
      <c r="Q153" s="55">
        <f t="shared" si="163"/>
        <v>1454.82</v>
      </c>
      <c r="R153" s="55">
        <f t="shared" si="164"/>
        <v>100282.64000000004</v>
      </c>
      <c r="S153" s="55">
        <f t="shared" si="165"/>
        <v>55383.099999999991</v>
      </c>
      <c r="T153" s="55">
        <f t="shared" si="166"/>
        <v>49717.359999999753</v>
      </c>
      <c r="U153" s="57">
        <f t="shared" si="167"/>
        <v>130282.64000000004</v>
      </c>
    </row>
    <row r="154" spans="3:21" x14ac:dyDescent="0.25">
      <c r="J154">
        <f t="shared" si="133"/>
        <v>12</v>
      </c>
      <c r="K154" s="70">
        <v>48030</v>
      </c>
      <c r="L154" s="55">
        <f t="shared" si="159"/>
        <v>49717.359999999753</v>
      </c>
      <c r="M154" s="55">
        <f t="shared" si="160"/>
        <v>727.41</v>
      </c>
      <c r="N154" s="55">
        <f t="shared" si="161"/>
        <v>556.29999999999995</v>
      </c>
      <c r="O154" s="55">
        <f t="shared" si="162"/>
        <v>171.11</v>
      </c>
      <c r="P154" s="71">
        <v>727.41</v>
      </c>
      <c r="Q154" s="55">
        <f t="shared" si="163"/>
        <v>1454.82</v>
      </c>
      <c r="R154" s="55">
        <f t="shared" si="164"/>
        <v>101566.35000000005</v>
      </c>
      <c r="S154" s="55">
        <f t="shared" si="165"/>
        <v>55554.209999999992</v>
      </c>
      <c r="T154" s="55">
        <f t="shared" si="166"/>
        <v>48433.649999999747</v>
      </c>
      <c r="U154" s="57">
        <f t="shared" si="167"/>
        <v>131566.35000000003</v>
      </c>
    </row>
    <row r="155" spans="3:21" x14ac:dyDescent="0.25">
      <c r="J155">
        <f t="shared" si="133"/>
        <v>12</v>
      </c>
      <c r="K155" s="70">
        <v>48061</v>
      </c>
      <c r="L155" s="55">
        <f t="shared" si="159"/>
        <v>48433.649999999747</v>
      </c>
      <c r="M155" s="55">
        <f t="shared" si="160"/>
        <v>727.41</v>
      </c>
      <c r="N155" s="55">
        <f t="shared" si="161"/>
        <v>560.72</v>
      </c>
      <c r="O155" s="55">
        <f t="shared" si="162"/>
        <v>166.69</v>
      </c>
      <c r="P155" s="71">
        <v>727.41</v>
      </c>
      <c r="Q155" s="55">
        <f t="shared" si="163"/>
        <v>1454.82</v>
      </c>
      <c r="R155" s="55">
        <f t="shared" si="164"/>
        <v>102854.48000000005</v>
      </c>
      <c r="S155" s="55">
        <f t="shared" si="165"/>
        <v>55720.899999999994</v>
      </c>
      <c r="T155" s="55">
        <f t="shared" si="166"/>
        <v>47145.519999999742</v>
      </c>
      <c r="U155" s="57">
        <f t="shared" si="167"/>
        <v>132854.48000000004</v>
      </c>
    </row>
    <row r="156" spans="3:21" x14ac:dyDescent="0.25">
      <c r="J156">
        <f t="shared" si="133"/>
        <v>12</v>
      </c>
      <c r="K156" s="70">
        <v>48092</v>
      </c>
      <c r="L156" s="55">
        <f t="shared" si="159"/>
        <v>47145.519999999742</v>
      </c>
      <c r="M156" s="55">
        <f t="shared" si="160"/>
        <v>727.41</v>
      </c>
      <c r="N156" s="55">
        <f t="shared" si="161"/>
        <v>565.15</v>
      </c>
      <c r="O156" s="55">
        <f t="shared" si="162"/>
        <v>162.26</v>
      </c>
      <c r="P156" s="71">
        <v>727.41</v>
      </c>
      <c r="Q156" s="55">
        <f t="shared" si="163"/>
        <v>1454.82</v>
      </c>
      <c r="R156" s="55">
        <f t="shared" si="164"/>
        <v>104147.04000000005</v>
      </c>
      <c r="S156" s="55">
        <f t="shared" si="165"/>
        <v>55883.159999999996</v>
      </c>
      <c r="T156" s="55">
        <f t="shared" si="166"/>
        <v>45852.959999999737</v>
      </c>
      <c r="U156" s="57">
        <f t="shared" si="167"/>
        <v>134147.04000000004</v>
      </c>
    </row>
    <row r="157" spans="3:21" x14ac:dyDescent="0.25">
      <c r="J157">
        <f t="shared" ref="J157:J220" si="168">J145+1</f>
        <v>12</v>
      </c>
      <c r="K157" s="70">
        <v>48122</v>
      </c>
      <c r="L157" s="55">
        <f t="shared" si="159"/>
        <v>45852.959999999737</v>
      </c>
      <c r="M157" s="55">
        <f t="shared" si="160"/>
        <v>727.41</v>
      </c>
      <c r="N157" s="55">
        <f t="shared" si="161"/>
        <v>569.59999999999991</v>
      </c>
      <c r="O157" s="55">
        <f t="shared" si="162"/>
        <v>157.81</v>
      </c>
      <c r="P157" s="71">
        <v>727.41</v>
      </c>
      <c r="Q157" s="55">
        <f t="shared" si="163"/>
        <v>1454.82</v>
      </c>
      <c r="R157" s="55">
        <f t="shared" si="164"/>
        <v>105444.05000000005</v>
      </c>
      <c r="S157" s="55">
        <f t="shared" si="165"/>
        <v>56040.969999999994</v>
      </c>
      <c r="T157" s="55">
        <f t="shared" si="166"/>
        <v>44555.949999999735</v>
      </c>
      <c r="U157" s="57">
        <f t="shared" si="167"/>
        <v>135444.05000000005</v>
      </c>
    </row>
    <row r="158" spans="3:21" x14ac:dyDescent="0.25">
      <c r="J158">
        <f t="shared" si="168"/>
        <v>12</v>
      </c>
      <c r="K158" s="70">
        <v>48153</v>
      </c>
      <c r="L158" s="55">
        <f t="shared" si="159"/>
        <v>44555.949999999735</v>
      </c>
      <c r="M158" s="55">
        <f t="shared" si="160"/>
        <v>727.41</v>
      </c>
      <c r="N158" s="55">
        <f t="shared" si="161"/>
        <v>574.05999999999995</v>
      </c>
      <c r="O158" s="55">
        <f t="shared" si="162"/>
        <v>153.35</v>
      </c>
      <c r="P158" s="71">
        <v>727.41</v>
      </c>
      <c r="Q158" s="55">
        <f t="shared" si="163"/>
        <v>1454.82</v>
      </c>
      <c r="R158" s="55">
        <f t="shared" si="164"/>
        <v>106745.52000000005</v>
      </c>
      <c r="S158" s="55">
        <f t="shared" si="165"/>
        <v>56194.319999999992</v>
      </c>
      <c r="T158" s="55">
        <f t="shared" si="166"/>
        <v>43254.479999999734</v>
      </c>
      <c r="U158" s="57">
        <f t="shared" si="167"/>
        <v>136745.52000000005</v>
      </c>
    </row>
    <row r="159" spans="3:21" x14ac:dyDescent="0.25">
      <c r="J159">
        <f t="shared" si="168"/>
        <v>12</v>
      </c>
      <c r="K159" s="70">
        <v>48183</v>
      </c>
      <c r="L159" s="55">
        <f t="shared" si="159"/>
        <v>43254.479999999734</v>
      </c>
      <c r="M159" s="55">
        <f t="shared" si="160"/>
        <v>727.41</v>
      </c>
      <c r="N159" s="55">
        <f t="shared" si="161"/>
        <v>578.54</v>
      </c>
      <c r="O159" s="55">
        <f t="shared" si="162"/>
        <v>148.87</v>
      </c>
      <c r="P159" s="71">
        <v>727.41</v>
      </c>
      <c r="Q159" s="55">
        <f t="shared" si="163"/>
        <v>1454.82</v>
      </c>
      <c r="R159" s="55">
        <f t="shared" si="164"/>
        <v>108051.47000000004</v>
      </c>
      <c r="S159" s="55">
        <f t="shared" si="165"/>
        <v>56343.189999999995</v>
      </c>
      <c r="T159" s="55">
        <f t="shared" si="166"/>
        <v>41948.52999999973</v>
      </c>
      <c r="U159" s="57">
        <f t="shared" si="167"/>
        <v>138051.47000000003</v>
      </c>
    </row>
    <row r="160" spans="3:21" x14ac:dyDescent="0.25">
      <c r="J160">
        <f t="shared" si="168"/>
        <v>13</v>
      </c>
      <c r="K160" s="70">
        <v>48214</v>
      </c>
      <c r="L160" s="55">
        <f t="shared" si="159"/>
        <v>41948.52999999973</v>
      </c>
      <c r="M160" s="55">
        <f t="shared" si="160"/>
        <v>727.41</v>
      </c>
      <c r="N160" s="55">
        <f t="shared" si="161"/>
        <v>583.04</v>
      </c>
      <c r="O160" s="55">
        <f t="shared" si="162"/>
        <v>144.37</v>
      </c>
      <c r="P160" s="71">
        <v>727.41</v>
      </c>
      <c r="Q160" s="55">
        <f t="shared" si="163"/>
        <v>1454.82</v>
      </c>
      <c r="R160" s="55">
        <f t="shared" si="164"/>
        <v>109361.92000000004</v>
      </c>
      <c r="S160" s="55">
        <f t="shared" si="165"/>
        <v>56487.56</v>
      </c>
      <c r="T160" s="55">
        <f t="shared" si="166"/>
        <v>40638.079999999725</v>
      </c>
      <c r="U160" s="57">
        <f t="shared" si="167"/>
        <v>139361.92000000004</v>
      </c>
    </row>
    <row r="161" spans="10:21" x14ac:dyDescent="0.25">
      <c r="J161">
        <f t="shared" si="168"/>
        <v>13</v>
      </c>
      <c r="K161" s="70">
        <v>48245</v>
      </c>
      <c r="L161" s="55">
        <f t="shared" si="159"/>
        <v>40638.079999999725</v>
      </c>
      <c r="M161" s="55">
        <f t="shared" si="160"/>
        <v>727.41</v>
      </c>
      <c r="N161" s="55">
        <f t="shared" si="161"/>
        <v>587.54999999999995</v>
      </c>
      <c r="O161" s="55">
        <f t="shared" si="162"/>
        <v>139.86000000000001</v>
      </c>
      <c r="P161" s="71">
        <v>727.41</v>
      </c>
      <c r="Q161" s="55">
        <f t="shared" si="163"/>
        <v>1454.82</v>
      </c>
      <c r="R161" s="55">
        <f t="shared" si="164"/>
        <v>110676.88000000005</v>
      </c>
      <c r="S161" s="55">
        <f t="shared" si="165"/>
        <v>56627.42</v>
      </c>
      <c r="T161" s="55">
        <f t="shared" si="166"/>
        <v>39323.119999999719</v>
      </c>
      <c r="U161" s="57">
        <f t="shared" si="167"/>
        <v>140676.88000000006</v>
      </c>
    </row>
    <row r="162" spans="10:21" x14ac:dyDescent="0.25">
      <c r="J162">
        <f t="shared" si="168"/>
        <v>13</v>
      </c>
      <c r="K162" s="70">
        <v>48274</v>
      </c>
      <c r="L162" s="55">
        <f t="shared" si="159"/>
        <v>39323.119999999719</v>
      </c>
      <c r="M162" s="55">
        <f t="shared" si="160"/>
        <v>727.41</v>
      </c>
      <c r="N162" s="55">
        <f t="shared" si="161"/>
        <v>592.06999999999994</v>
      </c>
      <c r="O162" s="55">
        <f t="shared" si="162"/>
        <v>135.34</v>
      </c>
      <c r="P162" s="71">
        <v>727.41</v>
      </c>
      <c r="Q162" s="55">
        <f t="shared" si="163"/>
        <v>1454.82</v>
      </c>
      <c r="R162" s="55">
        <f t="shared" si="164"/>
        <v>111996.36000000004</v>
      </c>
      <c r="S162" s="55">
        <f t="shared" si="165"/>
        <v>56762.759999999995</v>
      </c>
      <c r="T162" s="55">
        <f t="shared" si="166"/>
        <v>38003.639999999716</v>
      </c>
      <c r="U162" s="57">
        <f t="shared" si="167"/>
        <v>141996.36000000004</v>
      </c>
    </row>
    <row r="163" spans="10:21" x14ac:dyDescent="0.25">
      <c r="J163">
        <f t="shared" si="168"/>
        <v>13</v>
      </c>
      <c r="K163" s="70">
        <v>48305</v>
      </c>
      <c r="L163" s="55">
        <f t="shared" si="159"/>
        <v>38003.639999999716</v>
      </c>
      <c r="M163" s="55">
        <f t="shared" si="160"/>
        <v>727.41</v>
      </c>
      <c r="N163" s="55">
        <f t="shared" si="161"/>
        <v>596.6099999999999</v>
      </c>
      <c r="O163" s="55">
        <f t="shared" si="162"/>
        <v>130.80000000000001</v>
      </c>
      <c r="P163" s="71">
        <v>727.41</v>
      </c>
      <c r="Q163" s="55">
        <f t="shared" si="163"/>
        <v>1454.82</v>
      </c>
      <c r="R163" s="55">
        <f t="shared" si="164"/>
        <v>113320.38000000005</v>
      </c>
      <c r="S163" s="55">
        <f t="shared" si="165"/>
        <v>56893.56</v>
      </c>
      <c r="T163" s="55">
        <f t="shared" si="166"/>
        <v>36679.619999999712</v>
      </c>
      <c r="U163" s="57">
        <f t="shared" si="167"/>
        <v>143320.38000000006</v>
      </c>
    </row>
    <row r="164" spans="10:21" x14ac:dyDescent="0.25">
      <c r="J164">
        <f t="shared" si="168"/>
        <v>13</v>
      </c>
      <c r="K164" s="70">
        <v>48335</v>
      </c>
      <c r="L164" s="55">
        <f t="shared" si="159"/>
        <v>36679.619999999712</v>
      </c>
      <c r="M164" s="55">
        <f t="shared" si="160"/>
        <v>727.41</v>
      </c>
      <c r="N164" s="55">
        <f t="shared" si="161"/>
        <v>601.16999999999996</v>
      </c>
      <c r="O164" s="55">
        <f t="shared" si="162"/>
        <v>126.24</v>
      </c>
      <c r="P164" s="71">
        <v>727.41</v>
      </c>
      <c r="Q164" s="55">
        <f t="shared" si="163"/>
        <v>1454.82</v>
      </c>
      <c r="R164" s="55">
        <f t="shared" si="164"/>
        <v>114648.96000000005</v>
      </c>
      <c r="S164" s="55">
        <f t="shared" si="165"/>
        <v>57019.799999999996</v>
      </c>
      <c r="T164" s="55">
        <f t="shared" si="166"/>
        <v>35351.03999999971</v>
      </c>
      <c r="U164" s="57">
        <f t="shared" si="167"/>
        <v>144648.96000000005</v>
      </c>
    </row>
    <row r="165" spans="10:21" x14ac:dyDescent="0.25">
      <c r="J165">
        <f t="shared" si="168"/>
        <v>13</v>
      </c>
      <c r="K165" s="70">
        <v>48366</v>
      </c>
      <c r="L165" s="55">
        <f t="shared" si="159"/>
        <v>35351.03999999971</v>
      </c>
      <c r="M165" s="55">
        <f t="shared" si="160"/>
        <v>727.41</v>
      </c>
      <c r="N165" s="55">
        <f t="shared" si="161"/>
        <v>605.74</v>
      </c>
      <c r="O165" s="55">
        <f t="shared" si="162"/>
        <v>121.67</v>
      </c>
      <c r="P165" s="71">
        <v>727.41</v>
      </c>
      <c r="Q165" s="55">
        <f t="shared" si="163"/>
        <v>1454.82</v>
      </c>
      <c r="R165" s="55">
        <f t="shared" si="164"/>
        <v>115982.11000000004</v>
      </c>
      <c r="S165" s="55">
        <f t="shared" si="165"/>
        <v>57141.469999999994</v>
      </c>
      <c r="T165" s="55">
        <f t="shared" si="166"/>
        <v>34017.889999999708</v>
      </c>
      <c r="U165" s="57">
        <f t="shared" si="167"/>
        <v>145982.11000000004</v>
      </c>
    </row>
    <row r="166" spans="10:21" x14ac:dyDescent="0.25">
      <c r="J166">
        <f t="shared" si="168"/>
        <v>13</v>
      </c>
      <c r="K166" s="70">
        <v>48396</v>
      </c>
      <c r="L166" s="55">
        <f t="shared" si="159"/>
        <v>34017.889999999708</v>
      </c>
      <c r="M166" s="55">
        <f t="shared" si="160"/>
        <v>727.41</v>
      </c>
      <c r="N166" s="55">
        <f t="shared" si="161"/>
        <v>610.32999999999993</v>
      </c>
      <c r="O166" s="55">
        <f t="shared" si="162"/>
        <v>117.08</v>
      </c>
      <c r="P166" s="71">
        <v>727.41</v>
      </c>
      <c r="Q166" s="55">
        <f t="shared" si="163"/>
        <v>1454.82</v>
      </c>
      <c r="R166" s="55">
        <f t="shared" si="164"/>
        <v>117319.85000000005</v>
      </c>
      <c r="S166" s="55">
        <f t="shared" si="165"/>
        <v>57258.549999999996</v>
      </c>
      <c r="T166" s="55">
        <f t="shared" si="166"/>
        <v>32680.149999999707</v>
      </c>
      <c r="U166" s="57">
        <f t="shared" si="167"/>
        <v>147319.85000000003</v>
      </c>
    </row>
    <row r="167" spans="10:21" x14ac:dyDescent="0.25">
      <c r="J167">
        <f t="shared" si="168"/>
        <v>13</v>
      </c>
      <c r="K167" s="70">
        <v>48427</v>
      </c>
      <c r="L167" s="55">
        <f t="shared" si="159"/>
        <v>32680.149999999707</v>
      </c>
      <c r="M167" s="55">
        <f t="shared" si="160"/>
        <v>727.41</v>
      </c>
      <c r="N167" s="55">
        <f t="shared" si="161"/>
        <v>614.93999999999994</v>
      </c>
      <c r="O167" s="55">
        <f t="shared" si="162"/>
        <v>112.47</v>
      </c>
      <c r="P167" s="71">
        <v>727.41</v>
      </c>
      <c r="Q167" s="55">
        <f t="shared" si="163"/>
        <v>1454.82</v>
      </c>
      <c r="R167" s="55">
        <f t="shared" si="164"/>
        <v>118662.20000000006</v>
      </c>
      <c r="S167" s="55">
        <f t="shared" si="165"/>
        <v>57371.02</v>
      </c>
      <c r="T167" s="55">
        <f t="shared" si="166"/>
        <v>31337.799999999708</v>
      </c>
      <c r="U167" s="57">
        <f t="shared" si="167"/>
        <v>148662.20000000007</v>
      </c>
    </row>
    <row r="168" spans="10:21" x14ac:dyDescent="0.25">
      <c r="J168">
        <f t="shared" si="168"/>
        <v>13</v>
      </c>
      <c r="K168" s="70">
        <v>48458</v>
      </c>
      <c r="L168" s="55">
        <f t="shared" si="159"/>
        <v>31337.799999999708</v>
      </c>
      <c r="M168" s="55">
        <f t="shared" si="160"/>
        <v>727.41</v>
      </c>
      <c r="N168" s="55">
        <f t="shared" si="161"/>
        <v>619.55999999999995</v>
      </c>
      <c r="O168" s="55">
        <f t="shared" si="162"/>
        <v>107.85</v>
      </c>
      <c r="P168" s="71">
        <v>727.41</v>
      </c>
      <c r="Q168" s="55">
        <f t="shared" si="163"/>
        <v>1454.82</v>
      </c>
      <c r="R168" s="55">
        <f t="shared" si="164"/>
        <v>120009.17000000006</v>
      </c>
      <c r="S168" s="55">
        <f t="shared" si="165"/>
        <v>57478.869999999995</v>
      </c>
      <c r="T168" s="55">
        <f t="shared" si="166"/>
        <v>29990.829999999707</v>
      </c>
      <c r="U168" s="57">
        <f t="shared" si="167"/>
        <v>150009.17000000004</v>
      </c>
    </row>
    <row r="169" spans="10:21" x14ac:dyDescent="0.25">
      <c r="J169">
        <f t="shared" si="168"/>
        <v>13</v>
      </c>
      <c r="K169" s="70">
        <v>48488</v>
      </c>
      <c r="L169" s="55">
        <f t="shared" si="159"/>
        <v>29990.829999999707</v>
      </c>
      <c r="M169" s="55">
        <f t="shared" si="160"/>
        <v>727.41</v>
      </c>
      <c r="N169" s="55">
        <f t="shared" si="161"/>
        <v>624.18999999999994</v>
      </c>
      <c r="O169" s="55">
        <f t="shared" si="162"/>
        <v>103.22</v>
      </c>
      <c r="P169" s="71">
        <v>727.41</v>
      </c>
      <c r="Q169" s="55">
        <f t="shared" si="163"/>
        <v>1454.82</v>
      </c>
      <c r="R169" s="55">
        <f t="shared" si="164"/>
        <v>121360.77000000006</v>
      </c>
      <c r="S169" s="55">
        <f t="shared" si="165"/>
        <v>57582.09</v>
      </c>
      <c r="T169" s="55">
        <f t="shared" si="166"/>
        <v>28639.229999999709</v>
      </c>
      <c r="U169" s="57">
        <f t="shared" si="167"/>
        <v>151360.77000000008</v>
      </c>
    </row>
    <row r="170" spans="10:21" x14ac:dyDescent="0.25">
      <c r="J170">
        <f t="shared" si="168"/>
        <v>13</v>
      </c>
      <c r="K170" s="70">
        <v>48519</v>
      </c>
      <c r="L170" s="55">
        <f t="shared" si="159"/>
        <v>28639.229999999709</v>
      </c>
      <c r="M170" s="55">
        <f t="shared" si="160"/>
        <v>727.41</v>
      </c>
      <c r="N170" s="55">
        <f t="shared" si="161"/>
        <v>628.83999999999992</v>
      </c>
      <c r="O170" s="55">
        <f t="shared" si="162"/>
        <v>98.57</v>
      </c>
      <c r="P170" s="71">
        <v>727.41</v>
      </c>
      <c r="Q170" s="55">
        <f t="shared" si="163"/>
        <v>1454.82</v>
      </c>
      <c r="R170" s="55">
        <f t="shared" si="164"/>
        <v>122717.02000000006</v>
      </c>
      <c r="S170" s="55">
        <f t="shared" si="165"/>
        <v>57680.659999999996</v>
      </c>
      <c r="T170" s="55">
        <f t="shared" si="166"/>
        <v>27282.979999999709</v>
      </c>
      <c r="U170" s="57">
        <f t="shared" si="167"/>
        <v>152717.02000000008</v>
      </c>
    </row>
    <row r="171" spans="10:21" x14ac:dyDescent="0.25">
      <c r="J171">
        <f t="shared" si="168"/>
        <v>13</v>
      </c>
      <c r="K171" s="70">
        <v>48549</v>
      </c>
      <c r="L171" s="55">
        <f t="shared" si="159"/>
        <v>27282.979999999709</v>
      </c>
      <c r="M171" s="55">
        <f t="shared" si="160"/>
        <v>727.41</v>
      </c>
      <c r="N171" s="55">
        <f t="shared" si="161"/>
        <v>633.51</v>
      </c>
      <c r="O171" s="55">
        <f t="shared" si="162"/>
        <v>93.9</v>
      </c>
      <c r="P171" s="71">
        <v>727.41</v>
      </c>
      <c r="Q171" s="55">
        <f t="shared" si="163"/>
        <v>1454.82</v>
      </c>
      <c r="R171" s="55">
        <f t="shared" si="164"/>
        <v>124077.94000000006</v>
      </c>
      <c r="S171" s="55">
        <f t="shared" si="165"/>
        <v>57774.559999999998</v>
      </c>
      <c r="T171" s="55">
        <f t="shared" si="166"/>
        <v>25922.05999999971</v>
      </c>
      <c r="U171" s="57">
        <f t="shared" si="167"/>
        <v>154077.94000000006</v>
      </c>
    </row>
    <row r="172" spans="10:21" x14ac:dyDescent="0.25">
      <c r="J172">
        <f t="shared" si="168"/>
        <v>14</v>
      </c>
      <c r="K172" s="70">
        <v>48580</v>
      </c>
      <c r="L172" s="55">
        <f t="shared" si="159"/>
        <v>25922.05999999971</v>
      </c>
      <c r="M172" s="55">
        <f t="shared" si="160"/>
        <v>727.41</v>
      </c>
      <c r="N172" s="55">
        <f t="shared" si="161"/>
        <v>638.18999999999994</v>
      </c>
      <c r="O172" s="55">
        <f t="shared" si="162"/>
        <v>89.22</v>
      </c>
      <c r="P172" s="71">
        <v>727.41</v>
      </c>
      <c r="Q172" s="55">
        <f t="shared" si="163"/>
        <v>1454.82</v>
      </c>
      <c r="R172" s="55">
        <f t="shared" si="164"/>
        <v>125443.54000000007</v>
      </c>
      <c r="S172" s="55">
        <f t="shared" si="165"/>
        <v>57863.78</v>
      </c>
      <c r="T172" s="55">
        <f t="shared" si="166"/>
        <v>24556.459999999712</v>
      </c>
      <c r="U172" s="57">
        <f t="shared" si="167"/>
        <v>155443.54000000007</v>
      </c>
    </row>
    <row r="173" spans="10:21" x14ac:dyDescent="0.25">
      <c r="J173">
        <f t="shared" si="168"/>
        <v>14</v>
      </c>
      <c r="K173" s="70">
        <v>48611</v>
      </c>
      <c r="L173" s="55">
        <f t="shared" si="159"/>
        <v>24556.459999999712</v>
      </c>
      <c r="M173" s="55">
        <f t="shared" si="160"/>
        <v>727.41</v>
      </c>
      <c r="N173" s="55">
        <f t="shared" si="161"/>
        <v>642.89</v>
      </c>
      <c r="O173" s="55">
        <f t="shared" si="162"/>
        <v>84.52</v>
      </c>
      <c r="P173" s="71">
        <v>727.41</v>
      </c>
      <c r="Q173" s="55">
        <f t="shared" si="163"/>
        <v>1454.82</v>
      </c>
      <c r="R173" s="55">
        <f t="shared" si="164"/>
        <v>126813.84000000007</v>
      </c>
      <c r="S173" s="55">
        <f t="shared" si="165"/>
        <v>57948.299999999996</v>
      </c>
      <c r="T173" s="55">
        <f t="shared" si="166"/>
        <v>23186.159999999712</v>
      </c>
      <c r="U173" s="57">
        <f t="shared" si="167"/>
        <v>156813.84000000008</v>
      </c>
    </row>
    <row r="174" spans="10:21" x14ac:dyDescent="0.25">
      <c r="J174">
        <f t="shared" si="168"/>
        <v>14</v>
      </c>
      <c r="K174" s="70">
        <v>48639</v>
      </c>
      <c r="L174" s="55">
        <f t="shared" si="159"/>
        <v>23186.159999999712</v>
      </c>
      <c r="M174" s="55">
        <f t="shared" si="160"/>
        <v>727.41</v>
      </c>
      <c r="N174" s="55">
        <f t="shared" si="161"/>
        <v>647.61</v>
      </c>
      <c r="O174" s="55">
        <f t="shared" si="162"/>
        <v>79.8</v>
      </c>
      <c r="P174" s="71">
        <v>727.41</v>
      </c>
      <c r="Q174" s="55">
        <f t="shared" si="163"/>
        <v>1454.82</v>
      </c>
      <c r="R174" s="55">
        <f t="shared" si="164"/>
        <v>128188.86000000007</v>
      </c>
      <c r="S174" s="55">
        <f t="shared" si="165"/>
        <v>58028.1</v>
      </c>
      <c r="T174" s="55">
        <f t="shared" si="166"/>
        <v>21811.139999999712</v>
      </c>
      <c r="U174" s="57">
        <f t="shared" si="167"/>
        <v>158188.86000000007</v>
      </c>
    </row>
    <row r="175" spans="10:21" x14ac:dyDescent="0.25">
      <c r="J175">
        <f t="shared" si="168"/>
        <v>14</v>
      </c>
      <c r="K175" s="70">
        <v>48670</v>
      </c>
      <c r="L175" s="55">
        <f t="shared" si="159"/>
        <v>21811.139999999712</v>
      </c>
      <c r="M175" s="55">
        <f t="shared" si="160"/>
        <v>727.41</v>
      </c>
      <c r="N175" s="55">
        <f t="shared" si="161"/>
        <v>652.33999999999992</v>
      </c>
      <c r="O175" s="55">
        <f t="shared" si="162"/>
        <v>75.069999999999993</v>
      </c>
      <c r="P175" s="71">
        <v>727.41</v>
      </c>
      <c r="Q175" s="55">
        <f t="shared" si="163"/>
        <v>1454.82</v>
      </c>
      <c r="R175" s="55">
        <f t="shared" si="164"/>
        <v>129568.61000000007</v>
      </c>
      <c r="S175" s="55">
        <f t="shared" si="165"/>
        <v>58103.17</v>
      </c>
      <c r="T175" s="55">
        <f t="shared" si="166"/>
        <v>20431.389999999712</v>
      </c>
      <c r="U175" s="57">
        <f t="shared" si="167"/>
        <v>159568.61000000007</v>
      </c>
    </row>
    <row r="176" spans="10:21" x14ac:dyDescent="0.25">
      <c r="J176">
        <f t="shared" si="168"/>
        <v>14</v>
      </c>
      <c r="K176" s="70">
        <v>48700</v>
      </c>
      <c r="L176" s="55">
        <f t="shared" si="159"/>
        <v>20431.389999999712</v>
      </c>
      <c r="M176" s="55">
        <f t="shared" si="160"/>
        <v>727.41</v>
      </c>
      <c r="N176" s="55">
        <f t="shared" si="161"/>
        <v>657.08999999999992</v>
      </c>
      <c r="O176" s="55">
        <f t="shared" si="162"/>
        <v>70.319999999999993</v>
      </c>
      <c r="P176" s="71">
        <v>727.41</v>
      </c>
      <c r="Q176" s="55">
        <f t="shared" si="163"/>
        <v>1454.82</v>
      </c>
      <c r="R176" s="55">
        <f t="shared" si="164"/>
        <v>130953.11000000007</v>
      </c>
      <c r="S176" s="55">
        <f t="shared" si="165"/>
        <v>58173.49</v>
      </c>
      <c r="T176" s="55">
        <f t="shared" si="166"/>
        <v>19046.889999999712</v>
      </c>
      <c r="U176" s="57">
        <f t="shared" si="167"/>
        <v>160953.11000000007</v>
      </c>
    </row>
    <row r="177" spans="10:21" x14ac:dyDescent="0.25">
      <c r="J177">
        <f t="shared" si="168"/>
        <v>14</v>
      </c>
      <c r="K177" s="70">
        <v>48731</v>
      </c>
      <c r="L177" s="55">
        <f t="shared" si="159"/>
        <v>19046.889999999712</v>
      </c>
      <c r="M177" s="55">
        <f t="shared" si="160"/>
        <v>727.41</v>
      </c>
      <c r="N177" s="55">
        <f t="shared" si="161"/>
        <v>661.86</v>
      </c>
      <c r="O177" s="55">
        <f t="shared" si="162"/>
        <v>65.55</v>
      </c>
      <c r="P177" s="71">
        <v>727.41</v>
      </c>
      <c r="Q177" s="55">
        <f t="shared" si="163"/>
        <v>1454.82</v>
      </c>
      <c r="R177" s="55">
        <f t="shared" si="164"/>
        <v>132342.38000000006</v>
      </c>
      <c r="S177" s="55">
        <f t="shared" si="165"/>
        <v>58239.040000000001</v>
      </c>
      <c r="T177" s="55">
        <f t="shared" si="166"/>
        <v>17657.619999999712</v>
      </c>
      <c r="U177" s="57">
        <f t="shared" si="167"/>
        <v>162342.38000000006</v>
      </c>
    </row>
    <row r="178" spans="10:21" x14ac:dyDescent="0.25">
      <c r="J178">
        <f t="shared" si="168"/>
        <v>14</v>
      </c>
      <c r="K178" s="70">
        <v>48761</v>
      </c>
      <c r="L178" s="55">
        <f t="shared" si="159"/>
        <v>17657.619999999712</v>
      </c>
      <c r="M178" s="55">
        <f t="shared" si="160"/>
        <v>727.41</v>
      </c>
      <c r="N178" s="55">
        <f t="shared" si="161"/>
        <v>666.64</v>
      </c>
      <c r="O178" s="55">
        <f t="shared" si="162"/>
        <v>60.77</v>
      </c>
      <c r="P178" s="71">
        <v>727.41</v>
      </c>
      <c r="Q178" s="55">
        <f t="shared" si="163"/>
        <v>1454.82</v>
      </c>
      <c r="R178" s="55">
        <f t="shared" si="164"/>
        <v>133736.43000000005</v>
      </c>
      <c r="S178" s="55">
        <f t="shared" si="165"/>
        <v>58299.81</v>
      </c>
      <c r="T178" s="55">
        <f t="shared" si="166"/>
        <v>16263.569999999712</v>
      </c>
      <c r="U178" s="57">
        <f t="shared" si="167"/>
        <v>163736.43000000005</v>
      </c>
    </row>
    <row r="179" spans="10:21" x14ac:dyDescent="0.25">
      <c r="J179">
        <f t="shared" si="168"/>
        <v>14</v>
      </c>
      <c r="K179" s="70">
        <v>48792</v>
      </c>
      <c r="L179" s="55">
        <f t="shared" si="159"/>
        <v>16263.569999999712</v>
      </c>
      <c r="M179" s="55">
        <f t="shared" si="160"/>
        <v>727.41</v>
      </c>
      <c r="N179" s="55">
        <f t="shared" si="161"/>
        <v>671.43999999999994</v>
      </c>
      <c r="O179" s="55">
        <f t="shared" si="162"/>
        <v>55.97</v>
      </c>
      <c r="P179" s="71">
        <v>727.41</v>
      </c>
      <c r="Q179" s="55">
        <f t="shared" si="163"/>
        <v>1454.82</v>
      </c>
      <c r="R179" s="55">
        <f t="shared" si="164"/>
        <v>135135.28000000006</v>
      </c>
      <c r="S179" s="55">
        <f t="shared" si="165"/>
        <v>58355.78</v>
      </c>
      <c r="T179" s="55">
        <f t="shared" si="166"/>
        <v>14864.719999999712</v>
      </c>
      <c r="U179" s="57">
        <f t="shared" si="167"/>
        <v>165135.28000000006</v>
      </c>
    </row>
    <row r="180" spans="10:21" x14ac:dyDescent="0.25">
      <c r="J180">
        <f t="shared" si="168"/>
        <v>14</v>
      </c>
      <c r="K180" s="70">
        <v>48823</v>
      </c>
      <c r="L180" s="55">
        <f t="shared" si="159"/>
        <v>14864.719999999712</v>
      </c>
      <c r="M180" s="55">
        <f t="shared" si="160"/>
        <v>727.41</v>
      </c>
      <c r="N180" s="55">
        <f t="shared" si="161"/>
        <v>676.25</v>
      </c>
      <c r="O180" s="55">
        <f t="shared" si="162"/>
        <v>51.16</v>
      </c>
      <c r="P180" s="71">
        <v>727.41</v>
      </c>
      <c r="Q180" s="55">
        <f t="shared" si="163"/>
        <v>1454.82</v>
      </c>
      <c r="R180" s="55">
        <f t="shared" si="164"/>
        <v>136538.94000000006</v>
      </c>
      <c r="S180" s="55">
        <f t="shared" si="165"/>
        <v>58406.94</v>
      </c>
      <c r="T180" s="55">
        <f t="shared" si="166"/>
        <v>13461.059999999712</v>
      </c>
      <c r="U180" s="57">
        <f t="shared" si="167"/>
        <v>166538.94000000006</v>
      </c>
    </row>
    <row r="181" spans="10:21" x14ac:dyDescent="0.25">
      <c r="J181">
        <f t="shared" si="168"/>
        <v>14</v>
      </c>
      <c r="K181" s="70">
        <v>48853</v>
      </c>
      <c r="L181" s="55">
        <f t="shared" si="159"/>
        <v>13461.059999999712</v>
      </c>
      <c r="M181" s="55">
        <f t="shared" si="160"/>
        <v>727.41</v>
      </c>
      <c r="N181" s="55">
        <f t="shared" si="161"/>
        <v>681.07999999999993</v>
      </c>
      <c r="O181" s="55">
        <f t="shared" si="162"/>
        <v>46.33</v>
      </c>
      <c r="P181" s="71">
        <v>727.41</v>
      </c>
      <c r="Q181" s="55">
        <f t="shared" si="163"/>
        <v>1454.82</v>
      </c>
      <c r="R181" s="55">
        <f t="shared" si="164"/>
        <v>137947.43000000005</v>
      </c>
      <c r="S181" s="55">
        <f t="shared" si="165"/>
        <v>58453.270000000004</v>
      </c>
      <c r="T181" s="55">
        <f t="shared" si="166"/>
        <v>12052.569999999712</v>
      </c>
      <c r="U181" s="57">
        <f t="shared" si="167"/>
        <v>167947.43000000005</v>
      </c>
    </row>
    <row r="182" spans="10:21" x14ac:dyDescent="0.25">
      <c r="J182">
        <f t="shared" si="168"/>
        <v>14</v>
      </c>
      <c r="K182" s="70">
        <v>48884</v>
      </c>
      <c r="L182" s="55">
        <f t="shared" si="159"/>
        <v>12052.569999999712</v>
      </c>
      <c r="M182" s="55">
        <f t="shared" si="160"/>
        <v>727.41</v>
      </c>
      <c r="N182" s="55">
        <f t="shared" si="161"/>
        <v>685.93</v>
      </c>
      <c r="O182" s="55">
        <f t="shared" si="162"/>
        <v>41.48</v>
      </c>
      <c r="P182" s="71">
        <v>727.41</v>
      </c>
      <c r="Q182" s="55">
        <f t="shared" si="163"/>
        <v>1454.82</v>
      </c>
      <c r="R182" s="55">
        <f t="shared" si="164"/>
        <v>139360.77000000005</v>
      </c>
      <c r="S182" s="55">
        <f t="shared" si="165"/>
        <v>58494.750000000007</v>
      </c>
      <c r="T182" s="55">
        <f t="shared" si="166"/>
        <v>10639.229999999712</v>
      </c>
      <c r="U182" s="57">
        <f t="shared" si="167"/>
        <v>169360.77000000005</v>
      </c>
    </row>
    <row r="183" spans="10:21" x14ac:dyDescent="0.25">
      <c r="J183">
        <f t="shared" si="168"/>
        <v>14</v>
      </c>
      <c r="K183" s="70">
        <v>48914</v>
      </c>
      <c r="L183" s="55">
        <f t="shared" si="159"/>
        <v>10639.229999999712</v>
      </c>
      <c r="M183" s="55">
        <f t="shared" si="160"/>
        <v>727.41</v>
      </c>
      <c r="N183" s="55">
        <f t="shared" si="161"/>
        <v>690.79</v>
      </c>
      <c r="O183" s="55">
        <f t="shared" si="162"/>
        <v>36.619999999999997</v>
      </c>
      <c r="P183" s="71">
        <v>727.41</v>
      </c>
      <c r="Q183" s="55">
        <f t="shared" si="163"/>
        <v>1454.82</v>
      </c>
      <c r="R183" s="55">
        <f t="shared" si="164"/>
        <v>140778.97000000006</v>
      </c>
      <c r="S183" s="55">
        <f t="shared" si="165"/>
        <v>58531.37000000001</v>
      </c>
      <c r="T183" s="55">
        <f t="shared" si="166"/>
        <v>9221.0299999997114</v>
      </c>
      <c r="U183" s="57">
        <f t="shared" si="167"/>
        <v>170778.97000000006</v>
      </c>
    </row>
    <row r="184" spans="10:21" x14ac:dyDescent="0.25">
      <c r="J184">
        <f t="shared" si="168"/>
        <v>15</v>
      </c>
      <c r="K184" s="70">
        <v>48945</v>
      </c>
      <c r="L184" s="55">
        <f t="shared" si="159"/>
        <v>9221.0299999997114</v>
      </c>
      <c r="M184" s="55">
        <f t="shared" si="160"/>
        <v>727.41</v>
      </c>
      <c r="N184" s="55">
        <f t="shared" si="161"/>
        <v>695.67</v>
      </c>
      <c r="O184" s="55">
        <f t="shared" si="162"/>
        <v>31.74</v>
      </c>
      <c r="P184" s="71">
        <v>727.41</v>
      </c>
      <c r="Q184" s="55">
        <f t="shared" si="163"/>
        <v>1454.82</v>
      </c>
      <c r="R184" s="55">
        <f t="shared" si="164"/>
        <v>142202.05000000005</v>
      </c>
      <c r="S184" s="55">
        <f t="shared" si="165"/>
        <v>58563.110000000008</v>
      </c>
      <c r="T184" s="55">
        <f t="shared" si="166"/>
        <v>7797.9499999997115</v>
      </c>
      <c r="U184" s="57">
        <f t="shared" si="167"/>
        <v>172202.05000000005</v>
      </c>
    </row>
    <row r="185" spans="10:21" x14ac:dyDescent="0.25">
      <c r="J185">
        <f t="shared" si="168"/>
        <v>15</v>
      </c>
      <c r="K185" s="70">
        <v>48976</v>
      </c>
      <c r="L185" s="55">
        <f t="shared" si="159"/>
        <v>7797.9499999997115</v>
      </c>
      <c r="M185" s="55">
        <f t="shared" si="160"/>
        <v>727.41</v>
      </c>
      <c r="N185" s="55">
        <f t="shared" si="161"/>
        <v>700.56999999999994</v>
      </c>
      <c r="O185" s="55">
        <f t="shared" si="162"/>
        <v>26.84</v>
      </c>
      <c r="P185" s="71">
        <v>727.41</v>
      </c>
      <c r="Q185" s="55">
        <f t="shared" si="163"/>
        <v>1454.82</v>
      </c>
      <c r="R185" s="55">
        <f t="shared" si="164"/>
        <v>143630.03000000006</v>
      </c>
      <c r="S185" s="55">
        <f t="shared" si="165"/>
        <v>58589.950000000004</v>
      </c>
      <c r="T185" s="55">
        <f t="shared" si="166"/>
        <v>6369.9699999997119</v>
      </c>
      <c r="U185" s="57">
        <f t="shared" si="167"/>
        <v>173630.03000000006</v>
      </c>
    </row>
    <row r="186" spans="10:21" x14ac:dyDescent="0.25">
      <c r="J186">
        <f t="shared" si="168"/>
        <v>15</v>
      </c>
      <c r="K186" s="70">
        <v>49004</v>
      </c>
      <c r="L186" s="55">
        <f t="shared" si="159"/>
        <v>6369.9699999997119</v>
      </c>
      <c r="M186" s="55">
        <f t="shared" si="160"/>
        <v>727.41</v>
      </c>
      <c r="N186" s="55">
        <f t="shared" si="161"/>
        <v>705.49</v>
      </c>
      <c r="O186" s="55">
        <f t="shared" si="162"/>
        <v>21.92</v>
      </c>
      <c r="P186" s="71">
        <v>727.41</v>
      </c>
      <c r="Q186" s="55">
        <f t="shared" si="163"/>
        <v>1454.82</v>
      </c>
      <c r="R186" s="55">
        <f t="shared" si="164"/>
        <v>145062.93000000005</v>
      </c>
      <c r="S186" s="55">
        <f t="shared" si="165"/>
        <v>58611.87</v>
      </c>
      <c r="T186" s="55">
        <f t="shared" si="166"/>
        <v>4937.0699999997123</v>
      </c>
      <c r="U186" s="57">
        <f t="shared" si="167"/>
        <v>175062.93000000005</v>
      </c>
    </row>
    <row r="187" spans="10:21" x14ac:dyDescent="0.25">
      <c r="J187">
        <f t="shared" si="168"/>
        <v>15</v>
      </c>
      <c r="K187" s="70">
        <v>49035</v>
      </c>
      <c r="L187" s="55">
        <f t="shared" si="159"/>
        <v>4937.0699999997123</v>
      </c>
      <c r="M187" s="55">
        <f t="shared" si="160"/>
        <v>727.41</v>
      </c>
      <c r="N187" s="55">
        <f t="shared" si="161"/>
        <v>710.42</v>
      </c>
      <c r="O187" s="55">
        <f t="shared" si="162"/>
        <v>16.989999999999998</v>
      </c>
      <c r="P187" s="71">
        <v>727.41</v>
      </c>
      <c r="Q187" s="55">
        <f t="shared" si="163"/>
        <v>1454.82</v>
      </c>
      <c r="R187" s="55">
        <f t="shared" si="164"/>
        <v>146500.76000000004</v>
      </c>
      <c r="S187" s="55">
        <f t="shared" si="165"/>
        <v>58628.86</v>
      </c>
      <c r="T187" s="55">
        <f t="shared" si="166"/>
        <v>3499.2399999997124</v>
      </c>
      <c r="U187" s="57">
        <f t="shared" si="167"/>
        <v>176500.76000000004</v>
      </c>
    </row>
    <row r="188" spans="10:21" x14ac:dyDescent="0.25">
      <c r="J188">
        <f t="shared" si="168"/>
        <v>15</v>
      </c>
      <c r="K188" s="70">
        <v>49065</v>
      </c>
      <c r="L188" s="55">
        <f t="shared" si="159"/>
        <v>3499.2399999997124</v>
      </c>
      <c r="M188" s="55">
        <f t="shared" si="160"/>
        <v>727.41</v>
      </c>
      <c r="N188" s="55">
        <f t="shared" si="161"/>
        <v>715.37</v>
      </c>
      <c r="O188" s="55">
        <f t="shared" si="162"/>
        <v>12.04</v>
      </c>
      <c r="P188" s="71">
        <v>727</v>
      </c>
      <c r="Q188" s="55">
        <f t="shared" si="163"/>
        <v>1454.4099999999999</v>
      </c>
      <c r="R188" s="55">
        <f t="shared" si="164"/>
        <v>147943.13000000003</v>
      </c>
      <c r="S188" s="55">
        <f t="shared" si="165"/>
        <v>58640.9</v>
      </c>
      <c r="T188" s="55">
        <f t="shared" si="166"/>
        <v>2056.8699999997125</v>
      </c>
      <c r="U188" s="57">
        <f t="shared" si="167"/>
        <v>177943.13000000003</v>
      </c>
    </row>
    <row r="189" spans="10:21" x14ac:dyDescent="0.25">
      <c r="J189">
        <f t="shared" si="168"/>
        <v>15</v>
      </c>
      <c r="K189" s="70">
        <v>49096</v>
      </c>
      <c r="L189" s="55">
        <f t="shared" si="159"/>
        <v>2056.8699999997125</v>
      </c>
      <c r="M189" s="55">
        <f t="shared" si="160"/>
        <v>727.41</v>
      </c>
      <c r="N189" s="55">
        <f t="shared" si="161"/>
        <v>720.32999999999993</v>
      </c>
      <c r="O189" s="55">
        <f t="shared" si="162"/>
        <v>7.08</v>
      </c>
      <c r="P189" s="71">
        <v>727</v>
      </c>
      <c r="Q189" s="55">
        <f t="shared" si="163"/>
        <v>1454.4099999999999</v>
      </c>
      <c r="R189" s="55">
        <f t="shared" si="164"/>
        <v>149390.46000000002</v>
      </c>
      <c r="S189" s="55">
        <f t="shared" si="165"/>
        <v>58647.98</v>
      </c>
      <c r="T189" s="55">
        <f t="shared" si="166"/>
        <v>609.53999999971256</v>
      </c>
      <c r="U189" s="57">
        <f t="shared" si="167"/>
        <v>179390.46000000002</v>
      </c>
    </row>
    <row r="190" spans="10:21" x14ac:dyDescent="0.25">
      <c r="J190">
        <f t="shared" si="168"/>
        <v>15</v>
      </c>
      <c r="K190" s="70">
        <v>49126</v>
      </c>
      <c r="L190" s="55">
        <f t="shared" si="159"/>
        <v>609.53999999971256</v>
      </c>
      <c r="M190" s="55">
        <f t="shared" si="160"/>
        <v>727.41</v>
      </c>
      <c r="N190" s="55">
        <f t="shared" si="161"/>
        <v>725.31</v>
      </c>
      <c r="O190" s="55">
        <f t="shared" si="162"/>
        <v>2.1</v>
      </c>
      <c r="P190" s="71">
        <v>0</v>
      </c>
      <c r="Q190" s="55">
        <f t="shared" si="163"/>
        <v>727.41</v>
      </c>
      <c r="R190" s="55">
        <f t="shared" si="164"/>
        <v>150115.77000000002</v>
      </c>
      <c r="S190" s="55">
        <f t="shared" si="165"/>
        <v>58650.080000000002</v>
      </c>
      <c r="T190" s="55">
        <f t="shared" si="166"/>
        <v>-115.77000000028738</v>
      </c>
      <c r="U190" s="57">
        <f t="shared" si="167"/>
        <v>180115.77000000002</v>
      </c>
    </row>
    <row r="191" spans="10:21" x14ac:dyDescent="0.25">
      <c r="J191">
        <f t="shared" si="168"/>
        <v>15</v>
      </c>
      <c r="K191" s="70">
        <v>49157</v>
      </c>
      <c r="L191" s="55">
        <f t="shared" si="159"/>
        <v>-115.77000000028738</v>
      </c>
      <c r="M191" s="55">
        <f t="shared" si="160"/>
        <v>727.41</v>
      </c>
      <c r="N191" s="55">
        <f t="shared" si="161"/>
        <v>727.81</v>
      </c>
      <c r="O191" s="55">
        <f t="shared" si="162"/>
        <v>-0.4</v>
      </c>
      <c r="P191" s="71">
        <v>0</v>
      </c>
      <c r="Q191" s="55">
        <f t="shared" si="163"/>
        <v>0</v>
      </c>
      <c r="R191" s="55">
        <f t="shared" si="164"/>
        <v>150843.58000000002</v>
      </c>
      <c r="S191" s="55">
        <f t="shared" si="165"/>
        <v>58649.68</v>
      </c>
      <c r="T191" s="55">
        <f t="shared" si="166"/>
        <v>0</v>
      </c>
      <c r="U191" s="57">
        <f t="shared" si="167"/>
        <v>180000</v>
      </c>
    </row>
    <row r="192" spans="10:21" x14ac:dyDescent="0.25">
      <c r="J192">
        <f t="shared" si="168"/>
        <v>15</v>
      </c>
      <c r="K192" s="70">
        <v>49188</v>
      </c>
      <c r="L192" s="55">
        <f t="shared" si="159"/>
        <v>0</v>
      </c>
      <c r="M192" s="55">
        <f t="shared" si="160"/>
        <v>727.41</v>
      </c>
      <c r="N192" s="55">
        <f t="shared" si="161"/>
        <v>727.41</v>
      </c>
      <c r="O192" s="55">
        <f t="shared" si="162"/>
        <v>0</v>
      </c>
      <c r="P192" s="71">
        <v>0</v>
      </c>
      <c r="Q192" s="55">
        <f t="shared" si="163"/>
        <v>0</v>
      </c>
      <c r="R192" s="55">
        <f t="shared" si="164"/>
        <v>151570.99000000002</v>
      </c>
      <c r="S192" s="55">
        <f t="shared" si="165"/>
        <v>58649.68</v>
      </c>
      <c r="T192" s="55">
        <f t="shared" si="166"/>
        <v>0</v>
      </c>
      <c r="U192" s="57">
        <f t="shared" si="167"/>
        <v>180000</v>
      </c>
    </row>
    <row r="193" spans="10:21" x14ac:dyDescent="0.25">
      <c r="J193">
        <f t="shared" si="168"/>
        <v>15</v>
      </c>
      <c r="K193" s="70">
        <v>49218</v>
      </c>
      <c r="L193" s="55">
        <f t="shared" si="159"/>
        <v>0</v>
      </c>
      <c r="M193" s="55">
        <f t="shared" si="160"/>
        <v>727.41</v>
      </c>
      <c r="N193" s="55">
        <f t="shared" si="161"/>
        <v>727.41</v>
      </c>
      <c r="O193" s="55">
        <f t="shared" si="162"/>
        <v>0</v>
      </c>
      <c r="P193" s="71">
        <v>0</v>
      </c>
      <c r="Q193" s="55">
        <f t="shared" si="163"/>
        <v>0</v>
      </c>
      <c r="R193" s="55">
        <f t="shared" si="164"/>
        <v>152298.40000000002</v>
      </c>
      <c r="S193" s="55">
        <f t="shared" si="165"/>
        <v>58649.68</v>
      </c>
      <c r="T193" s="55">
        <f t="shared" si="166"/>
        <v>0</v>
      </c>
      <c r="U193" s="57">
        <f t="shared" si="167"/>
        <v>180000</v>
      </c>
    </row>
    <row r="194" spans="10:21" x14ac:dyDescent="0.25">
      <c r="J194">
        <f t="shared" si="168"/>
        <v>15</v>
      </c>
      <c r="K194" s="70">
        <v>49249</v>
      </c>
      <c r="L194" s="55">
        <f t="shared" si="159"/>
        <v>0</v>
      </c>
      <c r="M194" s="55">
        <f t="shared" si="160"/>
        <v>727.41</v>
      </c>
      <c r="N194" s="55">
        <f t="shared" si="161"/>
        <v>727.41</v>
      </c>
      <c r="O194" s="55">
        <f t="shared" si="162"/>
        <v>0</v>
      </c>
      <c r="P194" s="71">
        <v>0</v>
      </c>
      <c r="Q194" s="55">
        <f t="shared" si="163"/>
        <v>0</v>
      </c>
      <c r="R194" s="55">
        <f t="shared" si="164"/>
        <v>153025.81000000003</v>
      </c>
      <c r="S194" s="55">
        <f t="shared" si="165"/>
        <v>58649.68</v>
      </c>
      <c r="T194" s="55">
        <f t="shared" si="166"/>
        <v>0</v>
      </c>
      <c r="U194" s="57">
        <f t="shared" si="167"/>
        <v>180000</v>
      </c>
    </row>
    <row r="195" spans="10:21" x14ac:dyDescent="0.25">
      <c r="J195">
        <f t="shared" si="168"/>
        <v>15</v>
      </c>
      <c r="K195" s="70">
        <v>49279</v>
      </c>
      <c r="L195" s="55">
        <f t="shared" si="159"/>
        <v>0</v>
      </c>
      <c r="M195" s="55">
        <f t="shared" si="160"/>
        <v>727.41</v>
      </c>
      <c r="N195" s="55">
        <f t="shared" si="161"/>
        <v>727.41</v>
      </c>
      <c r="O195" s="55">
        <f t="shared" si="162"/>
        <v>0</v>
      </c>
      <c r="P195" s="71">
        <v>0</v>
      </c>
      <c r="Q195" s="55">
        <f t="shared" si="163"/>
        <v>0</v>
      </c>
      <c r="R195" s="55">
        <f t="shared" si="164"/>
        <v>153753.22000000003</v>
      </c>
      <c r="S195" s="55">
        <f t="shared" si="165"/>
        <v>58649.68</v>
      </c>
      <c r="T195" s="55">
        <f t="shared" si="166"/>
        <v>0</v>
      </c>
      <c r="U195" s="57">
        <f t="shared" si="167"/>
        <v>180000</v>
      </c>
    </row>
    <row r="196" spans="10:21" x14ac:dyDescent="0.25">
      <c r="J196">
        <f t="shared" si="168"/>
        <v>16</v>
      </c>
      <c r="K196" s="70">
        <v>49310</v>
      </c>
      <c r="L196" s="55">
        <f t="shared" si="159"/>
        <v>0</v>
      </c>
      <c r="M196" s="55">
        <f t="shared" si="160"/>
        <v>727.41</v>
      </c>
      <c r="N196" s="55">
        <f t="shared" si="161"/>
        <v>727.41</v>
      </c>
      <c r="O196" s="55">
        <f t="shared" si="162"/>
        <v>0</v>
      </c>
      <c r="P196" s="71">
        <v>0</v>
      </c>
      <c r="Q196" s="55">
        <f t="shared" si="163"/>
        <v>0</v>
      </c>
      <c r="R196" s="55">
        <f t="shared" si="164"/>
        <v>154480.63000000003</v>
      </c>
      <c r="S196" s="55">
        <f t="shared" si="165"/>
        <v>58649.68</v>
      </c>
      <c r="T196" s="55">
        <f t="shared" si="166"/>
        <v>0</v>
      </c>
      <c r="U196" s="57">
        <f t="shared" si="167"/>
        <v>180000</v>
      </c>
    </row>
    <row r="197" spans="10:21" x14ac:dyDescent="0.25">
      <c r="J197">
        <f t="shared" si="168"/>
        <v>16</v>
      </c>
      <c r="K197" s="70">
        <v>49341</v>
      </c>
      <c r="L197" s="55">
        <f t="shared" si="159"/>
        <v>0</v>
      </c>
      <c r="M197" s="55">
        <f t="shared" si="160"/>
        <v>727.41</v>
      </c>
      <c r="N197" s="55">
        <f t="shared" si="161"/>
        <v>727.41</v>
      </c>
      <c r="O197" s="55">
        <f t="shared" si="162"/>
        <v>0</v>
      </c>
      <c r="P197" s="71">
        <v>0</v>
      </c>
      <c r="Q197" s="55">
        <f t="shared" si="163"/>
        <v>0</v>
      </c>
      <c r="R197" s="55">
        <f t="shared" si="164"/>
        <v>155208.04000000004</v>
      </c>
      <c r="S197" s="55">
        <f t="shared" si="165"/>
        <v>58649.68</v>
      </c>
      <c r="T197" s="55">
        <f t="shared" si="166"/>
        <v>0</v>
      </c>
      <c r="U197" s="57">
        <f t="shared" si="167"/>
        <v>180000</v>
      </c>
    </row>
    <row r="198" spans="10:21" x14ac:dyDescent="0.25">
      <c r="J198">
        <f t="shared" si="168"/>
        <v>16</v>
      </c>
      <c r="K198" s="70">
        <v>49369</v>
      </c>
      <c r="L198" s="55">
        <f t="shared" si="159"/>
        <v>0</v>
      </c>
      <c r="M198" s="55">
        <f t="shared" si="160"/>
        <v>727.41</v>
      </c>
      <c r="N198" s="55">
        <f t="shared" si="161"/>
        <v>727.41</v>
      </c>
      <c r="O198" s="55">
        <f t="shared" si="162"/>
        <v>0</v>
      </c>
      <c r="P198" s="71">
        <v>0</v>
      </c>
      <c r="Q198" s="55">
        <f t="shared" si="163"/>
        <v>0</v>
      </c>
      <c r="R198" s="55">
        <f t="shared" si="164"/>
        <v>155935.45000000004</v>
      </c>
      <c r="S198" s="55">
        <f t="shared" si="165"/>
        <v>58649.68</v>
      </c>
      <c r="T198" s="55">
        <f t="shared" si="166"/>
        <v>0</v>
      </c>
      <c r="U198" s="57">
        <f t="shared" si="167"/>
        <v>180000</v>
      </c>
    </row>
    <row r="199" spans="10:21" x14ac:dyDescent="0.25">
      <c r="J199">
        <f t="shared" si="168"/>
        <v>16</v>
      </c>
      <c r="K199" s="70">
        <v>49400</v>
      </c>
      <c r="L199" s="55">
        <f t="shared" si="159"/>
        <v>0</v>
      </c>
      <c r="M199" s="55">
        <f t="shared" si="160"/>
        <v>727.41</v>
      </c>
      <c r="N199" s="55">
        <f t="shared" si="161"/>
        <v>727.41</v>
      </c>
      <c r="O199" s="55">
        <f t="shared" si="162"/>
        <v>0</v>
      </c>
      <c r="P199" s="71">
        <v>0</v>
      </c>
      <c r="Q199" s="55">
        <f t="shared" si="163"/>
        <v>0</v>
      </c>
      <c r="R199" s="55">
        <f t="shared" si="164"/>
        <v>156662.86000000004</v>
      </c>
      <c r="S199" s="55">
        <f t="shared" si="165"/>
        <v>58649.68</v>
      </c>
      <c r="T199" s="55">
        <f t="shared" si="166"/>
        <v>0</v>
      </c>
      <c r="U199" s="57">
        <f t="shared" si="167"/>
        <v>180000</v>
      </c>
    </row>
    <row r="200" spans="10:21" x14ac:dyDescent="0.25">
      <c r="J200">
        <f t="shared" si="168"/>
        <v>16</v>
      </c>
      <c r="K200" s="70">
        <v>49430</v>
      </c>
      <c r="L200" s="55">
        <f t="shared" si="159"/>
        <v>0</v>
      </c>
      <c r="M200" s="55">
        <f t="shared" si="160"/>
        <v>727.41</v>
      </c>
      <c r="N200" s="55">
        <f t="shared" si="161"/>
        <v>727.41</v>
      </c>
      <c r="O200" s="55">
        <f t="shared" si="162"/>
        <v>0</v>
      </c>
      <c r="P200" s="71">
        <v>0</v>
      </c>
      <c r="Q200" s="55">
        <f t="shared" si="163"/>
        <v>0</v>
      </c>
      <c r="R200" s="55">
        <f t="shared" si="164"/>
        <v>157390.27000000005</v>
      </c>
      <c r="S200" s="55">
        <f t="shared" si="165"/>
        <v>58649.68</v>
      </c>
      <c r="T200" s="55">
        <f t="shared" si="166"/>
        <v>0</v>
      </c>
      <c r="U200" s="57">
        <f t="shared" si="167"/>
        <v>180000</v>
      </c>
    </row>
    <row r="201" spans="10:21" x14ac:dyDescent="0.25">
      <c r="J201">
        <f t="shared" si="168"/>
        <v>16</v>
      </c>
      <c r="K201" s="70">
        <v>49461</v>
      </c>
      <c r="L201" s="55">
        <f t="shared" si="159"/>
        <v>0</v>
      </c>
      <c r="M201" s="55">
        <f t="shared" si="160"/>
        <v>727.41</v>
      </c>
      <c r="N201" s="55">
        <f t="shared" si="161"/>
        <v>727.41</v>
      </c>
      <c r="O201" s="55">
        <f t="shared" si="162"/>
        <v>0</v>
      </c>
      <c r="P201" s="71">
        <v>0</v>
      </c>
      <c r="Q201" s="55">
        <f t="shared" si="163"/>
        <v>0</v>
      </c>
      <c r="R201" s="55">
        <f t="shared" si="164"/>
        <v>158117.68000000005</v>
      </c>
      <c r="S201" s="55">
        <f t="shared" si="165"/>
        <v>58649.68</v>
      </c>
      <c r="T201" s="55">
        <f t="shared" si="166"/>
        <v>0</v>
      </c>
      <c r="U201" s="57">
        <f t="shared" si="167"/>
        <v>180000</v>
      </c>
    </row>
    <row r="202" spans="10:21" x14ac:dyDescent="0.25">
      <c r="J202">
        <f t="shared" si="168"/>
        <v>16</v>
      </c>
      <c r="K202" s="70">
        <v>49491</v>
      </c>
      <c r="L202" s="55">
        <f t="shared" si="159"/>
        <v>0</v>
      </c>
      <c r="M202" s="55">
        <f t="shared" si="160"/>
        <v>727.41</v>
      </c>
      <c r="N202" s="55">
        <f t="shared" si="161"/>
        <v>727.41</v>
      </c>
      <c r="O202" s="55">
        <f t="shared" si="162"/>
        <v>0</v>
      </c>
      <c r="P202" s="71">
        <v>0</v>
      </c>
      <c r="Q202" s="55">
        <f t="shared" si="163"/>
        <v>0</v>
      </c>
      <c r="R202" s="55">
        <f t="shared" si="164"/>
        <v>158845.09000000005</v>
      </c>
      <c r="S202" s="55">
        <f t="shared" si="165"/>
        <v>58649.68</v>
      </c>
      <c r="T202" s="55">
        <f t="shared" si="166"/>
        <v>0</v>
      </c>
      <c r="U202" s="57">
        <f t="shared" si="167"/>
        <v>180000</v>
      </c>
    </row>
    <row r="203" spans="10:21" x14ac:dyDescent="0.25">
      <c r="J203">
        <f t="shared" si="168"/>
        <v>16</v>
      </c>
      <c r="K203" s="70">
        <v>49522</v>
      </c>
      <c r="L203" s="55">
        <f t="shared" si="159"/>
        <v>0</v>
      </c>
      <c r="M203" s="55">
        <f t="shared" si="160"/>
        <v>727.41</v>
      </c>
      <c r="N203" s="55">
        <f t="shared" si="161"/>
        <v>727.41</v>
      </c>
      <c r="O203" s="55">
        <f t="shared" si="162"/>
        <v>0</v>
      </c>
      <c r="P203" s="71">
        <v>0</v>
      </c>
      <c r="Q203" s="55">
        <f t="shared" si="163"/>
        <v>0</v>
      </c>
      <c r="R203" s="55">
        <f t="shared" si="164"/>
        <v>159572.50000000006</v>
      </c>
      <c r="S203" s="55">
        <f t="shared" si="165"/>
        <v>58649.68</v>
      </c>
      <c r="T203" s="55">
        <f t="shared" si="166"/>
        <v>0</v>
      </c>
      <c r="U203" s="57">
        <f t="shared" si="167"/>
        <v>180000</v>
      </c>
    </row>
    <row r="204" spans="10:21" x14ac:dyDescent="0.25">
      <c r="J204">
        <f t="shared" si="168"/>
        <v>16</v>
      </c>
      <c r="K204" s="70">
        <v>49553</v>
      </c>
      <c r="L204" s="55">
        <f t="shared" si="159"/>
        <v>0</v>
      </c>
      <c r="M204" s="55">
        <f t="shared" si="160"/>
        <v>727.41</v>
      </c>
      <c r="N204" s="55">
        <f t="shared" si="161"/>
        <v>727.41</v>
      </c>
      <c r="O204" s="55">
        <f t="shared" si="162"/>
        <v>0</v>
      </c>
      <c r="P204" s="71">
        <v>0</v>
      </c>
      <c r="Q204" s="55">
        <f t="shared" si="163"/>
        <v>0</v>
      </c>
      <c r="R204" s="55">
        <f t="shared" si="164"/>
        <v>160299.91000000006</v>
      </c>
      <c r="S204" s="55">
        <f t="shared" si="165"/>
        <v>58649.68</v>
      </c>
      <c r="T204" s="55">
        <f t="shared" si="166"/>
        <v>0</v>
      </c>
      <c r="U204" s="57">
        <f t="shared" si="167"/>
        <v>180000</v>
      </c>
    </row>
    <row r="205" spans="10:21" x14ac:dyDescent="0.25">
      <c r="J205">
        <f t="shared" si="168"/>
        <v>16</v>
      </c>
      <c r="K205" s="70">
        <v>49583</v>
      </c>
      <c r="L205" s="55">
        <f t="shared" si="159"/>
        <v>0</v>
      </c>
      <c r="M205" s="55">
        <f t="shared" si="160"/>
        <v>727.41</v>
      </c>
      <c r="N205" s="55">
        <f t="shared" si="161"/>
        <v>727.41</v>
      </c>
      <c r="O205" s="55">
        <f t="shared" si="162"/>
        <v>0</v>
      </c>
      <c r="P205" s="71">
        <v>0</v>
      </c>
      <c r="Q205" s="55">
        <f t="shared" si="163"/>
        <v>0</v>
      </c>
      <c r="R205" s="55">
        <f t="shared" si="164"/>
        <v>161027.32000000007</v>
      </c>
      <c r="S205" s="55">
        <f t="shared" si="165"/>
        <v>58649.68</v>
      </c>
      <c r="T205" s="55">
        <f t="shared" si="166"/>
        <v>0</v>
      </c>
      <c r="U205" s="57">
        <f t="shared" si="167"/>
        <v>180000</v>
      </c>
    </row>
    <row r="206" spans="10:21" x14ac:dyDescent="0.25">
      <c r="J206">
        <f t="shared" si="168"/>
        <v>16</v>
      </c>
      <c r="K206" s="70">
        <v>49614</v>
      </c>
      <c r="L206" s="55">
        <f t="shared" si="159"/>
        <v>0</v>
      </c>
      <c r="M206" s="55">
        <f t="shared" si="160"/>
        <v>727.41</v>
      </c>
      <c r="N206" s="55">
        <f t="shared" si="161"/>
        <v>727.41</v>
      </c>
      <c r="O206" s="55">
        <f t="shared" si="162"/>
        <v>0</v>
      </c>
      <c r="P206" s="71">
        <v>0</v>
      </c>
      <c r="Q206" s="55">
        <f t="shared" si="163"/>
        <v>0</v>
      </c>
      <c r="R206" s="55">
        <f t="shared" si="164"/>
        <v>161754.73000000007</v>
      </c>
      <c r="S206" s="55">
        <f t="shared" si="165"/>
        <v>58649.68</v>
      </c>
      <c r="T206" s="55">
        <f t="shared" si="166"/>
        <v>0</v>
      </c>
      <c r="U206" s="57">
        <f t="shared" si="167"/>
        <v>180000</v>
      </c>
    </row>
    <row r="207" spans="10:21" x14ac:dyDescent="0.25">
      <c r="J207">
        <f t="shared" si="168"/>
        <v>16</v>
      </c>
      <c r="K207" s="70">
        <v>49644</v>
      </c>
      <c r="L207" s="55">
        <f t="shared" si="159"/>
        <v>0</v>
      </c>
      <c r="M207" s="55">
        <f t="shared" si="160"/>
        <v>727.41</v>
      </c>
      <c r="N207" s="55">
        <f t="shared" si="161"/>
        <v>727.41</v>
      </c>
      <c r="O207" s="55">
        <f t="shared" si="162"/>
        <v>0</v>
      </c>
      <c r="P207" s="71">
        <v>0</v>
      </c>
      <c r="Q207" s="55">
        <f t="shared" si="163"/>
        <v>0</v>
      </c>
      <c r="R207" s="55">
        <f t="shared" si="164"/>
        <v>162482.14000000007</v>
      </c>
      <c r="S207" s="55">
        <f t="shared" si="165"/>
        <v>58649.68</v>
      </c>
      <c r="T207" s="55">
        <f t="shared" si="166"/>
        <v>0</v>
      </c>
      <c r="U207" s="57">
        <f t="shared" si="167"/>
        <v>180000</v>
      </c>
    </row>
    <row r="208" spans="10:21" x14ac:dyDescent="0.25">
      <c r="J208">
        <f t="shared" si="168"/>
        <v>17</v>
      </c>
      <c r="K208" s="70">
        <v>49675</v>
      </c>
      <c r="L208" s="55">
        <f t="shared" si="159"/>
        <v>0</v>
      </c>
      <c r="M208" s="55">
        <f t="shared" si="160"/>
        <v>727.41</v>
      </c>
      <c r="N208" s="55">
        <f t="shared" si="161"/>
        <v>727.41</v>
      </c>
      <c r="O208" s="55">
        <f t="shared" si="162"/>
        <v>0</v>
      </c>
      <c r="P208" s="71">
        <v>0</v>
      </c>
      <c r="Q208" s="55">
        <f t="shared" si="163"/>
        <v>0</v>
      </c>
      <c r="R208" s="55">
        <f t="shared" si="164"/>
        <v>163209.55000000008</v>
      </c>
      <c r="S208" s="55">
        <f t="shared" si="165"/>
        <v>58649.68</v>
      </c>
      <c r="T208" s="55">
        <f t="shared" si="166"/>
        <v>0</v>
      </c>
      <c r="U208" s="57">
        <f t="shared" si="167"/>
        <v>180000</v>
      </c>
    </row>
    <row r="209" spans="10:21" x14ac:dyDescent="0.25">
      <c r="J209">
        <f t="shared" si="168"/>
        <v>17</v>
      </c>
      <c r="K209" s="70">
        <v>49706</v>
      </c>
      <c r="L209" s="55">
        <f t="shared" si="159"/>
        <v>0</v>
      </c>
      <c r="M209" s="55">
        <f t="shared" si="160"/>
        <v>727.41</v>
      </c>
      <c r="N209" s="55">
        <f t="shared" si="161"/>
        <v>727.41</v>
      </c>
      <c r="O209" s="55">
        <f t="shared" si="162"/>
        <v>0</v>
      </c>
      <c r="P209" s="71">
        <v>0</v>
      </c>
      <c r="Q209" s="55">
        <f t="shared" si="163"/>
        <v>0</v>
      </c>
      <c r="R209" s="55">
        <f t="shared" si="164"/>
        <v>163936.96000000008</v>
      </c>
      <c r="S209" s="55">
        <f t="shared" si="165"/>
        <v>58649.68</v>
      </c>
      <c r="T209" s="55">
        <f t="shared" si="166"/>
        <v>0</v>
      </c>
      <c r="U209" s="57">
        <f t="shared" si="167"/>
        <v>180000</v>
      </c>
    </row>
    <row r="210" spans="10:21" x14ac:dyDescent="0.25">
      <c r="J210">
        <f t="shared" si="168"/>
        <v>17</v>
      </c>
      <c r="K210" s="70">
        <v>49735</v>
      </c>
      <c r="L210" s="55">
        <f t="shared" ref="L210:L273" si="169">$T209</f>
        <v>0</v>
      </c>
      <c r="M210" s="55">
        <f t="shared" ref="M210:M273" si="170">$K$11</f>
        <v>727.41</v>
      </c>
      <c r="N210" s="55">
        <f t="shared" ref="N210:N273" si="171">M210-O210</f>
        <v>727.41</v>
      </c>
      <c r="O210" s="55">
        <f t="shared" ref="O210:O273" si="172">ROUND($L210*$K$8/12,2)</f>
        <v>0</v>
      </c>
      <c r="P210" s="71">
        <v>0</v>
      </c>
      <c r="Q210" s="55">
        <f t="shared" ref="Q210:Q273" si="173">IF(T209&lt;100,0,M210+P210)</f>
        <v>0</v>
      </c>
      <c r="R210" s="55">
        <f t="shared" ref="R210:R273" si="174">N210+P210+R209</f>
        <v>164664.37000000008</v>
      </c>
      <c r="S210" s="55">
        <f t="shared" ref="S210:S273" si="175">O210+S209</f>
        <v>58649.68</v>
      </c>
      <c r="T210" s="55">
        <f t="shared" ref="T210:T273" si="176">IF(T209&lt;100,0,L210-N210-P210)</f>
        <v>0</v>
      </c>
      <c r="U210" s="57">
        <f t="shared" ref="U210:U273" si="177">IF(U209&gt;=180000,180000,K$6+R210)</f>
        <v>180000</v>
      </c>
    </row>
    <row r="211" spans="10:21" x14ac:dyDescent="0.25">
      <c r="J211">
        <f t="shared" si="168"/>
        <v>17</v>
      </c>
      <c r="K211" s="70">
        <v>49766</v>
      </c>
      <c r="L211" s="55">
        <f t="shared" si="169"/>
        <v>0</v>
      </c>
      <c r="M211" s="55">
        <f t="shared" si="170"/>
        <v>727.41</v>
      </c>
      <c r="N211" s="55">
        <f t="shared" si="171"/>
        <v>727.41</v>
      </c>
      <c r="O211" s="55">
        <f t="shared" si="172"/>
        <v>0</v>
      </c>
      <c r="P211" s="71">
        <v>0</v>
      </c>
      <c r="Q211" s="55">
        <f t="shared" si="173"/>
        <v>0</v>
      </c>
      <c r="R211" s="55">
        <f t="shared" si="174"/>
        <v>165391.78000000009</v>
      </c>
      <c r="S211" s="55">
        <f t="shared" si="175"/>
        <v>58649.68</v>
      </c>
      <c r="T211" s="55">
        <f t="shared" si="176"/>
        <v>0</v>
      </c>
      <c r="U211" s="57">
        <f t="shared" si="177"/>
        <v>180000</v>
      </c>
    </row>
    <row r="212" spans="10:21" x14ac:dyDescent="0.25">
      <c r="J212">
        <f t="shared" si="168"/>
        <v>17</v>
      </c>
      <c r="K212" s="70">
        <v>49796</v>
      </c>
      <c r="L212" s="55">
        <f t="shared" si="169"/>
        <v>0</v>
      </c>
      <c r="M212" s="55">
        <f t="shared" si="170"/>
        <v>727.41</v>
      </c>
      <c r="N212" s="55">
        <f t="shared" si="171"/>
        <v>727.41</v>
      </c>
      <c r="O212" s="55">
        <f t="shared" si="172"/>
        <v>0</v>
      </c>
      <c r="P212" s="71">
        <v>0</v>
      </c>
      <c r="Q212" s="55">
        <f t="shared" si="173"/>
        <v>0</v>
      </c>
      <c r="R212" s="55">
        <f t="shared" si="174"/>
        <v>166119.19000000009</v>
      </c>
      <c r="S212" s="55">
        <f t="shared" si="175"/>
        <v>58649.68</v>
      </c>
      <c r="T212" s="55">
        <f t="shared" si="176"/>
        <v>0</v>
      </c>
      <c r="U212" s="57">
        <f t="shared" si="177"/>
        <v>180000</v>
      </c>
    </row>
    <row r="213" spans="10:21" x14ac:dyDescent="0.25">
      <c r="J213">
        <f t="shared" si="168"/>
        <v>17</v>
      </c>
      <c r="K213" s="70">
        <v>49827</v>
      </c>
      <c r="L213" s="55">
        <f t="shared" si="169"/>
        <v>0</v>
      </c>
      <c r="M213" s="55">
        <f t="shared" si="170"/>
        <v>727.41</v>
      </c>
      <c r="N213" s="55">
        <f t="shared" si="171"/>
        <v>727.41</v>
      </c>
      <c r="O213" s="55">
        <f t="shared" si="172"/>
        <v>0</v>
      </c>
      <c r="P213" s="71">
        <v>0</v>
      </c>
      <c r="Q213" s="55">
        <f t="shared" si="173"/>
        <v>0</v>
      </c>
      <c r="R213" s="55">
        <f t="shared" si="174"/>
        <v>166846.60000000009</v>
      </c>
      <c r="S213" s="55">
        <f t="shared" si="175"/>
        <v>58649.68</v>
      </c>
      <c r="T213" s="55">
        <f t="shared" si="176"/>
        <v>0</v>
      </c>
      <c r="U213" s="57">
        <f t="shared" si="177"/>
        <v>180000</v>
      </c>
    </row>
    <row r="214" spans="10:21" x14ac:dyDescent="0.25">
      <c r="J214">
        <f t="shared" si="168"/>
        <v>17</v>
      </c>
      <c r="K214" s="70">
        <v>49857</v>
      </c>
      <c r="L214" s="55">
        <f t="shared" si="169"/>
        <v>0</v>
      </c>
      <c r="M214" s="55">
        <f t="shared" si="170"/>
        <v>727.41</v>
      </c>
      <c r="N214" s="55">
        <f t="shared" si="171"/>
        <v>727.41</v>
      </c>
      <c r="O214" s="55">
        <f t="shared" si="172"/>
        <v>0</v>
      </c>
      <c r="P214" s="71">
        <v>0</v>
      </c>
      <c r="Q214" s="55">
        <f t="shared" si="173"/>
        <v>0</v>
      </c>
      <c r="R214" s="55">
        <f t="shared" si="174"/>
        <v>167574.0100000001</v>
      </c>
      <c r="S214" s="55">
        <f t="shared" si="175"/>
        <v>58649.68</v>
      </c>
      <c r="T214" s="55">
        <f t="shared" si="176"/>
        <v>0</v>
      </c>
      <c r="U214" s="57">
        <f t="shared" si="177"/>
        <v>180000</v>
      </c>
    </row>
    <row r="215" spans="10:21" x14ac:dyDescent="0.25">
      <c r="J215">
        <f t="shared" si="168"/>
        <v>17</v>
      </c>
      <c r="K215" s="70">
        <v>49888</v>
      </c>
      <c r="L215" s="55">
        <f t="shared" si="169"/>
        <v>0</v>
      </c>
      <c r="M215" s="55">
        <f t="shared" si="170"/>
        <v>727.41</v>
      </c>
      <c r="N215" s="55">
        <f t="shared" si="171"/>
        <v>727.41</v>
      </c>
      <c r="O215" s="55">
        <f t="shared" si="172"/>
        <v>0</v>
      </c>
      <c r="P215" s="71">
        <v>0</v>
      </c>
      <c r="Q215" s="55">
        <f t="shared" si="173"/>
        <v>0</v>
      </c>
      <c r="R215" s="55">
        <f t="shared" si="174"/>
        <v>168301.4200000001</v>
      </c>
      <c r="S215" s="55">
        <f t="shared" si="175"/>
        <v>58649.68</v>
      </c>
      <c r="T215" s="55">
        <f t="shared" si="176"/>
        <v>0</v>
      </c>
      <c r="U215" s="57">
        <f t="shared" si="177"/>
        <v>180000</v>
      </c>
    </row>
    <row r="216" spans="10:21" x14ac:dyDescent="0.25">
      <c r="J216">
        <f t="shared" si="168"/>
        <v>17</v>
      </c>
      <c r="K216" s="70">
        <v>49919</v>
      </c>
      <c r="L216" s="55">
        <f t="shared" si="169"/>
        <v>0</v>
      </c>
      <c r="M216" s="55">
        <f t="shared" si="170"/>
        <v>727.41</v>
      </c>
      <c r="N216" s="55">
        <f t="shared" si="171"/>
        <v>727.41</v>
      </c>
      <c r="O216" s="55">
        <f t="shared" si="172"/>
        <v>0</v>
      </c>
      <c r="P216" s="71">
        <v>0</v>
      </c>
      <c r="Q216" s="55">
        <f t="shared" si="173"/>
        <v>0</v>
      </c>
      <c r="R216" s="55">
        <f t="shared" si="174"/>
        <v>169028.8300000001</v>
      </c>
      <c r="S216" s="55">
        <f t="shared" si="175"/>
        <v>58649.68</v>
      </c>
      <c r="T216" s="55">
        <f t="shared" si="176"/>
        <v>0</v>
      </c>
      <c r="U216" s="57">
        <f t="shared" si="177"/>
        <v>180000</v>
      </c>
    </row>
    <row r="217" spans="10:21" x14ac:dyDescent="0.25">
      <c r="J217">
        <f t="shared" si="168"/>
        <v>17</v>
      </c>
      <c r="K217" s="70">
        <v>49949</v>
      </c>
      <c r="L217" s="55">
        <f t="shared" si="169"/>
        <v>0</v>
      </c>
      <c r="M217" s="55">
        <f t="shared" si="170"/>
        <v>727.41</v>
      </c>
      <c r="N217" s="55">
        <f t="shared" si="171"/>
        <v>727.41</v>
      </c>
      <c r="O217" s="55">
        <f t="shared" si="172"/>
        <v>0</v>
      </c>
      <c r="P217" s="71">
        <v>0</v>
      </c>
      <c r="Q217" s="55">
        <f t="shared" si="173"/>
        <v>0</v>
      </c>
      <c r="R217" s="55">
        <f t="shared" si="174"/>
        <v>169756.24000000011</v>
      </c>
      <c r="S217" s="55">
        <f t="shared" si="175"/>
        <v>58649.68</v>
      </c>
      <c r="T217" s="55">
        <f t="shared" si="176"/>
        <v>0</v>
      </c>
      <c r="U217" s="57">
        <f t="shared" si="177"/>
        <v>180000</v>
      </c>
    </row>
    <row r="218" spans="10:21" x14ac:dyDescent="0.25">
      <c r="J218">
        <f t="shared" si="168"/>
        <v>17</v>
      </c>
      <c r="K218" s="70">
        <v>49980</v>
      </c>
      <c r="L218" s="55">
        <f t="shared" si="169"/>
        <v>0</v>
      </c>
      <c r="M218" s="55">
        <f t="shared" si="170"/>
        <v>727.41</v>
      </c>
      <c r="N218" s="55">
        <f t="shared" si="171"/>
        <v>727.41</v>
      </c>
      <c r="O218" s="55">
        <f t="shared" si="172"/>
        <v>0</v>
      </c>
      <c r="P218" s="71">
        <v>0</v>
      </c>
      <c r="Q218" s="55">
        <f t="shared" si="173"/>
        <v>0</v>
      </c>
      <c r="R218" s="55">
        <f t="shared" si="174"/>
        <v>170483.65000000011</v>
      </c>
      <c r="S218" s="55">
        <f t="shared" si="175"/>
        <v>58649.68</v>
      </c>
      <c r="T218" s="55">
        <f t="shared" si="176"/>
        <v>0</v>
      </c>
      <c r="U218" s="57">
        <f t="shared" si="177"/>
        <v>180000</v>
      </c>
    </row>
    <row r="219" spans="10:21" x14ac:dyDescent="0.25">
      <c r="J219">
        <f t="shared" si="168"/>
        <v>17</v>
      </c>
      <c r="K219" s="70">
        <v>50010</v>
      </c>
      <c r="L219" s="55">
        <f t="shared" si="169"/>
        <v>0</v>
      </c>
      <c r="M219" s="55">
        <f t="shared" si="170"/>
        <v>727.41</v>
      </c>
      <c r="N219" s="55">
        <f t="shared" si="171"/>
        <v>727.41</v>
      </c>
      <c r="O219" s="55">
        <f t="shared" si="172"/>
        <v>0</v>
      </c>
      <c r="P219" s="71">
        <v>0</v>
      </c>
      <c r="Q219" s="55">
        <f t="shared" si="173"/>
        <v>0</v>
      </c>
      <c r="R219" s="55">
        <f t="shared" si="174"/>
        <v>171211.06000000011</v>
      </c>
      <c r="S219" s="55">
        <f t="shared" si="175"/>
        <v>58649.68</v>
      </c>
      <c r="T219" s="55">
        <f t="shared" si="176"/>
        <v>0</v>
      </c>
      <c r="U219" s="57">
        <f t="shared" si="177"/>
        <v>180000</v>
      </c>
    </row>
    <row r="220" spans="10:21" x14ac:dyDescent="0.25">
      <c r="J220">
        <f t="shared" si="168"/>
        <v>18</v>
      </c>
      <c r="K220" s="70">
        <v>50041</v>
      </c>
      <c r="L220" s="55">
        <f t="shared" si="169"/>
        <v>0</v>
      </c>
      <c r="M220" s="55">
        <f t="shared" si="170"/>
        <v>727.41</v>
      </c>
      <c r="N220" s="55">
        <f t="shared" si="171"/>
        <v>727.41</v>
      </c>
      <c r="O220" s="55">
        <f t="shared" si="172"/>
        <v>0</v>
      </c>
      <c r="P220" s="71">
        <v>0</v>
      </c>
      <c r="Q220" s="55">
        <f t="shared" si="173"/>
        <v>0</v>
      </c>
      <c r="R220" s="55">
        <f t="shared" si="174"/>
        <v>171938.47000000012</v>
      </c>
      <c r="S220" s="55">
        <f t="shared" si="175"/>
        <v>58649.68</v>
      </c>
      <c r="T220" s="55">
        <f t="shared" si="176"/>
        <v>0</v>
      </c>
      <c r="U220" s="57">
        <f t="shared" si="177"/>
        <v>180000</v>
      </c>
    </row>
    <row r="221" spans="10:21" x14ac:dyDescent="0.25">
      <c r="J221">
        <f t="shared" ref="J221:J284" si="178">J209+1</f>
        <v>18</v>
      </c>
      <c r="K221" s="70">
        <v>50072</v>
      </c>
      <c r="L221" s="55">
        <f t="shared" si="169"/>
        <v>0</v>
      </c>
      <c r="M221" s="55">
        <f t="shared" si="170"/>
        <v>727.41</v>
      </c>
      <c r="N221" s="55">
        <f t="shared" si="171"/>
        <v>727.41</v>
      </c>
      <c r="O221" s="55">
        <f t="shared" si="172"/>
        <v>0</v>
      </c>
      <c r="P221" s="71">
        <v>0</v>
      </c>
      <c r="Q221" s="55">
        <f t="shared" si="173"/>
        <v>0</v>
      </c>
      <c r="R221" s="55">
        <f t="shared" si="174"/>
        <v>172665.88000000012</v>
      </c>
      <c r="S221" s="55">
        <f t="shared" si="175"/>
        <v>58649.68</v>
      </c>
      <c r="T221" s="55">
        <f t="shared" si="176"/>
        <v>0</v>
      </c>
      <c r="U221" s="57">
        <f t="shared" si="177"/>
        <v>180000</v>
      </c>
    </row>
    <row r="222" spans="10:21" x14ac:dyDescent="0.25">
      <c r="J222">
        <f t="shared" si="178"/>
        <v>18</v>
      </c>
      <c r="K222" s="70">
        <v>50100</v>
      </c>
      <c r="L222" s="55">
        <f t="shared" si="169"/>
        <v>0</v>
      </c>
      <c r="M222" s="55">
        <f t="shared" si="170"/>
        <v>727.41</v>
      </c>
      <c r="N222" s="55">
        <f t="shared" si="171"/>
        <v>727.41</v>
      </c>
      <c r="O222" s="55">
        <f t="shared" si="172"/>
        <v>0</v>
      </c>
      <c r="P222" s="71">
        <v>0</v>
      </c>
      <c r="Q222" s="55">
        <f t="shared" si="173"/>
        <v>0</v>
      </c>
      <c r="R222" s="55">
        <f t="shared" si="174"/>
        <v>173393.29000000012</v>
      </c>
      <c r="S222" s="55">
        <f t="shared" si="175"/>
        <v>58649.68</v>
      </c>
      <c r="T222" s="55">
        <f t="shared" si="176"/>
        <v>0</v>
      </c>
      <c r="U222" s="57">
        <f t="shared" si="177"/>
        <v>180000</v>
      </c>
    </row>
    <row r="223" spans="10:21" x14ac:dyDescent="0.25">
      <c r="J223">
        <f t="shared" si="178"/>
        <v>18</v>
      </c>
      <c r="K223" s="70">
        <v>50131</v>
      </c>
      <c r="L223" s="55">
        <f t="shared" si="169"/>
        <v>0</v>
      </c>
      <c r="M223" s="55">
        <f t="shared" si="170"/>
        <v>727.41</v>
      </c>
      <c r="N223" s="55">
        <f t="shared" si="171"/>
        <v>727.41</v>
      </c>
      <c r="O223" s="55">
        <f t="shared" si="172"/>
        <v>0</v>
      </c>
      <c r="P223" s="71">
        <v>0</v>
      </c>
      <c r="Q223" s="55">
        <f t="shared" si="173"/>
        <v>0</v>
      </c>
      <c r="R223" s="55">
        <f t="shared" si="174"/>
        <v>174120.70000000013</v>
      </c>
      <c r="S223" s="55">
        <f t="shared" si="175"/>
        <v>58649.68</v>
      </c>
      <c r="T223" s="55">
        <f t="shared" si="176"/>
        <v>0</v>
      </c>
      <c r="U223" s="57">
        <f t="shared" si="177"/>
        <v>180000</v>
      </c>
    </row>
    <row r="224" spans="10:21" x14ac:dyDescent="0.25">
      <c r="J224">
        <f t="shared" si="178"/>
        <v>18</v>
      </c>
      <c r="K224" s="70">
        <v>50161</v>
      </c>
      <c r="L224" s="55">
        <f t="shared" si="169"/>
        <v>0</v>
      </c>
      <c r="M224" s="55">
        <f t="shared" si="170"/>
        <v>727.41</v>
      </c>
      <c r="N224" s="55">
        <f t="shared" si="171"/>
        <v>727.41</v>
      </c>
      <c r="O224" s="55">
        <f t="shared" si="172"/>
        <v>0</v>
      </c>
      <c r="P224" s="71">
        <v>0</v>
      </c>
      <c r="Q224" s="55">
        <f t="shared" si="173"/>
        <v>0</v>
      </c>
      <c r="R224" s="55">
        <f t="shared" si="174"/>
        <v>174848.11000000013</v>
      </c>
      <c r="S224" s="55">
        <f t="shared" si="175"/>
        <v>58649.68</v>
      </c>
      <c r="T224" s="55">
        <f t="shared" si="176"/>
        <v>0</v>
      </c>
      <c r="U224" s="57">
        <f t="shared" si="177"/>
        <v>180000</v>
      </c>
    </row>
    <row r="225" spans="10:21" x14ac:dyDescent="0.25">
      <c r="J225">
        <f t="shared" si="178"/>
        <v>18</v>
      </c>
      <c r="K225" s="70">
        <v>50192</v>
      </c>
      <c r="L225" s="55">
        <f t="shared" si="169"/>
        <v>0</v>
      </c>
      <c r="M225" s="55">
        <f t="shared" si="170"/>
        <v>727.41</v>
      </c>
      <c r="N225" s="55">
        <f t="shared" si="171"/>
        <v>727.41</v>
      </c>
      <c r="O225" s="55">
        <f t="shared" si="172"/>
        <v>0</v>
      </c>
      <c r="P225" s="71">
        <v>0</v>
      </c>
      <c r="Q225" s="55">
        <f t="shared" si="173"/>
        <v>0</v>
      </c>
      <c r="R225" s="55">
        <f t="shared" si="174"/>
        <v>175575.52000000014</v>
      </c>
      <c r="S225" s="55">
        <f t="shared" si="175"/>
        <v>58649.68</v>
      </c>
      <c r="T225" s="55">
        <f t="shared" si="176"/>
        <v>0</v>
      </c>
      <c r="U225" s="57">
        <f t="shared" si="177"/>
        <v>180000</v>
      </c>
    </row>
    <row r="226" spans="10:21" x14ac:dyDescent="0.25">
      <c r="J226">
        <f t="shared" si="178"/>
        <v>18</v>
      </c>
      <c r="K226" s="70">
        <v>50222</v>
      </c>
      <c r="L226" s="55">
        <f t="shared" si="169"/>
        <v>0</v>
      </c>
      <c r="M226" s="55">
        <f t="shared" si="170"/>
        <v>727.41</v>
      </c>
      <c r="N226" s="55">
        <f t="shared" si="171"/>
        <v>727.41</v>
      </c>
      <c r="O226" s="55">
        <f t="shared" si="172"/>
        <v>0</v>
      </c>
      <c r="P226" s="71">
        <v>0</v>
      </c>
      <c r="Q226" s="55">
        <f t="shared" si="173"/>
        <v>0</v>
      </c>
      <c r="R226" s="55">
        <f t="shared" si="174"/>
        <v>176302.93000000014</v>
      </c>
      <c r="S226" s="55">
        <f t="shared" si="175"/>
        <v>58649.68</v>
      </c>
      <c r="T226" s="55">
        <f t="shared" si="176"/>
        <v>0</v>
      </c>
      <c r="U226" s="57">
        <f t="shared" si="177"/>
        <v>180000</v>
      </c>
    </row>
    <row r="227" spans="10:21" x14ac:dyDescent="0.25">
      <c r="J227">
        <f t="shared" si="178"/>
        <v>18</v>
      </c>
      <c r="K227" s="70">
        <v>50253</v>
      </c>
      <c r="L227" s="55">
        <f t="shared" si="169"/>
        <v>0</v>
      </c>
      <c r="M227" s="55">
        <f t="shared" si="170"/>
        <v>727.41</v>
      </c>
      <c r="N227" s="55">
        <f t="shared" si="171"/>
        <v>727.41</v>
      </c>
      <c r="O227" s="55">
        <f t="shared" si="172"/>
        <v>0</v>
      </c>
      <c r="P227" s="71">
        <v>0</v>
      </c>
      <c r="Q227" s="55">
        <f t="shared" si="173"/>
        <v>0</v>
      </c>
      <c r="R227" s="55">
        <f t="shared" si="174"/>
        <v>177030.34000000014</v>
      </c>
      <c r="S227" s="55">
        <f t="shared" si="175"/>
        <v>58649.68</v>
      </c>
      <c r="T227" s="55">
        <f t="shared" si="176"/>
        <v>0</v>
      </c>
      <c r="U227" s="57">
        <f t="shared" si="177"/>
        <v>180000</v>
      </c>
    </row>
    <row r="228" spans="10:21" x14ac:dyDescent="0.25">
      <c r="J228">
        <f t="shared" si="178"/>
        <v>18</v>
      </c>
      <c r="K228" s="70">
        <v>50284</v>
      </c>
      <c r="L228" s="55">
        <f t="shared" si="169"/>
        <v>0</v>
      </c>
      <c r="M228" s="55">
        <f t="shared" si="170"/>
        <v>727.41</v>
      </c>
      <c r="N228" s="55">
        <f t="shared" si="171"/>
        <v>727.41</v>
      </c>
      <c r="O228" s="55">
        <f t="shared" si="172"/>
        <v>0</v>
      </c>
      <c r="P228" s="71">
        <v>0</v>
      </c>
      <c r="Q228" s="55">
        <f t="shared" si="173"/>
        <v>0</v>
      </c>
      <c r="R228" s="55">
        <f t="shared" si="174"/>
        <v>177757.75000000015</v>
      </c>
      <c r="S228" s="55">
        <f t="shared" si="175"/>
        <v>58649.68</v>
      </c>
      <c r="T228" s="55">
        <f t="shared" si="176"/>
        <v>0</v>
      </c>
      <c r="U228" s="57">
        <f t="shared" si="177"/>
        <v>180000</v>
      </c>
    </row>
    <row r="229" spans="10:21" x14ac:dyDescent="0.25">
      <c r="J229">
        <f t="shared" si="178"/>
        <v>18</v>
      </c>
      <c r="K229" s="70">
        <v>50314</v>
      </c>
      <c r="L229" s="55">
        <f t="shared" si="169"/>
        <v>0</v>
      </c>
      <c r="M229" s="55">
        <f t="shared" si="170"/>
        <v>727.41</v>
      </c>
      <c r="N229" s="55">
        <f t="shared" si="171"/>
        <v>727.41</v>
      </c>
      <c r="O229" s="55">
        <f t="shared" si="172"/>
        <v>0</v>
      </c>
      <c r="P229" s="71">
        <v>0</v>
      </c>
      <c r="Q229" s="55">
        <f t="shared" si="173"/>
        <v>0</v>
      </c>
      <c r="R229" s="55">
        <f t="shared" si="174"/>
        <v>178485.16000000015</v>
      </c>
      <c r="S229" s="55">
        <f t="shared" si="175"/>
        <v>58649.68</v>
      </c>
      <c r="T229" s="55">
        <f t="shared" si="176"/>
        <v>0</v>
      </c>
      <c r="U229" s="57">
        <f t="shared" si="177"/>
        <v>180000</v>
      </c>
    </row>
    <row r="230" spans="10:21" x14ac:dyDescent="0.25">
      <c r="J230">
        <f t="shared" si="178"/>
        <v>18</v>
      </c>
      <c r="K230" s="70">
        <v>50345</v>
      </c>
      <c r="L230" s="55">
        <f t="shared" si="169"/>
        <v>0</v>
      </c>
      <c r="M230" s="55">
        <f t="shared" si="170"/>
        <v>727.41</v>
      </c>
      <c r="N230" s="55">
        <f t="shared" si="171"/>
        <v>727.41</v>
      </c>
      <c r="O230" s="55">
        <f t="shared" si="172"/>
        <v>0</v>
      </c>
      <c r="P230" s="71">
        <v>0</v>
      </c>
      <c r="Q230" s="55">
        <f t="shared" si="173"/>
        <v>0</v>
      </c>
      <c r="R230" s="55">
        <f t="shared" si="174"/>
        <v>179212.57000000015</v>
      </c>
      <c r="S230" s="55">
        <f t="shared" si="175"/>
        <v>58649.68</v>
      </c>
      <c r="T230" s="55">
        <f t="shared" si="176"/>
        <v>0</v>
      </c>
      <c r="U230" s="57">
        <f t="shared" si="177"/>
        <v>180000</v>
      </c>
    </row>
    <row r="231" spans="10:21" x14ac:dyDescent="0.25">
      <c r="J231">
        <f t="shared" si="178"/>
        <v>18</v>
      </c>
      <c r="K231" s="70">
        <v>50375</v>
      </c>
      <c r="L231" s="55">
        <f t="shared" si="169"/>
        <v>0</v>
      </c>
      <c r="M231" s="55">
        <f t="shared" si="170"/>
        <v>727.41</v>
      </c>
      <c r="N231" s="55">
        <f t="shared" si="171"/>
        <v>727.41</v>
      </c>
      <c r="O231" s="55">
        <f t="shared" si="172"/>
        <v>0</v>
      </c>
      <c r="P231" s="71">
        <v>0</v>
      </c>
      <c r="Q231" s="55">
        <f t="shared" si="173"/>
        <v>0</v>
      </c>
      <c r="R231" s="55">
        <f t="shared" si="174"/>
        <v>179939.98000000016</v>
      </c>
      <c r="S231" s="55">
        <f t="shared" si="175"/>
        <v>58649.68</v>
      </c>
      <c r="T231" s="55">
        <f t="shared" si="176"/>
        <v>0</v>
      </c>
      <c r="U231" s="57">
        <f t="shared" si="177"/>
        <v>180000</v>
      </c>
    </row>
    <row r="232" spans="10:21" x14ac:dyDescent="0.25">
      <c r="J232">
        <f t="shared" si="178"/>
        <v>19</v>
      </c>
      <c r="K232" s="70">
        <v>50406</v>
      </c>
      <c r="L232" s="55">
        <f t="shared" si="169"/>
        <v>0</v>
      </c>
      <c r="M232" s="55">
        <f t="shared" si="170"/>
        <v>727.41</v>
      </c>
      <c r="N232" s="55">
        <f t="shared" si="171"/>
        <v>727.41</v>
      </c>
      <c r="O232" s="55">
        <f t="shared" si="172"/>
        <v>0</v>
      </c>
      <c r="P232" s="71">
        <v>0</v>
      </c>
      <c r="Q232" s="55">
        <f t="shared" si="173"/>
        <v>0</v>
      </c>
      <c r="R232" s="55">
        <f t="shared" si="174"/>
        <v>180667.39000000016</v>
      </c>
      <c r="S232" s="55">
        <f t="shared" si="175"/>
        <v>58649.68</v>
      </c>
      <c r="T232" s="55">
        <f t="shared" si="176"/>
        <v>0</v>
      </c>
      <c r="U232" s="57">
        <f t="shared" si="177"/>
        <v>180000</v>
      </c>
    </row>
    <row r="233" spans="10:21" x14ac:dyDescent="0.25">
      <c r="J233">
        <f t="shared" si="178"/>
        <v>19</v>
      </c>
      <c r="K233" s="70">
        <v>50437</v>
      </c>
      <c r="L233" s="55">
        <f t="shared" si="169"/>
        <v>0</v>
      </c>
      <c r="M233" s="55">
        <f t="shared" si="170"/>
        <v>727.41</v>
      </c>
      <c r="N233" s="55">
        <f t="shared" si="171"/>
        <v>727.41</v>
      </c>
      <c r="O233" s="55">
        <f t="shared" si="172"/>
        <v>0</v>
      </c>
      <c r="P233" s="71">
        <v>0</v>
      </c>
      <c r="Q233" s="55">
        <f t="shared" si="173"/>
        <v>0</v>
      </c>
      <c r="R233" s="55">
        <f t="shared" si="174"/>
        <v>181394.80000000016</v>
      </c>
      <c r="S233" s="55">
        <f t="shared" si="175"/>
        <v>58649.68</v>
      </c>
      <c r="T233" s="55">
        <f t="shared" si="176"/>
        <v>0</v>
      </c>
      <c r="U233" s="57">
        <f t="shared" si="177"/>
        <v>180000</v>
      </c>
    </row>
    <row r="234" spans="10:21" x14ac:dyDescent="0.25">
      <c r="J234">
        <f t="shared" si="178"/>
        <v>19</v>
      </c>
      <c r="K234" s="70">
        <v>50465</v>
      </c>
      <c r="L234" s="55">
        <f t="shared" si="169"/>
        <v>0</v>
      </c>
      <c r="M234" s="55">
        <f t="shared" si="170"/>
        <v>727.41</v>
      </c>
      <c r="N234" s="55">
        <f t="shared" si="171"/>
        <v>727.41</v>
      </c>
      <c r="O234" s="55">
        <f t="shared" si="172"/>
        <v>0</v>
      </c>
      <c r="P234" s="71">
        <v>0</v>
      </c>
      <c r="Q234" s="55">
        <f t="shared" si="173"/>
        <v>0</v>
      </c>
      <c r="R234" s="55">
        <f t="shared" si="174"/>
        <v>182122.21000000017</v>
      </c>
      <c r="S234" s="55">
        <f t="shared" si="175"/>
        <v>58649.68</v>
      </c>
      <c r="T234" s="55">
        <f t="shared" si="176"/>
        <v>0</v>
      </c>
      <c r="U234" s="57">
        <f t="shared" si="177"/>
        <v>180000</v>
      </c>
    </row>
    <row r="235" spans="10:21" x14ac:dyDescent="0.25">
      <c r="J235">
        <f t="shared" si="178"/>
        <v>19</v>
      </c>
      <c r="K235" s="70">
        <v>50496</v>
      </c>
      <c r="L235" s="55">
        <f t="shared" si="169"/>
        <v>0</v>
      </c>
      <c r="M235" s="55">
        <f t="shared" si="170"/>
        <v>727.41</v>
      </c>
      <c r="N235" s="55">
        <f t="shared" si="171"/>
        <v>727.41</v>
      </c>
      <c r="O235" s="55">
        <f t="shared" si="172"/>
        <v>0</v>
      </c>
      <c r="P235" s="71">
        <v>0</v>
      </c>
      <c r="Q235" s="55">
        <f t="shared" si="173"/>
        <v>0</v>
      </c>
      <c r="R235" s="55">
        <f t="shared" si="174"/>
        <v>182849.62000000017</v>
      </c>
      <c r="S235" s="55">
        <f t="shared" si="175"/>
        <v>58649.68</v>
      </c>
      <c r="T235" s="55">
        <f t="shared" si="176"/>
        <v>0</v>
      </c>
      <c r="U235" s="57">
        <f t="shared" si="177"/>
        <v>180000</v>
      </c>
    </row>
    <row r="236" spans="10:21" x14ac:dyDescent="0.25">
      <c r="J236">
        <f t="shared" si="178"/>
        <v>19</v>
      </c>
      <c r="K236" s="70">
        <v>50526</v>
      </c>
      <c r="L236" s="55">
        <f t="shared" si="169"/>
        <v>0</v>
      </c>
      <c r="M236" s="55">
        <f t="shared" si="170"/>
        <v>727.41</v>
      </c>
      <c r="N236" s="55">
        <f t="shared" si="171"/>
        <v>727.41</v>
      </c>
      <c r="O236" s="55">
        <f t="shared" si="172"/>
        <v>0</v>
      </c>
      <c r="P236" s="71">
        <v>0</v>
      </c>
      <c r="Q236" s="55">
        <f t="shared" si="173"/>
        <v>0</v>
      </c>
      <c r="R236" s="55">
        <f t="shared" si="174"/>
        <v>183577.03000000017</v>
      </c>
      <c r="S236" s="55">
        <f t="shared" si="175"/>
        <v>58649.68</v>
      </c>
      <c r="T236" s="55">
        <f t="shared" si="176"/>
        <v>0</v>
      </c>
      <c r="U236" s="57">
        <f t="shared" si="177"/>
        <v>180000</v>
      </c>
    </row>
    <row r="237" spans="10:21" x14ac:dyDescent="0.25">
      <c r="J237">
        <f t="shared" si="178"/>
        <v>19</v>
      </c>
      <c r="K237" s="70">
        <v>50557</v>
      </c>
      <c r="L237" s="55">
        <f t="shared" si="169"/>
        <v>0</v>
      </c>
      <c r="M237" s="55">
        <f t="shared" si="170"/>
        <v>727.41</v>
      </c>
      <c r="N237" s="55">
        <f t="shared" si="171"/>
        <v>727.41</v>
      </c>
      <c r="O237" s="55">
        <f t="shared" si="172"/>
        <v>0</v>
      </c>
      <c r="P237" s="71">
        <v>0</v>
      </c>
      <c r="Q237" s="55">
        <f t="shared" si="173"/>
        <v>0</v>
      </c>
      <c r="R237" s="55">
        <f t="shared" si="174"/>
        <v>184304.44000000018</v>
      </c>
      <c r="S237" s="55">
        <f t="shared" si="175"/>
        <v>58649.68</v>
      </c>
      <c r="T237" s="55">
        <f t="shared" si="176"/>
        <v>0</v>
      </c>
      <c r="U237" s="57">
        <f t="shared" si="177"/>
        <v>180000</v>
      </c>
    </row>
    <row r="238" spans="10:21" x14ac:dyDescent="0.25">
      <c r="J238">
        <f t="shared" si="178"/>
        <v>19</v>
      </c>
      <c r="K238" s="70">
        <v>50587</v>
      </c>
      <c r="L238" s="55">
        <f t="shared" si="169"/>
        <v>0</v>
      </c>
      <c r="M238" s="55">
        <f t="shared" si="170"/>
        <v>727.41</v>
      </c>
      <c r="N238" s="55">
        <f t="shared" si="171"/>
        <v>727.41</v>
      </c>
      <c r="O238" s="55">
        <f t="shared" si="172"/>
        <v>0</v>
      </c>
      <c r="P238" s="71">
        <v>0</v>
      </c>
      <c r="Q238" s="55">
        <f t="shared" si="173"/>
        <v>0</v>
      </c>
      <c r="R238" s="55">
        <f t="shared" si="174"/>
        <v>185031.85000000018</v>
      </c>
      <c r="S238" s="55">
        <f t="shared" si="175"/>
        <v>58649.68</v>
      </c>
      <c r="T238" s="55">
        <f t="shared" si="176"/>
        <v>0</v>
      </c>
      <c r="U238" s="57">
        <f t="shared" si="177"/>
        <v>180000</v>
      </c>
    </row>
    <row r="239" spans="10:21" x14ac:dyDescent="0.25">
      <c r="J239">
        <f t="shared" si="178"/>
        <v>19</v>
      </c>
      <c r="K239" s="70">
        <v>50618</v>
      </c>
      <c r="L239" s="55">
        <f t="shared" si="169"/>
        <v>0</v>
      </c>
      <c r="M239" s="55">
        <f t="shared" si="170"/>
        <v>727.41</v>
      </c>
      <c r="N239" s="55">
        <f t="shared" si="171"/>
        <v>727.41</v>
      </c>
      <c r="O239" s="55">
        <f t="shared" si="172"/>
        <v>0</v>
      </c>
      <c r="P239" s="71">
        <v>0</v>
      </c>
      <c r="Q239" s="55">
        <f t="shared" si="173"/>
        <v>0</v>
      </c>
      <c r="R239" s="55">
        <f t="shared" si="174"/>
        <v>185759.26000000018</v>
      </c>
      <c r="S239" s="55">
        <f t="shared" si="175"/>
        <v>58649.68</v>
      </c>
      <c r="T239" s="55">
        <f t="shared" si="176"/>
        <v>0</v>
      </c>
      <c r="U239" s="57">
        <f t="shared" si="177"/>
        <v>180000</v>
      </c>
    </row>
    <row r="240" spans="10:21" x14ac:dyDescent="0.25">
      <c r="J240">
        <f t="shared" si="178"/>
        <v>19</v>
      </c>
      <c r="K240" s="70">
        <v>50649</v>
      </c>
      <c r="L240" s="55">
        <f t="shared" si="169"/>
        <v>0</v>
      </c>
      <c r="M240" s="55">
        <f t="shared" si="170"/>
        <v>727.41</v>
      </c>
      <c r="N240" s="55">
        <f t="shared" si="171"/>
        <v>727.41</v>
      </c>
      <c r="O240" s="55">
        <f t="shared" si="172"/>
        <v>0</v>
      </c>
      <c r="P240" s="71">
        <v>0</v>
      </c>
      <c r="Q240" s="55">
        <f t="shared" si="173"/>
        <v>0</v>
      </c>
      <c r="R240" s="55">
        <f t="shared" si="174"/>
        <v>186486.67000000019</v>
      </c>
      <c r="S240" s="55">
        <f t="shared" si="175"/>
        <v>58649.68</v>
      </c>
      <c r="T240" s="55">
        <f t="shared" si="176"/>
        <v>0</v>
      </c>
      <c r="U240" s="57">
        <f t="shared" si="177"/>
        <v>180000</v>
      </c>
    </row>
    <row r="241" spans="10:21" x14ac:dyDescent="0.25">
      <c r="J241">
        <f t="shared" si="178"/>
        <v>19</v>
      </c>
      <c r="K241" s="70">
        <v>50679</v>
      </c>
      <c r="L241" s="55">
        <f t="shared" si="169"/>
        <v>0</v>
      </c>
      <c r="M241" s="55">
        <f t="shared" si="170"/>
        <v>727.41</v>
      </c>
      <c r="N241" s="55">
        <f t="shared" si="171"/>
        <v>727.41</v>
      </c>
      <c r="O241" s="55">
        <f t="shared" si="172"/>
        <v>0</v>
      </c>
      <c r="P241" s="71">
        <v>0</v>
      </c>
      <c r="Q241" s="55">
        <f t="shared" si="173"/>
        <v>0</v>
      </c>
      <c r="R241" s="55">
        <f t="shared" si="174"/>
        <v>187214.08000000019</v>
      </c>
      <c r="S241" s="55">
        <f t="shared" si="175"/>
        <v>58649.68</v>
      </c>
      <c r="T241" s="55">
        <f t="shared" si="176"/>
        <v>0</v>
      </c>
      <c r="U241" s="57">
        <f t="shared" si="177"/>
        <v>180000</v>
      </c>
    </row>
    <row r="242" spans="10:21" x14ac:dyDescent="0.25">
      <c r="J242">
        <f t="shared" si="178"/>
        <v>19</v>
      </c>
      <c r="K242" s="70">
        <v>50710</v>
      </c>
      <c r="L242" s="55">
        <f t="shared" si="169"/>
        <v>0</v>
      </c>
      <c r="M242" s="55">
        <f t="shared" si="170"/>
        <v>727.41</v>
      </c>
      <c r="N242" s="55">
        <f t="shared" si="171"/>
        <v>727.41</v>
      </c>
      <c r="O242" s="55">
        <f t="shared" si="172"/>
        <v>0</v>
      </c>
      <c r="P242" s="71">
        <v>0</v>
      </c>
      <c r="Q242" s="55">
        <f t="shared" si="173"/>
        <v>0</v>
      </c>
      <c r="R242" s="55">
        <f t="shared" si="174"/>
        <v>187941.49000000019</v>
      </c>
      <c r="S242" s="55">
        <f t="shared" si="175"/>
        <v>58649.68</v>
      </c>
      <c r="T242" s="55">
        <f t="shared" si="176"/>
        <v>0</v>
      </c>
      <c r="U242" s="57">
        <f t="shared" si="177"/>
        <v>180000</v>
      </c>
    </row>
    <row r="243" spans="10:21" x14ac:dyDescent="0.25">
      <c r="J243">
        <f t="shared" si="178"/>
        <v>19</v>
      </c>
      <c r="K243" s="70">
        <v>50740</v>
      </c>
      <c r="L243" s="55">
        <f t="shared" si="169"/>
        <v>0</v>
      </c>
      <c r="M243" s="55">
        <f t="shared" si="170"/>
        <v>727.41</v>
      </c>
      <c r="N243" s="55">
        <f t="shared" si="171"/>
        <v>727.41</v>
      </c>
      <c r="O243" s="55">
        <f t="shared" si="172"/>
        <v>0</v>
      </c>
      <c r="P243" s="71">
        <v>0</v>
      </c>
      <c r="Q243" s="55">
        <f t="shared" si="173"/>
        <v>0</v>
      </c>
      <c r="R243" s="55">
        <f t="shared" si="174"/>
        <v>188668.9000000002</v>
      </c>
      <c r="S243" s="55">
        <f t="shared" si="175"/>
        <v>58649.68</v>
      </c>
      <c r="T243" s="55">
        <f t="shared" si="176"/>
        <v>0</v>
      </c>
      <c r="U243" s="57">
        <f t="shared" si="177"/>
        <v>180000</v>
      </c>
    </row>
    <row r="244" spans="10:21" x14ac:dyDescent="0.25">
      <c r="J244">
        <f t="shared" si="178"/>
        <v>20</v>
      </c>
      <c r="K244" s="70">
        <v>50771</v>
      </c>
      <c r="L244" s="55">
        <f t="shared" si="169"/>
        <v>0</v>
      </c>
      <c r="M244" s="55">
        <f t="shared" si="170"/>
        <v>727.41</v>
      </c>
      <c r="N244" s="55">
        <f t="shared" si="171"/>
        <v>727.41</v>
      </c>
      <c r="O244" s="55">
        <f t="shared" si="172"/>
        <v>0</v>
      </c>
      <c r="P244" s="71">
        <v>0</v>
      </c>
      <c r="Q244" s="55">
        <f t="shared" si="173"/>
        <v>0</v>
      </c>
      <c r="R244" s="55">
        <f t="shared" si="174"/>
        <v>189396.3100000002</v>
      </c>
      <c r="S244" s="55">
        <f t="shared" si="175"/>
        <v>58649.68</v>
      </c>
      <c r="T244" s="55">
        <f t="shared" si="176"/>
        <v>0</v>
      </c>
      <c r="U244" s="57">
        <f t="shared" si="177"/>
        <v>180000</v>
      </c>
    </row>
    <row r="245" spans="10:21" x14ac:dyDescent="0.25">
      <c r="J245">
        <f t="shared" si="178"/>
        <v>20</v>
      </c>
      <c r="K245" s="70">
        <v>50802</v>
      </c>
      <c r="L245" s="55">
        <f t="shared" si="169"/>
        <v>0</v>
      </c>
      <c r="M245" s="55">
        <f t="shared" si="170"/>
        <v>727.41</v>
      </c>
      <c r="N245" s="55">
        <f t="shared" si="171"/>
        <v>727.41</v>
      </c>
      <c r="O245" s="55">
        <f t="shared" si="172"/>
        <v>0</v>
      </c>
      <c r="P245" s="71">
        <v>0</v>
      </c>
      <c r="Q245" s="55">
        <f t="shared" si="173"/>
        <v>0</v>
      </c>
      <c r="R245" s="55">
        <f t="shared" si="174"/>
        <v>190123.7200000002</v>
      </c>
      <c r="S245" s="55">
        <f t="shared" si="175"/>
        <v>58649.68</v>
      </c>
      <c r="T245" s="55">
        <f t="shared" si="176"/>
        <v>0</v>
      </c>
      <c r="U245" s="57">
        <f t="shared" si="177"/>
        <v>180000</v>
      </c>
    </row>
    <row r="246" spans="10:21" x14ac:dyDescent="0.25">
      <c r="J246">
        <f t="shared" si="178"/>
        <v>20</v>
      </c>
      <c r="K246" s="70">
        <v>50830</v>
      </c>
      <c r="L246" s="55">
        <f t="shared" si="169"/>
        <v>0</v>
      </c>
      <c r="M246" s="55">
        <f t="shared" si="170"/>
        <v>727.41</v>
      </c>
      <c r="N246" s="55">
        <f t="shared" si="171"/>
        <v>727.41</v>
      </c>
      <c r="O246" s="55">
        <f t="shared" si="172"/>
        <v>0</v>
      </c>
      <c r="P246" s="71">
        <v>0</v>
      </c>
      <c r="Q246" s="55">
        <f t="shared" si="173"/>
        <v>0</v>
      </c>
      <c r="R246" s="55">
        <f t="shared" si="174"/>
        <v>190851.13000000021</v>
      </c>
      <c r="S246" s="55">
        <f t="shared" si="175"/>
        <v>58649.68</v>
      </c>
      <c r="T246" s="55">
        <f t="shared" si="176"/>
        <v>0</v>
      </c>
      <c r="U246" s="57">
        <f t="shared" si="177"/>
        <v>180000</v>
      </c>
    </row>
    <row r="247" spans="10:21" x14ac:dyDescent="0.25">
      <c r="J247">
        <f t="shared" si="178"/>
        <v>20</v>
      </c>
      <c r="K247" s="70">
        <v>50861</v>
      </c>
      <c r="L247" s="55">
        <f t="shared" si="169"/>
        <v>0</v>
      </c>
      <c r="M247" s="55">
        <f t="shared" si="170"/>
        <v>727.41</v>
      </c>
      <c r="N247" s="55">
        <f t="shared" si="171"/>
        <v>727.41</v>
      </c>
      <c r="O247" s="55">
        <f t="shared" si="172"/>
        <v>0</v>
      </c>
      <c r="P247" s="71">
        <v>0</v>
      </c>
      <c r="Q247" s="55">
        <f t="shared" si="173"/>
        <v>0</v>
      </c>
      <c r="R247" s="55">
        <f t="shared" si="174"/>
        <v>191578.54000000021</v>
      </c>
      <c r="S247" s="55">
        <f t="shared" si="175"/>
        <v>58649.68</v>
      </c>
      <c r="T247" s="55">
        <f t="shared" si="176"/>
        <v>0</v>
      </c>
      <c r="U247" s="57">
        <f t="shared" si="177"/>
        <v>180000</v>
      </c>
    </row>
    <row r="248" spans="10:21" x14ac:dyDescent="0.25">
      <c r="J248">
        <f t="shared" si="178"/>
        <v>20</v>
      </c>
      <c r="K248" s="70">
        <v>50891</v>
      </c>
      <c r="L248" s="55">
        <f t="shared" si="169"/>
        <v>0</v>
      </c>
      <c r="M248" s="55">
        <f t="shared" si="170"/>
        <v>727.41</v>
      </c>
      <c r="N248" s="55">
        <f t="shared" si="171"/>
        <v>727.41</v>
      </c>
      <c r="O248" s="55">
        <f t="shared" si="172"/>
        <v>0</v>
      </c>
      <c r="P248" s="71">
        <v>0</v>
      </c>
      <c r="Q248" s="55">
        <f t="shared" si="173"/>
        <v>0</v>
      </c>
      <c r="R248" s="55">
        <f t="shared" si="174"/>
        <v>192305.95000000022</v>
      </c>
      <c r="S248" s="55">
        <f t="shared" si="175"/>
        <v>58649.68</v>
      </c>
      <c r="T248" s="55">
        <f t="shared" si="176"/>
        <v>0</v>
      </c>
      <c r="U248" s="57">
        <f t="shared" si="177"/>
        <v>180000</v>
      </c>
    </row>
    <row r="249" spans="10:21" x14ac:dyDescent="0.25">
      <c r="J249">
        <f t="shared" si="178"/>
        <v>20</v>
      </c>
      <c r="K249" s="70">
        <v>50922</v>
      </c>
      <c r="L249" s="55">
        <f t="shared" si="169"/>
        <v>0</v>
      </c>
      <c r="M249" s="55">
        <f t="shared" si="170"/>
        <v>727.41</v>
      </c>
      <c r="N249" s="55">
        <f t="shared" si="171"/>
        <v>727.41</v>
      </c>
      <c r="O249" s="55">
        <f t="shared" si="172"/>
        <v>0</v>
      </c>
      <c r="P249" s="71">
        <v>0</v>
      </c>
      <c r="Q249" s="55">
        <f t="shared" si="173"/>
        <v>0</v>
      </c>
      <c r="R249" s="55">
        <f t="shared" si="174"/>
        <v>193033.36000000022</v>
      </c>
      <c r="S249" s="55">
        <f t="shared" si="175"/>
        <v>58649.68</v>
      </c>
      <c r="T249" s="55">
        <f t="shared" si="176"/>
        <v>0</v>
      </c>
      <c r="U249" s="57">
        <f t="shared" si="177"/>
        <v>180000</v>
      </c>
    </row>
    <row r="250" spans="10:21" x14ac:dyDescent="0.25">
      <c r="J250">
        <f t="shared" si="178"/>
        <v>20</v>
      </c>
      <c r="K250" s="70">
        <v>50952</v>
      </c>
      <c r="L250" s="55">
        <f t="shared" si="169"/>
        <v>0</v>
      </c>
      <c r="M250" s="55">
        <f t="shared" si="170"/>
        <v>727.41</v>
      </c>
      <c r="N250" s="55">
        <f t="shared" si="171"/>
        <v>727.41</v>
      </c>
      <c r="O250" s="55">
        <f t="shared" si="172"/>
        <v>0</v>
      </c>
      <c r="P250" s="71">
        <v>0</v>
      </c>
      <c r="Q250" s="55">
        <f t="shared" si="173"/>
        <v>0</v>
      </c>
      <c r="R250" s="55">
        <f t="shared" si="174"/>
        <v>193760.77000000022</v>
      </c>
      <c r="S250" s="55">
        <f t="shared" si="175"/>
        <v>58649.68</v>
      </c>
      <c r="T250" s="55">
        <f t="shared" si="176"/>
        <v>0</v>
      </c>
      <c r="U250" s="57">
        <f t="shared" si="177"/>
        <v>180000</v>
      </c>
    </row>
    <row r="251" spans="10:21" x14ac:dyDescent="0.25">
      <c r="J251">
        <f t="shared" si="178"/>
        <v>20</v>
      </c>
      <c r="K251" s="70">
        <v>50983</v>
      </c>
      <c r="L251" s="55">
        <f t="shared" si="169"/>
        <v>0</v>
      </c>
      <c r="M251" s="55">
        <f t="shared" si="170"/>
        <v>727.41</v>
      </c>
      <c r="N251" s="55">
        <f t="shared" si="171"/>
        <v>727.41</v>
      </c>
      <c r="O251" s="55">
        <f t="shared" si="172"/>
        <v>0</v>
      </c>
      <c r="P251" s="71">
        <v>0</v>
      </c>
      <c r="Q251" s="55">
        <f t="shared" si="173"/>
        <v>0</v>
      </c>
      <c r="R251" s="55">
        <f t="shared" si="174"/>
        <v>194488.18000000023</v>
      </c>
      <c r="S251" s="55">
        <f t="shared" si="175"/>
        <v>58649.68</v>
      </c>
      <c r="T251" s="55">
        <f t="shared" si="176"/>
        <v>0</v>
      </c>
      <c r="U251" s="57">
        <f t="shared" si="177"/>
        <v>180000</v>
      </c>
    </row>
    <row r="252" spans="10:21" x14ac:dyDescent="0.25">
      <c r="J252">
        <f t="shared" si="178"/>
        <v>20</v>
      </c>
      <c r="K252" s="70">
        <v>51014</v>
      </c>
      <c r="L252" s="55">
        <f t="shared" si="169"/>
        <v>0</v>
      </c>
      <c r="M252" s="55">
        <f t="shared" si="170"/>
        <v>727.41</v>
      </c>
      <c r="N252" s="55">
        <f t="shared" si="171"/>
        <v>727.41</v>
      </c>
      <c r="O252" s="55">
        <f t="shared" si="172"/>
        <v>0</v>
      </c>
      <c r="P252" s="71">
        <v>0</v>
      </c>
      <c r="Q252" s="55">
        <f t="shared" si="173"/>
        <v>0</v>
      </c>
      <c r="R252" s="55">
        <f t="shared" si="174"/>
        <v>195215.59000000023</v>
      </c>
      <c r="S252" s="55">
        <f t="shared" si="175"/>
        <v>58649.68</v>
      </c>
      <c r="T252" s="55">
        <f t="shared" si="176"/>
        <v>0</v>
      </c>
      <c r="U252" s="57">
        <f t="shared" si="177"/>
        <v>180000</v>
      </c>
    </row>
    <row r="253" spans="10:21" x14ac:dyDescent="0.25">
      <c r="J253">
        <f t="shared" si="178"/>
        <v>20</v>
      </c>
      <c r="K253" s="70">
        <v>51044</v>
      </c>
      <c r="L253" s="55">
        <f t="shared" si="169"/>
        <v>0</v>
      </c>
      <c r="M253" s="55">
        <f t="shared" si="170"/>
        <v>727.41</v>
      </c>
      <c r="N253" s="55">
        <f t="shared" si="171"/>
        <v>727.41</v>
      </c>
      <c r="O253" s="55">
        <f t="shared" si="172"/>
        <v>0</v>
      </c>
      <c r="P253" s="71">
        <v>0</v>
      </c>
      <c r="Q253" s="55">
        <f t="shared" si="173"/>
        <v>0</v>
      </c>
      <c r="R253" s="55">
        <f t="shared" si="174"/>
        <v>195943.00000000023</v>
      </c>
      <c r="S253" s="55">
        <f t="shared" si="175"/>
        <v>58649.68</v>
      </c>
      <c r="T253" s="55">
        <f t="shared" si="176"/>
        <v>0</v>
      </c>
      <c r="U253" s="57">
        <f t="shared" si="177"/>
        <v>180000</v>
      </c>
    </row>
    <row r="254" spans="10:21" x14ac:dyDescent="0.25">
      <c r="J254">
        <f t="shared" si="178"/>
        <v>20</v>
      </c>
      <c r="K254" s="70">
        <v>51075</v>
      </c>
      <c r="L254" s="55">
        <f t="shared" si="169"/>
        <v>0</v>
      </c>
      <c r="M254" s="55">
        <f t="shared" si="170"/>
        <v>727.41</v>
      </c>
      <c r="N254" s="55">
        <f t="shared" si="171"/>
        <v>727.41</v>
      </c>
      <c r="O254" s="55">
        <f t="shared" si="172"/>
        <v>0</v>
      </c>
      <c r="P254" s="71">
        <v>0</v>
      </c>
      <c r="Q254" s="55">
        <f t="shared" si="173"/>
        <v>0</v>
      </c>
      <c r="R254" s="55">
        <f t="shared" si="174"/>
        <v>196670.41000000024</v>
      </c>
      <c r="S254" s="55">
        <f t="shared" si="175"/>
        <v>58649.68</v>
      </c>
      <c r="T254" s="55">
        <f t="shared" si="176"/>
        <v>0</v>
      </c>
      <c r="U254" s="57">
        <f t="shared" si="177"/>
        <v>180000</v>
      </c>
    </row>
    <row r="255" spans="10:21" x14ac:dyDescent="0.25">
      <c r="J255">
        <f t="shared" si="178"/>
        <v>20</v>
      </c>
      <c r="K255" s="70">
        <v>51105</v>
      </c>
      <c r="L255" s="55">
        <f t="shared" si="169"/>
        <v>0</v>
      </c>
      <c r="M255" s="55">
        <f t="shared" si="170"/>
        <v>727.41</v>
      </c>
      <c r="N255" s="55">
        <f t="shared" si="171"/>
        <v>727.41</v>
      </c>
      <c r="O255" s="55">
        <f t="shared" si="172"/>
        <v>0</v>
      </c>
      <c r="P255" s="71">
        <v>0</v>
      </c>
      <c r="Q255" s="55">
        <f t="shared" si="173"/>
        <v>0</v>
      </c>
      <c r="R255" s="55">
        <f t="shared" si="174"/>
        <v>197397.82000000024</v>
      </c>
      <c r="S255" s="55">
        <f t="shared" si="175"/>
        <v>58649.68</v>
      </c>
      <c r="T255" s="55">
        <f t="shared" si="176"/>
        <v>0</v>
      </c>
      <c r="U255" s="57">
        <f t="shared" si="177"/>
        <v>180000</v>
      </c>
    </row>
    <row r="256" spans="10:21" x14ac:dyDescent="0.25">
      <c r="J256">
        <f t="shared" si="178"/>
        <v>21</v>
      </c>
      <c r="K256" s="70">
        <v>51136</v>
      </c>
      <c r="L256" s="55">
        <f t="shared" si="169"/>
        <v>0</v>
      </c>
      <c r="M256" s="55">
        <f t="shared" si="170"/>
        <v>727.41</v>
      </c>
      <c r="N256" s="55">
        <f t="shared" si="171"/>
        <v>727.41</v>
      </c>
      <c r="O256" s="55">
        <f t="shared" si="172"/>
        <v>0</v>
      </c>
      <c r="P256" s="71">
        <v>0</v>
      </c>
      <c r="Q256" s="55">
        <f t="shared" si="173"/>
        <v>0</v>
      </c>
      <c r="R256" s="55">
        <f t="shared" si="174"/>
        <v>198125.23000000024</v>
      </c>
      <c r="S256" s="55">
        <f t="shared" si="175"/>
        <v>58649.68</v>
      </c>
      <c r="T256" s="55">
        <f t="shared" si="176"/>
        <v>0</v>
      </c>
      <c r="U256" s="57">
        <f t="shared" si="177"/>
        <v>180000</v>
      </c>
    </row>
    <row r="257" spans="10:21" x14ac:dyDescent="0.25">
      <c r="J257">
        <f t="shared" si="178"/>
        <v>21</v>
      </c>
      <c r="K257" s="70">
        <v>51167</v>
      </c>
      <c r="L257" s="55">
        <f t="shared" si="169"/>
        <v>0</v>
      </c>
      <c r="M257" s="55">
        <f t="shared" si="170"/>
        <v>727.41</v>
      </c>
      <c r="N257" s="55">
        <f t="shared" si="171"/>
        <v>727.41</v>
      </c>
      <c r="O257" s="55">
        <f t="shared" si="172"/>
        <v>0</v>
      </c>
      <c r="P257" s="71">
        <v>0</v>
      </c>
      <c r="Q257" s="55">
        <f t="shared" si="173"/>
        <v>0</v>
      </c>
      <c r="R257" s="55">
        <f t="shared" si="174"/>
        <v>198852.64000000025</v>
      </c>
      <c r="S257" s="55">
        <f t="shared" si="175"/>
        <v>58649.68</v>
      </c>
      <c r="T257" s="55">
        <f t="shared" si="176"/>
        <v>0</v>
      </c>
      <c r="U257" s="57">
        <f t="shared" si="177"/>
        <v>180000</v>
      </c>
    </row>
    <row r="258" spans="10:21" x14ac:dyDescent="0.25">
      <c r="J258">
        <f t="shared" si="178"/>
        <v>21</v>
      </c>
      <c r="K258" s="70">
        <v>51196</v>
      </c>
      <c r="L258" s="55">
        <f t="shared" si="169"/>
        <v>0</v>
      </c>
      <c r="M258" s="55">
        <f t="shared" si="170"/>
        <v>727.41</v>
      </c>
      <c r="N258" s="55">
        <f t="shared" si="171"/>
        <v>727.41</v>
      </c>
      <c r="O258" s="55">
        <f t="shared" si="172"/>
        <v>0</v>
      </c>
      <c r="P258" s="71">
        <v>0</v>
      </c>
      <c r="Q258" s="55">
        <f t="shared" si="173"/>
        <v>0</v>
      </c>
      <c r="R258" s="55">
        <f t="shared" si="174"/>
        <v>199580.05000000025</v>
      </c>
      <c r="S258" s="55">
        <f t="shared" si="175"/>
        <v>58649.68</v>
      </c>
      <c r="T258" s="55">
        <f t="shared" si="176"/>
        <v>0</v>
      </c>
      <c r="U258" s="57">
        <f t="shared" si="177"/>
        <v>180000</v>
      </c>
    </row>
    <row r="259" spans="10:21" x14ac:dyDescent="0.25">
      <c r="J259">
        <f t="shared" si="178"/>
        <v>21</v>
      </c>
      <c r="K259" s="70">
        <v>51227</v>
      </c>
      <c r="L259" s="55">
        <f t="shared" si="169"/>
        <v>0</v>
      </c>
      <c r="M259" s="55">
        <f t="shared" si="170"/>
        <v>727.41</v>
      </c>
      <c r="N259" s="55">
        <f t="shared" si="171"/>
        <v>727.41</v>
      </c>
      <c r="O259" s="55">
        <f t="shared" si="172"/>
        <v>0</v>
      </c>
      <c r="P259" s="71">
        <v>0</v>
      </c>
      <c r="Q259" s="55">
        <f t="shared" si="173"/>
        <v>0</v>
      </c>
      <c r="R259" s="55">
        <f t="shared" si="174"/>
        <v>200307.46000000025</v>
      </c>
      <c r="S259" s="55">
        <f t="shared" si="175"/>
        <v>58649.68</v>
      </c>
      <c r="T259" s="55">
        <f t="shared" si="176"/>
        <v>0</v>
      </c>
      <c r="U259" s="57">
        <f t="shared" si="177"/>
        <v>180000</v>
      </c>
    </row>
    <row r="260" spans="10:21" x14ac:dyDescent="0.25">
      <c r="J260">
        <f t="shared" si="178"/>
        <v>21</v>
      </c>
      <c r="K260" s="70">
        <v>51257</v>
      </c>
      <c r="L260" s="55">
        <f t="shared" si="169"/>
        <v>0</v>
      </c>
      <c r="M260" s="55">
        <f t="shared" si="170"/>
        <v>727.41</v>
      </c>
      <c r="N260" s="55">
        <f t="shared" si="171"/>
        <v>727.41</v>
      </c>
      <c r="O260" s="55">
        <f t="shared" si="172"/>
        <v>0</v>
      </c>
      <c r="P260" s="71">
        <v>0</v>
      </c>
      <c r="Q260" s="55">
        <f t="shared" si="173"/>
        <v>0</v>
      </c>
      <c r="R260" s="55">
        <f t="shared" si="174"/>
        <v>201034.87000000026</v>
      </c>
      <c r="S260" s="55">
        <f t="shared" si="175"/>
        <v>58649.68</v>
      </c>
      <c r="T260" s="55">
        <f t="shared" si="176"/>
        <v>0</v>
      </c>
      <c r="U260" s="57">
        <f t="shared" si="177"/>
        <v>180000</v>
      </c>
    </row>
    <row r="261" spans="10:21" x14ac:dyDescent="0.25">
      <c r="J261">
        <f t="shared" si="178"/>
        <v>21</v>
      </c>
      <c r="K261" s="70">
        <v>51288</v>
      </c>
      <c r="L261" s="55">
        <f t="shared" si="169"/>
        <v>0</v>
      </c>
      <c r="M261" s="55">
        <f t="shared" si="170"/>
        <v>727.41</v>
      </c>
      <c r="N261" s="55">
        <f t="shared" si="171"/>
        <v>727.41</v>
      </c>
      <c r="O261" s="55">
        <f t="shared" si="172"/>
        <v>0</v>
      </c>
      <c r="P261" s="71">
        <v>0</v>
      </c>
      <c r="Q261" s="55">
        <f t="shared" si="173"/>
        <v>0</v>
      </c>
      <c r="R261" s="55">
        <f t="shared" si="174"/>
        <v>201762.28000000026</v>
      </c>
      <c r="S261" s="55">
        <f t="shared" si="175"/>
        <v>58649.68</v>
      </c>
      <c r="T261" s="55">
        <f t="shared" si="176"/>
        <v>0</v>
      </c>
      <c r="U261" s="57">
        <f t="shared" si="177"/>
        <v>180000</v>
      </c>
    </row>
    <row r="262" spans="10:21" x14ac:dyDescent="0.25">
      <c r="J262">
        <f t="shared" si="178"/>
        <v>21</v>
      </c>
      <c r="K262" s="70">
        <v>51318</v>
      </c>
      <c r="L262" s="55">
        <f t="shared" si="169"/>
        <v>0</v>
      </c>
      <c r="M262" s="55">
        <f t="shared" si="170"/>
        <v>727.41</v>
      </c>
      <c r="N262" s="55">
        <f t="shared" si="171"/>
        <v>727.41</v>
      </c>
      <c r="O262" s="55">
        <f t="shared" si="172"/>
        <v>0</v>
      </c>
      <c r="P262" s="71">
        <v>0</v>
      </c>
      <c r="Q262" s="55">
        <f t="shared" si="173"/>
        <v>0</v>
      </c>
      <c r="R262" s="55">
        <f t="shared" si="174"/>
        <v>202489.69000000026</v>
      </c>
      <c r="S262" s="55">
        <f t="shared" si="175"/>
        <v>58649.68</v>
      </c>
      <c r="T262" s="55">
        <f t="shared" si="176"/>
        <v>0</v>
      </c>
      <c r="U262" s="57">
        <f t="shared" si="177"/>
        <v>180000</v>
      </c>
    </row>
    <row r="263" spans="10:21" x14ac:dyDescent="0.25">
      <c r="J263">
        <f t="shared" si="178"/>
        <v>21</v>
      </c>
      <c r="K263" s="70">
        <v>51349</v>
      </c>
      <c r="L263" s="55">
        <f t="shared" si="169"/>
        <v>0</v>
      </c>
      <c r="M263" s="55">
        <f t="shared" si="170"/>
        <v>727.41</v>
      </c>
      <c r="N263" s="55">
        <f t="shared" si="171"/>
        <v>727.41</v>
      </c>
      <c r="O263" s="55">
        <f t="shared" si="172"/>
        <v>0</v>
      </c>
      <c r="P263" s="71">
        <v>0</v>
      </c>
      <c r="Q263" s="55">
        <f t="shared" si="173"/>
        <v>0</v>
      </c>
      <c r="R263" s="55">
        <f t="shared" si="174"/>
        <v>203217.10000000027</v>
      </c>
      <c r="S263" s="55">
        <f t="shared" si="175"/>
        <v>58649.68</v>
      </c>
      <c r="T263" s="55">
        <f t="shared" si="176"/>
        <v>0</v>
      </c>
      <c r="U263" s="57">
        <f t="shared" si="177"/>
        <v>180000</v>
      </c>
    </row>
    <row r="264" spans="10:21" x14ac:dyDescent="0.25">
      <c r="J264">
        <f t="shared" si="178"/>
        <v>21</v>
      </c>
      <c r="K264" s="70">
        <v>51380</v>
      </c>
      <c r="L264" s="55">
        <f t="shared" si="169"/>
        <v>0</v>
      </c>
      <c r="M264" s="55">
        <f t="shared" si="170"/>
        <v>727.41</v>
      </c>
      <c r="N264" s="55">
        <f t="shared" si="171"/>
        <v>727.41</v>
      </c>
      <c r="O264" s="55">
        <f t="shared" si="172"/>
        <v>0</v>
      </c>
      <c r="P264" s="71">
        <v>0</v>
      </c>
      <c r="Q264" s="55">
        <f t="shared" si="173"/>
        <v>0</v>
      </c>
      <c r="R264" s="55">
        <f t="shared" si="174"/>
        <v>203944.51000000027</v>
      </c>
      <c r="S264" s="55">
        <f t="shared" si="175"/>
        <v>58649.68</v>
      </c>
      <c r="T264" s="55">
        <f t="shared" si="176"/>
        <v>0</v>
      </c>
      <c r="U264" s="57">
        <f t="shared" si="177"/>
        <v>180000</v>
      </c>
    </row>
    <row r="265" spans="10:21" x14ac:dyDescent="0.25">
      <c r="J265">
        <f t="shared" si="178"/>
        <v>21</v>
      </c>
      <c r="K265" s="70">
        <v>51410</v>
      </c>
      <c r="L265" s="55">
        <f t="shared" si="169"/>
        <v>0</v>
      </c>
      <c r="M265" s="55">
        <f t="shared" si="170"/>
        <v>727.41</v>
      </c>
      <c r="N265" s="55">
        <f t="shared" si="171"/>
        <v>727.41</v>
      </c>
      <c r="O265" s="55">
        <f t="shared" si="172"/>
        <v>0</v>
      </c>
      <c r="P265" s="71">
        <v>0</v>
      </c>
      <c r="Q265" s="55">
        <f t="shared" si="173"/>
        <v>0</v>
      </c>
      <c r="R265" s="55">
        <f t="shared" si="174"/>
        <v>204671.92000000027</v>
      </c>
      <c r="S265" s="55">
        <f t="shared" si="175"/>
        <v>58649.68</v>
      </c>
      <c r="T265" s="55">
        <f t="shared" si="176"/>
        <v>0</v>
      </c>
      <c r="U265" s="57">
        <f t="shared" si="177"/>
        <v>180000</v>
      </c>
    </row>
    <row r="266" spans="10:21" x14ac:dyDescent="0.25">
      <c r="J266">
        <f t="shared" si="178"/>
        <v>21</v>
      </c>
      <c r="K266" s="70">
        <v>51441</v>
      </c>
      <c r="L266" s="55">
        <f t="shared" si="169"/>
        <v>0</v>
      </c>
      <c r="M266" s="55">
        <f t="shared" si="170"/>
        <v>727.41</v>
      </c>
      <c r="N266" s="55">
        <f t="shared" si="171"/>
        <v>727.41</v>
      </c>
      <c r="O266" s="55">
        <f t="shared" si="172"/>
        <v>0</v>
      </c>
      <c r="P266" s="71">
        <v>0</v>
      </c>
      <c r="Q266" s="55">
        <f t="shared" si="173"/>
        <v>0</v>
      </c>
      <c r="R266" s="55">
        <f t="shared" si="174"/>
        <v>205399.33000000028</v>
      </c>
      <c r="S266" s="55">
        <f t="shared" si="175"/>
        <v>58649.68</v>
      </c>
      <c r="T266" s="55">
        <f t="shared" si="176"/>
        <v>0</v>
      </c>
      <c r="U266" s="57">
        <f t="shared" si="177"/>
        <v>180000</v>
      </c>
    </row>
    <row r="267" spans="10:21" x14ac:dyDescent="0.25">
      <c r="J267">
        <f t="shared" si="178"/>
        <v>21</v>
      </c>
      <c r="K267" s="70">
        <v>51471</v>
      </c>
      <c r="L267" s="55">
        <f t="shared" si="169"/>
        <v>0</v>
      </c>
      <c r="M267" s="55">
        <f t="shared" si="170"/>
        <v>727.41</v>
      </c>
      <c r="N267" s="55">
        <f t="shared" si="171"/>
        <v>727.41</v>
      </c>
      <c r="O267" s="55">
        <f t="shared" si="172"/>
        <v>0</v>
      </c>
      <c r="P267" s="71">
        <v>0</v>
      </c>
      <c r="Q267" s="55">
        <f t="shared" si="173"/>
        <v>0</v>
      </c>
      <c r="R267" s="55">
        <f t="shared" si="174"/>
        <v>206126.74000000028</v>
      </c>
      <c r="S267" s="55">
        <f t="shared" si="175"/>
        <v>58649.68</v>
      </c>
      <c r="T267" s="55">
        <f t="shared" si="176"/>
        <v>0</v>
      </c>
      <c r="U267" s="57">
        <f t="shared" si="177"/>
        <v>180000</v>
      </c>
    </row>
    <row r="268" spans="10:21" x14ac:dyDescent="0.25">
      <c r="J268">
        <f t="shared" si="178"/>
        <v>22</v>
      </c>
      <c r="K268" s="70">
        <v>51502</v>
      </c>
      <c r="L268" s="55">
        <f t="shared" si="169"/>
        <v>0</v>
      </c>
      <c r="M268" s="55">
        <f t="shared" si="170"/>
        <v>727.41</v>
      </c>
      <c r="N268" s="55">
        <f t="shared" si="171"/>
        <v>727.41</v>
      </c>
      <c r="O268" s="55">
        <f t="shared" si="172"/>
        <v>0</v>
      </c>
      <c r="P268" s="71">
        <v>0</v>
      </c>
      <c r="Q268" s="55">
        <f t="shared" si="173"/>
        <v>0</v>
      </c>
      <c r="R268" s="55">
        <f t="shared" si="174"/>
        <v>206854.15000000029</v>
      </c>
      <c r="S268" s="55">
        <f t="shared" si="175"/>
        <v>58649.68</v>
      </c>
      <c r="T268" s="55">
        <f t="shared" si="176"/>
        <v>0</v>
      </c>
      <c r="U268" s="57">
        <f t="shared" si="177"/>
        <v>180000</v>
      </c>
    </row>
    <row r="269" spans="10:21" x14ac:dyDescent="0.25">
      <c r="J269">
        <f t="shared" si="178"/>
        <v>22</v>
      </c>
      <c r="K269" s="70">
        <v>51533</v>
      </c>
      <c r="L269" s="55">
        <f t="shared" si="169"/>
        <v>0</v>
      </c>
      <c r="M269" s="55">
        <f t="shared" si="170"/>
        <v>727.41</v>
      </c>
      <c r="N269" s="55">
        <f t="shared" si="171"/>
        <v>727.41</v>
      </c>
      <c r="O269" s="55">
        <f t="shared" si="172"/>
        <v>0</v>
      </c>
      <c r="P269" s="71">
        <v>0</v>
      </c>
      <c r="Q269" s="55">
        <f t="shared" si="173"/>
        <v>0</v>
      </c>
      <c r="R269" s="55">
        <f t="shared" si="174"/>
        <v>207581.56000000029</v>
      </c>
      <c r="S269" s="55">
        <f t="shared" si="175"/>
        <v>58649.68</v>
      </c>
      <c r="T269" s="55">
        <f t="shared" si="176"/>
        <v>0</v>
      </c>
      <c r="U269" s="57">
        <f t="shared" si="177"/>
        <v>180000</v>
      </c>
    </row>
    <row r="270" spans="10:21" x14ac:dyDescent="0.25">
      <c r="J270">
        <f t="shared" si="178"/>
        <v>22</v>
      </c>
      <c r="K270" s="70">
        <v>51561</v>
      </c>
      <c r="L270" s="55">
        <f t="shared" si="169"/>
        <v>0</v>
      </c>
      <c r="M270" s="55">
        <f t="shared" si="170"/>
        <v>727.41</v>
      </c>
      <c r="N270" s="55">
        <f t="shared" si="171"/>
        <v>727.41</v>
      </c>
      <c r="O270" s="55">
        <f t="shared" si="172"/>
        <v>0</v>
      </c>
      <c r="P270" s="71">
        <v>0</v>
      </c>
      <c r="Q270" s="55">
        <f t="shared" si="173"/>
        <v>0</v>
      </c>
      <c r="R270" s="55">
        <f t="shared" si="174"/>
        <v>208308.97000000029</v>
      </c>
      <c r="S270" s="55">
        <f t="shared" si="175"/>
        <v>58649.68</v>
      </c>
      <c r="T270" s="55">
        <f t="shared" si="176"/>
        <v>0</v>
      </c>
      <c r="U270" s="57">
        <f t="shared" si="177"/>
        <v>180000</v>
      </c>
    </row>
    <row r="271" spans="10:21" x14ac:dyDescent="0.25">
      <c r="J271">
        <f t="shared" si="178"/>
        <v>22</v>
      </c>
      <c r="K271" s="70">
        <v>51592</v>
      </c>
      <c r="L271" s="55">
        <f t="shared" si="169"/>
        <v>0</v>
      </c>
      <c r="M271" s="55">
        <f t="shared" si="170"/>
        <v>727.41</v>
      </c>
      <c r="N271" s="55">
        <f t="shared" si="171"/>
        <v>727.41</v>
      </c>
      <c r="O271" s="55">
        <f t="shared" si="172"/>
        <v>0</v>
      </c>
      <c r="P271" s="71">
        <v>0</v>
      </c>
      <c r="Q271" s="55">
        <f t="shared" si="173"/>
        <v>0</v>
      </c>
      <c r="R271" s="55">
        <f t="shared" si="174"/>
        <v>209036.3800000003</v>
      </c>
      <c r="S271" s="55">
        <f t="shared" si="175"/>
        <v>58649.68</v>
      </c>
      <c r="T271" s="55">
        <f t="shared" si="176"/>
        <v>0</v>
      </c>
      <c r="U271" s="57">
        <f t="shared" si="177"/>
        <v>180000</v>
      </c>
    </row>
    <row r="272" spans="10:21" x14ac:dyDescent="0.25">
      <c r="J272">
        <f t="shared" si="178"/>
        <v>22</v>
      </c>
      <c r="K272" s="70">
        <v>51622</v>
      </c>
      <c r="L272" s="55">
        <f t="shared" si="169"/>
        <v>0</v>
      </c>
      <c r="M272" s="55">
        <f t="shared" si="170"/>
        <v>727.41</v>
      </c>
      <c r="N272" s="55">
        <f t="shared" si="171"/>
        <v>727.41</v>
      </c>
      <c r="O272" s="55">
        <f t="shared" si="172"/>
        <v>0</v>
      </c>
      <c r="P272" s="71">
        <v>0</v>
      </c>
      <c r="Q272" s="55">
        <f t="shared" si="173"/>
        <v>0</v>
      </c>
      <c r="R272" s="55">
        <f t="shared" si="174"/>
        <v>209763.7900000003</v>
      </c>
      <c r="S272" s="55">
        <f t="shared" si="175"/>
        <v>58649.68</v>
      </c>
      <c r="T272" s="55">
        <f t="shared" si="176"/>
        <v>0</v>
      </c>
      <c r="U272" s="57">
        <f t="shared" si="177"/>
        <v>180000</v>
      </c>
    </row>
    <row r="273" spans="10:21" x14ac:dyDescent="0.25">
      <c r="J273">
        <f t="shared" si="178"/>
        <v>22</v>
      </c>
      <c r="K273" s="70">
        <v>51653</v>
      </c>
      <c r="L273" s="55">
        <f t="shared" si="169"/>
        <v>0</v>
      </c>
      <c r="M273" s="55">
        <f t="shared" si="170"/>
        <v>727.41</v>
      </c>
      <c r="N273" s="55">
        <f t="shared" si="171"/>
        <v>727.41</v>
      </c>
      <c r="O273" s="55">
        <f t="shared" si="172"/>
        <v>0</v>
      </c>
      <c r="P273" s="71">
        <v>0</v>
      </c>
      <c r="Q273" s="55">
        <f t="shared" si="173"/>
        <v>0</v>
      </c>
      <c r="R273" s="55">
        <f t="shared" si="174"/>
        <v>210491.2000000003</v>
      </c>
      <c r="S273" s="55">
        <f t="shared" si="175"/>
        <v>58649.68</v>
      </c>
      <c r="T273" s="55">
        <f t="shared" si="176"/>
        <v>0</v>
      </c>
      <c r="U273" s="57">
        <f t="shared" si="177"/>
        <v>180000</v>
      </c>
    </row>
    <row r="274" spans="10:21" x14ac:dyDescent="0.25">
      <c r="J274">
        <f t="shared" si="178"/>
        <v>22</v>
      </c>
      <c r="K274" s="70">
        <v>51683</v>
      </c>
      <c r="L274" s="55">
        <f t="shared" ref="L274:L337" si="179">$T273</f>
        <v>0</v>
      </c>
      <c r="M274" s="55">
        <f t="shared" ref="M274:M337" si="180">$K$11</f>
        <v>727.41</v>
      </c>
      <c r="N274" s="55">
        <f t="shared" ref="N274:N337" si="181">M274-O274</f>
        <v>727.41</v>
      </c>
      <c r="O274" s="55">
        <f t="shared" ref="O274:O337" si="182">ROUND($L274*$K$8/12,2)</f>
        <v>0</v>
      </c>
      <c r="P274" s="71">
        <v>0</v>
      </c>
      <c r="Q274" s="55">
        <f t="shared" ref="Q274:Q337" si="183">IF(T273&lt;100,0,M274+P274)</f>
        <v>0</v>
      </c>
      <c r="R274" s="55">
        <f t="shared" ref="R274:R337" si="184">N274+P274+R273</f>
        <v>211218.61000000031</v>
      </c>
      <c r="S274" s="55">
        <f t="shared" ref="S274:S337" si="185">O274+S273</f>
        <v>58649.68</v>
      </c>
      <c r="T274" s="55">
        <f t="shared" ref="T274:T337" si="186">IF(T273&lt;100,0,L274-N274-P274)</f>
        <v>0</v>
      </c>
      <c r="U274" s="57">
        <f t="shared" ref="U274:U337" si="187">IF(U273&gt;=180000,180000,K$6+R274)</f>
        <v>180000</v>
      </c>
    </row>
    <row r="275" spans="10:21" x14ac:dyDescent="0.25">
      <c r="J275">
        <f t="shared" si="178"/>
        <v>22</v>
      </c>
      <c r="K275" s="70">
        <v>51714</v>
      </c>
      <c r="L275" s="55">
        <f t="shared" si="179"/>
        <v>0</v>
      </c>
      <c r="M275" s="55">
        <f t="shared" si="180"/>
        <v>727.41</v>
      </c>
      <c r="N275" s="55">
        <f t="shared" si="181"/>
        <v>727.41</v>
      </c>
      <c r="O275" s="55">
        <f t="shared" si="182"/>
        <v>0</v>
      </c>
      <c r="P275" s="71">
        <v>0</v>
      </c>
      <c r="Q275" s="55">
        <f t="shared" si="183"/>
        <v>0</v>
      </c>
      <c r="R275" s="55">
        <f t="shared" si="184"/>
        <v>211946.02000000031</v>
      </c>
      <c r="S275" s="55">
        <f t="shared" si="185"/>
        <v>58649.68</v>
      </c>
      <c r="T275" s="55">
        <f t="shared" si="186"/>
        <v>0</v>
      </c>
      <c r="U275" s="57">
        <f t="shared" si="187"/>
        <v>180000</v>
      </c>
    </row>
    <row r="276" spans="10:21" x14ac:dyDescent="0.25">
      <c r="J276">
        <f t="shared" si="178"/>
        <v>22</v>
      </c>
      <c r="K276" s="70">
        <v>51745</v>
      </c>
      <c r="L276" s="55">
        <f t="shared" si="179"/>
        <v>0</v>
      </c>
      <c r="M276" s="55">
        <f t="shared" si="180"/>
        <v>727.41</v>
      </c>
      <c r="N276" s="55">
        <f t="shared" si="181"/>
        <v>727.41</v>
      </c>
      <c r="O276" s="55">
        <f t="shared" si="182"/>
        <v>0</v>
      </c>
      <c r="P276" s="71">
        <v>0</v>
      </c>
      <c r="Q276" s="55">
        <f t="shared" si="183"/>
        <v>0</v>
      </c>
      <c r="R276" s="55">
        <f t="shared" si="184"/>
        <v>212673.43000000031</v>
      </c>
      <c r="S276" s="55">
        <f t="shared" si="185"/>
        <v>58649.68</v>
      </c>
      <c r="T276" s="55">
        <f t="shared" si="186"/>
        <v>0</v>
      </c>
      <c r="U276" s="57">
        <f t="shared" si="187"/>
        <v>180000</v>
      </c>
    </row>
    <row r="277" spans="10:21" x14ac:dyDescent="0.25">
      <c r="J277">
        <f t="shared" si="178"/>
        <v>22</v>
      </c>
      <c r="K277" s="70">
        <v>51775</v>
      </c>
      <c r="L277" s="55">
        <f t="shared" si="179"/>
        <v>0</v>
      </c>
      <c r="M277" s="55">
        <f t="shared" si="180"/>
        <v>727.41</v>
      </c>
      <c r="N277" s="55">
        <f t="shared" si="181"/>
        <v>727.41</v>
      </c>
      <c r="O277" s="55">
        <f t="shared" si="182"/>
        <v>0</v>
      </c>
      <c r="P277" s="71">
        <v>0</v>
      </c>
      <c r="Q277" s="55">
        <f t="shared" si="183"/>
        <v>0</v>
      </c>
      <c r="R277" s="55">
        <f t="shared" si="184"/>
        <v>213400.84000000032</v>
      </c>
      <c r="S277" s="55">
        <f t="shared" si="185"/>
        <v>58649.68</v>
      </c>
      <c r="T277" s="55">
        <f t="shared" si="186"/>
        <v>0</v>
      </c>
      <c r="U277" s="57">
        <f t="shared" si="187"/>
        <v>180000</v>
      </c>
    </row>
    <row r="278" spans="10:21" x14ac:dyDescent="0.25">
      <c r="J278">
        <f t="shared" si="178"/>
        <v>22</v>
      </c>
      <c r="K278" s="70">
        <v>51806</v>
      </c>
      <c r="L278" s="55">
        <f t="shared" si="179"/>
        <v>0</v>
      </c>
      <c r="M278" s="55">
        <f t="shared" si="180"/>
        <v>727.41</v>
      </c>
      <c r="N278" s="55">
        <f t="shared" si="181"/>
        <v>727.41</v>
      </c>
      <c r="O278" s="55">
        <f t="shared" si="182"/>
        <v>0</v>
      </c>
      <c r="P278" s="71">
        <v>0</v>
      </c>
      <c r="Q278" s="55">
        <f t="shared" si="183"/>
        <v>0</v>
      </c>
      <c r="R278" s="55">
        <f t="shared" si="184"/>
        <v>214128.25000000032</v>
      </c>
      <c r="S278" s="55">
        <f t="shared" si="185"/>
        <v>58649.68</v>
      </c>
      <c r="T278" s="55">
        <f t="shared" si="186"/>
        <v>0</v>
      </c>
      <c r="U278" s="57">
        <f t="shared" si="187"/>
        <v>180000</v>
      </c>
    </row>
    <row r="279" spans="10:21" x14ac:dyDescent="0.25">
      <c r="J279">
        <f t="shared" si="178"/>
        <v>22</v>
      </c>
      <c r="K279" s="70">
        <v>51836</v>
      </c>
      <c r="L279" s="55">
        <f t="shared" si="179"/>
        <v>0</v>
      </c>
      <c r="M279" s="55">
        <f t="shared" si="180"/>
        <v>727.41</v>
      </c>
      <c r="N279" s="55">
        <f t="shared" si="181"/>
        <v>727.41</v>
      </c>
      <c r="O279" s="55">
        <f t="shared" si="182"/>
        <v>0</v>
      </c>
      <c r="P279" s="71">
        <v>0</v>
      </c>
      <c r="Q279" s="55">
        <f t="shared" si="183"/>
        <v>0</v>
      </c>
      <c r="R279" s="55">
        <f t="shared" si="184"/>
        <v>214855.66000000032</v>
      </c>
      <c r="S279" s="55">
        <f t="shared" si="185"/>
        <v>58649.68</v>
      </c>
      <c r="T279" s="55">
        <f t="shared" si="186"/>
        <v>0</v>
      </c>
      <c r="U279" s="57">
        <f t="shared" si="187"/>
        <v>180000</v>
      </c>
    </row>
    <row r="280" spans="10:21" x14ac:dyDescent="0.25">
      <c r="J280">
        <f t="shared" si="178"/>
        <v>23</v>
      </c>
      <c r="K280" s="70">
        <v>51867</v>
      </c>
      <c r="L280" s="55">
        <f t="shared" si="179"/>
        <v>0</v>
      </c>
      <c r="M280" s="55">
        <f t="shared" si="180"/>
        <v>727.41</v>
      </c>
      <c r="N280" s="55">
        <f t="shared" si="181"/>
        <v>727.41</v>
      </c>
      <c r="O280" s="55">
        <f t="shared" si="182"/>
        <v>0</v>
      </c>
      <c r="P280" s="71">
        <v>0</v>
      </c>
      <c r="Q280" s="55">
        <f t="shared" si="183"/>
        <v>0</v>
      </c>
      <c r="R280" s="55">
        <f t="shared" si="184"/>
        <v>215583.07000000033</v>
      </c>
      <c r="S280" s="55">
        <f t="shared" si="185"/>
        <v>58649.68</v>
      </c>
      <c r="T280" s="55">
        <f t="shared" si="186"/>
        <v>0</v>
      </c>
      <c r="U280" s="57">
        <f t="shared" si="187"/>
        <v>180000</v>
      </c>
    </row>
    <row r="281" spans="10:21" x14ac:dyDescent="0.25">
      <c r="J281">
        <f t="shared" si="178"/>
        <v>23</v>
      </c>
      <c r="K281" s="70">
        <v>51898</v>
      </c>
      <c r="L281" s="55">
        <f t="shared" si="179"/>
        <v>0</v>
      </c>
      <c r="M281" s="55">
        <f t="shared" si="180"/>
        <v>727.41</v>
      </c>
      <c r="N281" s="55">
        <f t="shared" si="181"/>
        <v>727.41</v>
      </c>
      <c r="O281" s="55">
        <f t="shared" si="182"/>
        <v>0</v>
      </c>
      <c r="P281" s="71">
        <v>0</v>
      </c>
      <c r="Q281" s="55">
        <f t="shared" si="183"/>
        <v>0</v>
      </c>
      <c r="R281" s="55">
        <f t="shared" si="184"/>
        <v>216310.48000000033</v>
      </c>
      <c r="S281" s="55">
        <f t="shared" si="185"/>
        <v>58649.68</v>
      </c>
      <c r="T281" s="55">
        <f t="shared" si="186"/>
        <v>0</v>
      </c>
      <c r="U281" s="57">
        <f t="shared" si="187"/>
        <v>180000</v>
      </c>
    </row>
    <row r="282" spans="10:21" x14ac:dyDescent="0.25">
      <c r="J282">
        <f t="shared" si="178"/>
        <v>23</v>
      </c>
      <c r="K282" s="70">
        <v>51926</v>
      </c>
      <c r="L282" s="55">
        <f t="shared" si="179"/>
        <v>0</v>
      </c>
      <c r="M282" s="55">
        <f t="shared" si="180"/>
        <v>727.41</v>
      </c>
      <c r="N282" s="55">
        <f t="shared" si="181"/>
        <v>727.41</v>
      </c>
      <c r="O282" s="55">
        <f t="shared" si="182"/>
        <v>0</v>
      </c>
      <c r="P282" s="71">
        <v>0</v>
      </c>
      <c r="Q282" s="55">
        <f t="shared" si="183"/>
        <v>0</v>
      </c>
      <c r="R282" s="55">
        <f t="shared" si="184"/>
        <v>217037.89000000033</v>
      </c>
      <c r="S282" s="55">
        <f t="shared" si="185"/>
        <v>58649.68</v>
      </c>
      <c r="T282" s="55">
        <f t="shared" si="186"/>
        <v>0</v>
      </c>
      <c r="U282" s="57">
        <f t="shared" si="187"/>
        <v>180000</v>
      </c>
    </row>
    <row r="283" spans="10:21" x14ac:dyDescent="0.25">
      <c r="J283">
        <f t="shared" si="178"/>
        <v>23</v>
      </c>
      <c r="K283" s="70">
        <v>51957</v>
      </c>
      <c r="L283" s="55">
        <f t="shared" si="179"/>
        <v>0</v>
      </c>
      <c r="M283" s="55">
        <f t="shared" si="180"/>
        <v>727.41</v>
      </c>
      <c r="N283" s="55">
        <f t="shared" si="181"/>
        <v>727.41</v>
      </c>
      <c r="O283" s="55">
        <f t="shared" si="182"/>
        <v>0</v>
      </c>
      <c r="P283" s="71">
        <v>0</v>
      </c>
      <c r="Q283" s="55">
        <f t="shared" si="183"/>
        <v>0</v>
      </c>
      <c r="R283" s="55">
        <f t="shared" si="184"/>
        <v>217765.30000000034</v>
      </c>
      <c r="S283" s="55">
        <f t="shared" si="185"/>
        <v>58649.68</v>
      </c>
      <c r="T283" s="55">
        <f t="shared" si="186"/>
        <v>0</v>
      </c>
      <c r="U283" s="57">
        <f t="shared" si="187"/>
        <v>180000</v>
      </c>
    </row>
    <row r="284" spans="10:21" x14ac:dyDescent="0.25">
      <c r="J284">
        <f t="shared" si="178"/>
        <v>23</v>
      </c>
      <c r="K284" s="70">
        <v>51987</v>
      </c>
      <c r="L284" s="55">
        <f t="shared" si="179"/>
        <v>0</v>
      </c>
      <c r="M284" s="55">
        <f t="shared" si="180"/>
        <v>727.41</v>
      </c>
      <c r="N284" s="55">
        <f t="shared" si="181"/>
        <v>727.41</v>
      </c>
      <c r="O284" s="55">
        <f t="shared" si="182"/>
        <v>0</v>
      </c>
      <c r="P284" s="71">
        <v>0</v>
      </c>
      <c r="Q284" s="55">
        <f t="shared" si="183"/>
        <v>0</v>
      </c>
      <c r="R284" s="55">
        <f t="shared" si="184"/>
        <v>218492.71000000034</v>
      </c>
      <c r="S284" s="55">
        <f t="shared" si="185"/>
        <v>58649.68</v>
      </c>
      <c r="T284" s="55">
        <f t="shared" si="186"/>
        <v>0</v>
      </c>
      <c r="U284" s="57">
        <f t="shared" si="187"/>
        <v>180000</v>
      </c>
    </row>
    <row r="285" spans="10:21" x14ac:dyDescent="0.25">
      <c r="J285">
        <f t="shared" ref="J285:J348" si="188">J273+1</f>
        <v>23</v>
      </c>
      <c r="K285" s="70">
        <v>52018</v>
      </c>
      <c r="L285" s="55">
        <f t="shared" si="179"/>
        <v>0</v>
      </c>
      <c r="M285" s="55">
        <f t="shared" si="180"/>
        <v>727.41</v>
      </c>
      <c r="N285" s="55">
        <f t="shared" si="181"/>
        <v>727.41</v>
      </c>
      <c r="O285" s="55">
        <f t="shared" si="182"/>
        <v>0</v>
      </c>
      <c r="P285" s="71">
        <v>0</v>
      </c>
      <c r="Q285" s="55">
        <f t="shared" si="183"/>
        <v>0</v>
      </c>
      <c r="R285" s="55">
        <f t="shared" si="184"/>
        <v>219220.12000000034</v>
      </c>
      <c r="S285" s="55">
        <f t="shared" si="185"/>
        <v>58649.68</v>
      </c>
      <c r="T285" s="55">
        <f t="shared" si="186"/>
        <v>0</v>
      </c>
      <c r="U285" s="57">
        <f t="shared" si="187"/>
        <v>180000</v>
      </c>
    </row>
    <row r="286" spans="10:21" x14ac:dyDescent="0.25">
      <c r="J286">
        <f t="shared" si="188"/>
        <v>23</v>
      </c>
      <c r="K286" s="70">
        <v>52048</v>
      </c>
      <c r="L286" s="55">
        <f t="shared" si="179"/>
        <v>0</v>
      </c>
      <c r="M286" s="55">
        <f t="shared" si="180"/>
        <v>727.41</v>
      </c>
      <c r="N286" s="55">
        <f t="shared" si="181"/>
        <v>727.41</v>
      </c>
      <c r="O286" s="55">
        <f t="shared" si="182"/>
        <v>0</v>
      </c>
      <c r="P286" s="71">
        <v>0</v>
      </c>
      <c r="Q286" s="55">
        <f t="shared" si="183"/>
        <v>0</v>
      </c>
      <c r="R286" s="55">
        <f t="shared" si="184"/>
        <v>219947.53000000035</v>
      </c>
      <c r="S286" s="55">
        <f t="shared" si="185"/>
        <v>58649.68</v>
      </c>
      <c r="T286" s="55">
        <f t="shared" si="186"/>
        <v>0</v>
      </c>
      <c r="U286" s="57">
        <f t="shared" si="187"/>
        <v>180000</v>
      </c>
    </row>
    <row r="287" spans="10:21" x14ac:dyDescent="0.25">
      <c r="J287">
        <f t="shared" si="188"/>
        <v>23</v>
      </c>
      <c r="K287" s="70">
        <v>52079</v>
      </c>
      <c r="L287" s="55">
        <f t="shared" si="179"/>
        <v>0</v>
      </c>
      <c r="M287" s="55">
        <f t="shared" si="180"/>
        <v>727.41</v>
      </c>
      <c r="N287" s="55">
        <f t="shared" si="181"/>
        <v>727.41</v>
      </c>
      <c r="O287" s="55">
        <f t="shared" si="182"/>
        <v>0</v>
      </c>
      <c r="P287" s="71">
        <v>0</v>
      </c>
      <c r="Q287" s="55">
        <f t="shared" si="183"/>
        <v>0</v>
      </c>
      <c r="R287" s="55">
        <f t="shared" si="184"/>
        <v>220674.94000000035</v>
      </c>
      <c r="S287" s="55">
        <f t="shared" si="185"/>
        <v>58649.68</v>
      </c>
      <c r="T287" s="55">
        <f t="shared" si="186"/>
        <v>0</v>
      </c>
      <c r="U287" s="57">
        <f t="shared" si="187"/>
        <v>180000</v>
      </c>
    </row>
    <row r="288" spans="10:21" x14ac:dyDescent="0.25">
      <c r="J288">
        <f t="shared" si="188"/>
        <v>23</v>
      </c>
      <c r="K288" s="70">
        <v>52110</v>
      </c>
      <c r="L288" s="55">
        <f t="shared" si="179"/>
        <v>0</v>
      </c>
      <c r="M288" s="55">
        <f t="shared" si="180"/>
        <v>727.41</v>
      </c>
      <c r="N288" s="55">
        <f t="shared" si="181"/>
        <v>727.41</v>
      </c>
      <c r="O288" s="55">
        <f t="shared" si="182"/>
        <v>0</v>
      </c>
      <c r="P288" s="71">
        <v>0</v>
      </c>
      <c r="Q288" s="55">
        <f t="shared" si="183"/>
        <v>0</v>
      </c>
      <c r="R288" s="55">
        <f t="shared" si="184"/>
        <v>221402.35000000036</v>
      </c>
      <c r="S288" s="55">
        <f t="shared" si="185"/>
        <v>58649.68</v>
      </c>
      <c r="T288" s="55">
        <f t="shared" si="186"/>
        <v>0</v>
      </c>
      <c r="U288" s="57">
        <f t="shared" si="187"/>
        <v>180000</v>
      </c>
    </row>
    <row r="289" spans="10:21" x14ac:dyDescent="0.25">
      <c r="J289">
        <f t="shared" si="188"/>
        <v>23</v>
      </c>
      <c r="K289" s="70">
        <v>52140</v>
      </c>
      <c r="L289" s="55">
        <f t="shared" si="179"/>
        <v>0</v>
      </c>
      <c r="M289" s="55">
        <f t="shared" si="180"/>
        <v>727.41</v>
      </c>
      <c r="N289" s="55">
        <f t="shared" si="181"/>
        <v>727.41</v>
      </c>
      <c r="O289" s="55">
        <f t="shared" si="182"/>
        <v>0</v>
      </c>
      <c r="P289" s="71">
        <v>0</v>
      </c>
      <c r="Q289" s="55">
        <f t="shared" si="183"/>
        <v>0</v>
      </c>
      <c r="R289" s="55">
        <f t="shared" si="184"/>
        <v>222129.76000000036</v>
      </c>
      <c r="S289" s="55">
        <f t="shared" si="185"/>
        <v>58649.68</v>
      </c>
      <c r="T289" s="55">
        <f t="shared" si="186"/>
        <v>0</v>
      </c>
      <c r="U289" s="57">
        <f t="shared" si="187"/>
        <v>180000</v>
      </c>
    </row>
    <row r="290" spans="10:21" x14ac:dyDescent="0.25">
      <c r="J290">
        <f t="shared" si="188"/>
        <v>23</v>
      </c>
      <c r="K290" s="70">
        <v>52171</v>
      </c>
      <c r="L290" s="55">
        <f t="shared" si="179"/>
        <v>0</v>
      </c>
      <c r="M290" s="55">
        <f t="shared" si="180"/>
        <v>727.41</v>
      </c>
      <c r="N290" s="55">
        <f t="shared" si="181"/>
        <v>727.41</v>
      </c>
      <c r="O290" s="55">
        <f t="shared" si="182"/>
        <v>0</v>
      </c>
      <c r="P290" s="71">
        <v>0</v>
      </c>
      <c r="Q290" s="55">
        <f t="shared" si="183"/>
        <v>0</v>
      </c>
      <c r="R290" s="55">
        <f t="shared" si="184"/>
        <v>222857.17000000036</v>
      </c>
      <c r="S290" s="55">
        <f t="shared" si="185"/>
        <v>58649.68</v>
      </c>
      <c r="T290" s="55">
        <f t="shared" si="186"/>
        <v>0</v>
      </c>
      <c r="U290" s="57">
        <f t="shared" si="187"/>
        <v>180000</v>
      </c>
    </row>
    <row r="291" spans="10:21" x14ac:dyDescent="0.25">
      <c r="J291">
        <f t="shared" si="188"/>
        <v>23</v>
      </c>
      <c r="K291" s="70">
        <v>52201</v>
      </c>
      <c r="L291" s="55">
        <f t="shared" si="179"/>
        <v>0</v>
      </c>
      <c r="M291" s="55">
        <f t="shared" si="180"/>
        <v>727.41</v>
      </c>
      <c r="N291" s="55">
        <f t="shared" si="181"/>
        <v>727.41</v>
      </c>
      <c r="O291" s="55">
        <f t="shared" si="182"/>
        <v>0</v>
      </c>
      <c r="P291" s="71">
        <v>0</v>
      </c>
      <c r="Q291" s="55">
        <f t="shared" si="183"/>
        <v>0</v>
      </c>
      <c r="R291" s="55">
        <f t="shared" si="184"/>
        <v>223584.58000000037</v>
      </c>
      <c r="S291" s="55">
        <f t="shared" si="185"/>
        <v>58649.68</v>
      </c>
      <c r="T291" s="55">
        <f t="shared" si="186"/>
        <v>0</v>
      </c>
      <c r="U291" s="57">
        <f t="shared" si="187"/>
        <v>180000</v>
      </c>
    </row>
    <row r="292" spans="10:21" x14ac:dyDescent="0.25">
      <c r="J292">
        <f t="shared" si="188"/>
        <v>24</v>
      </c>
      <c r="K292" s="70">
        <v>52232</v>
      </c>
      <c r="L292" s="55">
        <f t="shared" si="179"/>
        <v>0</v>
      </c>
      <c r="M292" s="55">
        <f t="shared" si="180"/>
        <v>727.41</v>
      </c>
      <c r="N292" s="55">
        <f t="shared" si="181"/>
        <v>727.41</v>
      </c>
      <c r="O292" s="55">
        <f t="shared" si="182"/>
        <v>0</v>
      </c>
      <c r="P292" s="71">
        <v>0</v>
      </c>
      <c r="Q292" s="55">
        <f t="shared" si="183"/>
        <v>0</v>
      </c>
      <c r="R292" s="55">
        <f t="shared" si="184"/>
        <v>224311.99000000037</v>
      </c>
      <c r="S292" s="55">
        <f t="shared" si="185"/>
        <v>58649.68</v>
      </c>
      <c r="T292" s="55">
        <f t="shared" si="186"/>
        <v>0</v>
      </c>
      <c r="U292" s="57">
        <f t="shared" si="187"/>
        <v>180000</v>
      </c>
    </row>
    <row r="293" spans="10:21" x14ac:dyDescent="0.25">
      <c r="J293">
        <f t="shared" si="188"/>
        <v>24</v>
      </c>
      <c r="K293" s="70">
        <v>52263</v>
      </c>
      <c r="L293" s="55">
        <f t="shared" si="179"/>
        <v>0</v>
      </c>
      <c r="M293" s="55">
        <f t="shared" si="180"/>
        <v>727.41</v>
      </c>
      <c r="N293" s="55">
        <f t="shared" si="181"/>
        <v>727.41</v>
      </c>
      <c r="O293" s="55">
        <f t="shared" si="182"/>
        <v>0</v>
      </c>
      <c r="P293" s="71">
        <v>0</v>
      </c>
      <c r="Q293" s="55">
        <f t="shared" si="183"/>
        <v>0</v>
      </c>
      <c r="R293" s="55">
        <f t="shared" si="184"/>
        <v>225039.40000000037</v>
      </c>
      <c r="S293" s="55">
        <f t="shared" si="185"/>
        <v>58649.68</v>
      </c>
      <c r="T293" s="55">
        <f t="shared" si="186"/>
        <v>0</v>
      </c>
      <c r="U293" s="57">
        <f t="shared" si="187"/>
        <v>180000</v>
      </c>
    </row>
    <row r="294" spans="10:21" x14ac:dyDescent="0.25">
      <c r="J294">
        <f t="shared" si="188"/>
        <v>24</v>
      </c>
      <c r="K294" s="70">
        <v>52291</v>
      </c>
      <c r="L294" s="55">
        <f t="shared" si="179"/>
        <v>0</v>
      </c>
      <c r="M294" s="55">
        <f t="shared" si="180"/>
        <v>727.41</v>
      </c>
      <c r="N294" s="55">
        <f t="shared" si="181"/>
        <v>727.41</v>
      </c>
      <c r="O294" s="55">
        <f t="shared" si="182"/>
        <v>0</v>
      </c>
      <c r="P294" s="71">
        <v>0</v>
      </c>
      <c r="Q294" s="55">
        <f t="shared" si="183"/>
        <v>0</v>
      </c>
      <c r="R294" s="55">
        <f t="shared" si="184"/>
        <v>225766.81000000038</v>
      </c>
      <c r="S294" s="55">
        <f t="shared" si="185"/>
        <v>58649.68</v>
      </c>
      <c r="T294" s="55">
        <f t="shared" si="186"/>
        <v>0</v>
      </c>
      <c r="U294" s="57">
        <f t="shared" si="187"/>
        <v>180000</v>
      </c>
    </row>
    <row r="295" spans="10:21" x14ac:dyDescent="0.25">
      <c r="J295">
        <f t="shared" si="188"/>
        <v>24</v>
      </c>
      <c r="K295" s="70">
        <v>52322</v>
      </c>
      <c r="L295" s="55">
        <f t="shared" si="179"/>
        <v>0</v>
      </c>
      <c r="M295" s="55">
        <f t="shared" si="180"/>
        <v>727.41</v>
      </c>
      <c r="N295" s="55">
        <f t="shared" si="181"/>
        <v>727.41</v>
      </c>
      <c r="O295" s="55">
        <f t="shared" si="182"/>
        <v>0</v>
      </c>
      <c r="P295" s="71">
        <v>0</v>
      </c>
      <c r="Q295" s="55">
        <f t="shared" si="183"/>
        <v>0</v>
      </c>
      <c r="R295" s="55">
        <f t="shared" si="184"/>
        <v>226494.22000000038</v>
      </c>
      <c r="S295" s="55">
        <f t="shared" si="185"/>
        <v>58649.68</v>
      </c>
      <c r="T295" s="55">
        <f t="shared" si="186"/>
        <v>0</v>
      </c>
      <c r="U295" s="57">
        <f t="shared" si="187"/>
        <v>180000</v>
      </c>
    </row>
    <row r="296" spans="10:21" x14ac:dyDescent="0.25">
      <c r="J296">
        <f t="shared" si="188"/>
        <v>24</v>
      </c>
      <c r="K296" s="70">
        <v>52352</v>
      </c>
      <c r="L296" s="55">
        <f t="shared" si="179"/>
        <v>0</v>
      </c>
      <c r="M296" s="55">
        <f t="shared" si="180"/>
        <v>727.41</v>
      </c>
      <c r="N296" s="55">
        <f t="shared" si="181"/>
        <v>727.41</v>
      </c>
      <c r="O296" s="55">
        <f t="shared" si="182"/>
        <v>0</v>
      </c>
      <c r="P296" s="71">
        <v>0</v>
      </c>
      <c r="Q296" s="55">
        <f t="shared" si="183"/>
        <v>0</v>
      </c>
      <c r="R296" s="55">
        <f t="shared" si="184"/>
        <v>227221.63000000038</v>
      </c>
      <c r="S296" s="55">
        <f t="shared" si="185"/>
        <v>58649.68</v>
      </c>
      <c r="T296" s="55">
        <f t="shared" si="186"/>
        <v>0</v>
      </c>
      <c r="U296" s="57">
        <f t="shared" si="187"/>
        <v>180000</v>
      </c>
    </row>
    <row r="297" spans="10:21" x14ac:dyDescent="0.25">
      <c r="J297">
        <f t="shared" si="188"/>
        <v>24</v>
      </c>
      <c r="K297" s="70">
        <v>52383</v>
      </c>
      <c r="L297" s="55">
        <f t="shared" si="179"/>
        <v>0</v>
      </c>
      <c r="M297" s="55">
        <f t="shared" si="180"/>
        <v>727.41</v>
      </c>
      <c r="N297" s="55">
        <f t="shared" si="181"/>
        <v>727.41</v>
      </c>
      <c r="O297" s="55">
        <f t="shared" si="182"/>
        <v>0</v>
      </c>
      <c r="P297" s="71">
        <v>0</v>
      </c>
      <c r="Q297" s="55">
        <f t="shared" si="183"/>
        <v>0</v>
      </c>
      <c r="R297" s="55">
        <f t="shared" si="184"/>
        <v>227949.04000000039</v>
      </c>
      <c r="S297" s="55">
        <f t="shared" si="185"/>
        <v>58649.68</v>
      </c>
      <c r="T297" s="55">
        <f t="shared" si="186"/>
        <v>0</v>
      </c>
      <c r="U297" s="57">
        <f t="shared" si="187"/>
        <v>180000</v>
      </c>
    </row>
    <row r="298" spans="10:21" x14ac:dyDescent="0.25">
      <c r="J298">
        <f t="shared" si="188"/>
        <v>24</v>
      </c>
      <c r="K298" s="70">
        <v>52413</v>
      </c>
      <c r="L298" s="55">
        <f t="shared" si="179"/>
        <v>0</v>
      </c>
      <c r="M298" s="55">
        <f t="shared" si="180"/>
        <v>727.41</v>
      </c>
      <c r="N298" s="55">
        <f t="shared" si="181"/>
        <v>727.41</v>
      </c>
      <c r="O298" s="55">
        <f t="shared" si="182"/>
        <v>0</v>
      </c>
      <c r="P298" s="71">
        <v>0</v>
      </c>
      <c r="Q298" s="55">
        <f t="shared" si="183"/>
        <v>0</v>
      </c>
      <c r="R298" s="55">
        <f t="shared" si="184"/>
        <v>228676.45000000039</v>
      </c>
      <c r="S298" s="55">
        <f t="shared" si="185"/>
        <v>58649.68</v>
      </c>
      <c r="T298" s="55">
        <f t="shared" si="186"/>
        <v>0</v>
      </c>
      <c r="U298" s="57">
        <f t="shared" si="187"/>
        <v>180000</v>
      </c>
    </row>
    <row r="299" spans="10:21" x14ac:dyDescent="0.25">
      <c r="J299">
        <f t="shared" si="188"/>
        <v>24</v>
      </c>
      <c r="K299" s="70">
        <v>52444</v>
      </c>
      <c r="L299" s="55">
        <f t="shared" si="179"/>
        <v>0</v>
      </c>
      <c r="M299" s="55">
        <f t="shared" si="180"/>
        <v>727.41</v>
      </c>
      <c r="N299" s="55">
        <f t="shared" si="181"/>
        <v>727.41</v>
      </c>
      <c r="O299" s="55">
        <f t="shared" si="182"/>
        <v>0</v>
      </c>
      <c r="P299" s="71">
        <v>0</v>
      </c>
      <c r="Q299" s="55">
        <f t="shared" si="183"/>
        <v>0</v>
      </c>
      <c r="R299" s="55">
        <f t="shared" si="184"/>
        <v>229403.86000000039</v>
      </c>
      <c r="S299" s="55">
        <f t="shared" si="185"/>
        <v>58649.68</v>
      </c>
      <c r="T299" s="55">
        <f t="shared" si="186"/>
        <v>0</v>
      </c>
      <c r="U299" s="57">
        <f t="shared" si="187"/>
        <v>180000</v>
      </c>
    </row>
    <row r="300" spans="10:21" x14ac:dyDescent="0.25">
      <c r="J300">
        <f t="shared" si="188"/>
        <v>24</v>
      </c>
      <c r="K300" s="70">
        <v>52475</v>
      </c>
      <c r="L300" s="55">
        <f t="shared" si="179"/>
        <v>0</v>
      </c>
      <c r="M300" s="55">
        <f t="shared" si="180"/>
        <v>727.41</v>
      </c>
      <c r="N300" s="55">
        <f t="shared" si="181"/>
        <v>727.41</v>
      </c>
      <c r="O300" s="55">
        <f t="shared" si="182"/>
        <v>0</v>
      </c>
      <c r="P300" s="71">
        <v>0</v>
      </c>
      <c r="Q300" s="55">
        <f t="shared" si="183"/>
        <v>0</v>
      </c>
      <c r="R300" s="55">
        <f t="shared" si="184"/>
        <v>230131.2700000004</v>
      </c>
      <c r="S300" s="55">
        <f t="shared" si="185"/>
        <v>58649.68</v>
      </c>
      <c r="T300" s="55">
        <f t="shared" si="186"/>
        <v>0</v>
      </c>
      <c r="U300" s="57">
        <f t="shared" si="187"/>
        <v>180000</v>
      </c>
    </row>
    <row r="301" spans="10:21" x14ac:dyDescent="0.25">
      <c r="J301">
        <f t="shared" si="188"/>
        <v>24</v>
      </c>
      <c r="K301" s="70">
        <v>52505</v>
      </c>
      <c r="L301" s="55">
        <f t="shared" si="179"/>
        <v>0</v>
      </c>
      <c r="M301" s="55">
        <f t="shared" si="180"/>
        <v>727.41</v>
      </c>
      <c r="N301" s="55">
        <f t="shared" si="181"/>
        <v>727.41</v>
      </c>
      <c r="O301" s="55">
        <f t="shared" si="182"/>
        <v>0</v>
      </c>
      <c r="P301" s="71">
        <v>0</v>
      </c>
      <c r="Q301" s="55">
        <f t="shared" si="183"/>
        <v>0</v>
      </c>
      <c r="R301" s="55">
        <f t="shared" si="184"/>
        <v>230858.6800000004</v>
      </c>
      <c r="S301" s="55">
        <f t="shared" si="185"/>
        <v>58649.68</v>
      </c>
      <c r="T301" s="55">
        <f t="shared" si="186"/>
        <v>0</v>
      </c>
      <c r="U301" s="57">
        <f t="shared" si="187"/>
        <v>180000</v>
      </c>
    </row>
    <row r="302" spans="10:21" x14ac:dyDescent="0.25">
      <c r="J302">
        <f t="shared" si="188"/>
        <v>24</v>
      </c>
      <c r="K302" s="70">
        <v>52536</v>
      </c>
      <c r="L302" s="55">
        <f t="shared" si="179"/>
        <v>0</v>
      </c>
      <c r="M302" s="55">
        <f t="shared" si="180"/>
        <v>727.41</v>
      </c>
      <c r="N302" s="55">
        <f t="shared" si="181"/>
        <v>727.41</v>
      </c>
      <c r="O302" s="55">
        <f t="shared" si="182"/>
        <v>0</v>
      </c>
      <c r="P302" s="71">
        <v>0</v>
      </c>
      <c r="Q302" s="55">
        <f t="shared" si="183"/>
        <v>0</v>
      </c>
      <c r="R302" s="55">
        <f t="shared" si="184"/>
        <v>231586.0900000004</v>
      </c>
      <c r="S302" s="55">
        <f t="shared" si="185"/>
        <v>58649.68</v>
      </c>
      <c r="T302" s="55">
        <f t="shared" si="186"/>
        <v>0</v>
      </c>
      <c r="U302" s="57">
        <f t="shared" si="187"/>
        <v>180000</v>
      </c>
    </row>
    <row r="303" spans="10:21" x14ac:dyDescent="0.25">
      <c r="J303">
        <f t="shared" si="188"/>
        <v>24</v>
      </c>
      <c r="K303" s="70">
        <v>52566</v>
      </c>
      <c r="L303" s="55">
        <f t="shared" si="179"/>
        <v>0</v>
      </c>
      <c r="M303" s="55">
        <f t="shared" si="180"/>
        <v>727.41</v>
      </c>
      <c r="N303" s="55">
        <f t="shared" si="181"/>
        <v>727.41</v>
      </c>
      <c r="O303" s="55">
        <f t="shared" si="182"/>
        <v>0</v>
      </c>
      <c r="P303" s="71">
        <v>0</v>
      </c>
      <c r="Q303" s="55">
        <f t="shared" si="183"/>
        <v>0</v>
      </c>
      <c r="R303" s="55">
        <f t="shared" si="184"/>
        <v>232313.50000000041</v>
      </c>
      <c r="S303" s="55">
        <f t="shared" si="185"/>
        <v>58649.68</v>
      </c>
      <c r="T303" s="55">
        <f t="shared" si="186"/>
        <v>0</v>
      </c>
      <c r="U303" s="57">
        <f t="shared" si="187"/>
        <v>180000</v>
      </c>
    </row>
    <row r="304" spans="10:21" x14ac:dyDescent="0.25">
      <c r="J304">
        <f t="shared" si="188"/>
        <v>25</v>
      </c>
      <c r="K304" s="70">
        <v>52597</v>
      </c>
      <c r="L304" s="55">
        <f t="shared" si="179"/>
        <v>0</v>
      </c>
      <c r="M304" s="55">
        <f t="shared" si="180"/>
        <v>727.41</v>
      </c>
      <c r="N304" s="55">
        <f t="shared" si="181"/>
        <v>727.41</v>
      </c>
      <c r="O304" s="55">
        <f t="shared" si="182"/>
        <v>0</v>
      </c>
      <c r="P304" s="71">
        <v>0</v>
      </c>
      <c r="Q304" s="55">
        <f t="shared" si="183"/>
        <v>0</v>
      </c>
      <c r="R304" s="55">
        <f t="shared" si="184"/>
        <v>233040.91000000041</v>
      </c>
      <c r="S304" s="55">
        <f t="shared" si="185"/>
        <v>58649.68</v>
      </c>
      <c r="T304" s="55">
        <f t="shared" si="186"/>
        <v>0</v>
      </c>
      <c r="U304" s="57">
        <f t="shared" si="187"/>
        <v>180000</v>
      </c>
    </row>
    <row r="305" spans="10:21" x14ac:dyDescent="0.25">
      <c r="J305">
        <f t="shared" si="188"/>
        <v>25</v>
      </c>
      <c r="K305" s="70">
        <v>52628</v>
      </c>
      <c r="L305" s="55">
        <f t="shared" si="179"/>
        <v>0</v>
      </c>
      <c r="M305" s="55">
        <f t="shared" si="180"/>
        <v>727.41</v>
      </c>
      <c r="N305" s="55">
        <f t="shared" si="181"/>
        <v>727.41</v>
      </c>
      <c r="O305" s="55">
        <f t="shared" si="182"/>
        <v>0</v>
      </c>
      <c r="P305" s="71">
        <v>0</v>
      </c>
      <c r="Q305" s="55">
        <f t="shared" si="183"/>
        <v>0</v>
      </c>
      <c r="R305" s="55">
        <f t="shared" si="184"/>
        <v>233768.32000000041</v>
      </c>
      <c r="S305" s="55">
        <f t="shared" si="185"/>
        <v>58649.68</v>
      </c>
      <c r="T305" s="55">
        <f t="shared" si="186"/>
        <v>0</v>
      </c>
      <c r="U305" s="57">
        <f t="shared" si="187"/>
        <v>180000</v>
      </c>
    </row>
    <row r="306" spans="10:21" x14ac:dyDescent="0.25">
      <c r="J306">
        <f t="shared" si="188"/>
        <v>25</v>
      </c>
      <c r="K306" s="70">
        <v>52657</v>
      </c>
      <c r="L306" s="55">
        <f t="shared" si="179"/>
        <v>0</v>
      </c>
      <c r="M306" s="55">
        <f t="shared" si="180"/>
        <v>727.41</v>
      </c>
      <c r="N306" s="55">
        <f t="shared" si="181"/>
        <v>727.41</v>
      </c>
      <c r="O306" s="55">
        <f t="shared" si="182"/>
        <v>0</v>
      </c>
      <c r="P306" s="71">
        <v>0</v>
      </c>
      <c r="Q306" s="55">
        <f t="shared" si="183"/>
        <v>0</v>
      </c>
      <c r="R306" s="55">
        <f t="shared" si="184"/>
        <v>234495.73000000042</v>
      </c>
      <c r="S306" s="55">
        <f t="shared" si="185"/>
        <v>58649.68</v>
      </c>
      <c r="T306" s="55">
        <f t="shared" si="186"/>
        <v>0</v>
      </c>
      <c r="U306" s="57">
        <f t="shared" si="187"/>
        <v>180000</v>
      </c>
    </row>
    <row r="307" spans="10:21" x14ac:dyDescent="0.25">
      <c r="J307">
        <f t="shared" si="188"/>
        <v>25</v>
      </c>
      <c r="K307" s="70">
        <v>52688</v>
      </c>
      <c r="L307" s="55">
        <f t="shared" si="179"/>
        <v>0</v>
      </c>
      <c r="M307" s="55">
        <f t="shared" si="180"/>
        <v>727.41</v>
      </c>
      <c r="N307" s="55">
        <f t="shared" si="181"/>
        <v>727.41</v>
      </c>
      <c r="O307" s="55">
        <f t="shared" si="182"/>
        <v>0</v>
      </c>
      <c r="P307" s="71">
        <v>0</v>
      </c>
      <c r="Q307" s="55">
        <f t="shared" si="183"/>
        <v>0</v>
      </c>
      <c r="R307" s="55">
        <f t="shared" si="184"/>
        <v>235223.14000000042</v>
      </c>
      <c r="S307" s="55">
        <f t="shared" si="185"/>
        <v>58649.68</v>
      </c>
      <c r="T307" s="55">
        <f t="shared" si="186"/>
        <v>0</v>
      </c>
      <c r="U307" s="57">
        <f t="shared" si="187"/>
        <v>180000</v>
      </c>
    </row>
    <row r="308" spans="10:21" x14ac:dyDescent="0.25">
      <c r="J308">
        <f t="shared" si="188"/>
        <v>25</v>
      </c>
      <c r="K308" s="70">
        <v>52718</v>
      </c>
      <c r="L308" s="55">
        <f t="shared" si="179"/>
        <v>0</v>
      </c>
      <c r="M308" s="55">
        <f t="shared" si="180"/>
        <v>727.41</v>
      </c>
      <c r="N308" s="55">
        <f t="shared" si="181"/>
        <v>727.41</v>
      </c>
      <c r="O308" s="55">
        <f t="shared" si="182"/>
        <v>0</v>
      </c>
      <c r="P308" s="71">
        <v>0</v>
      </c>
      <c r="Q308" s="55">
        <f t="shared" si="183"/>
        <v>0</v>
      </c>
      <c r="R308" s="55">
        <f t="shared" si="184"/>
        <v>235950.55000000042</v>
      </c>
      <c r="S308" s="55">
        <f t="shared" si="185"/>
        <v>58649.68</v>
      </c>
      <c r="T308" s="55">
        <f t="shared" si="186"/>
        <v>0</v>
      </c>
      <c r="U308" s="57">
        <f t="shared" si="187"/>
        <v>180000</v>
      </c>
    </row>
    <row r="309" spans="10:21" x14ac:dyDescent="0.25">
      <c r="J309">
        <f t="shared" si="188"/>
        <v>25</v>
      </c>
      <c r="K309" s="70">
        <v>52749</v>
      </c>
      <c r="L309" s="55">
        <f t="shared" si="179"/>
        <v>0</v>
      </c>
      <c r="M309" s="55">
        <f t="shared" si="180"/>
        <v>727.41</v>
      </c>
      <c r="N309" s="55">
        <f t="shared" si="181"/>
        <v>727.41</v>
      </c>
      <c r="O309" s="55">
        <f t="shared" si="182"/>
        <v>0</v>
      </c>
      <c r="P309" s="71">
        <v>0</v>
      </c>
      <c r="Q309" s="55">
        <f t="shared" si="183"/>
        <v>0</v>
      </c>
      <c r="R309" s="55">
        <f t="shared" si="184"/>
        <v>236677.96000000043</v>
      </c>
      <c r="S309" s="55">
        <f t="shared" si="185"/>
        <v>58649.68</v>
      </c>
      <c r="T309" s="55">
        <f t="shared" si="186"/>
        <v>0</v>
      </c>
      <c r="U309" s="57">
        <f t="shared" si="187"/>
        <v>180000</v>
      </c>
    </row>
    <row r="310" spans="10:21" x14ac:dyDescent="0.25">
      <c r="J310">
        <f t="shared" si="188"/>
        <v>25</v>
      </c>
      <c r="K310" s="70">
        <v>52779</v>
      </c>
      <c r="L310" s="55">
        <f t="shared" si="179"/>
        <v>0</v>
      </c>
      <c r="M310" s="55">
        <f t="shared" si="180"/>
        <v>727.41</v>
      </c>
      <c r="N310" s="55">
        <f t="shared" si="181"/>
        <v>727.41</v>
      </c>
      <c r="O310" s="55">
        <f t="shared" si="182"/>
        <v>0</v>
      </c>
      <c r="P310" s="71">
        <v>0</v>
      </c>
      <c r="Q310" s="55">
        <f t="shared" si="183"/>
        <v>0</v>
      </c>
      <c r="R310" s="55">
        <f t="shared" si="184"/>
        <v>237405.37000000043</v>
      </c>
      <c r="S310" s="55">
        <f t="shared" si="185"/>
        <v>58649.68</v>
      </c>
      <c r="T310" s="55">
        <f t="shared" si="186"/>
        <v>0</v>
      </c>
      <c r="U310" s="57">
        <f t="shared" si="187"/>
        <v>180000</v>
      </c>
    </row>
    <row r="311" spans="10:21" x14ac:dyDescent="0.25">
      <c r="J311">
        <f t="shared" si="188"/>
        <v>25</v>
      </c>
      <c r="K311" s="70">
        <v>52810</v>
      </c>
      <c r="L311" s="55">
        <f t="shared" si="179"/>
        <v>0</v>
      </c>
      <c r="M311" s="55">
        <f t="shared" si="180"/>
        <v>727.41</v>
      </c>
      <c r="N311" s="55">
        <f t="shared" si="181"/>
        <v>727.41</v>
      </c>
      <c r="O311" s="55">
        <f t="shared" si="182"/>
        <v>0</v>
      </c>
      <c r="P311" s="71">
        <v>0</v>
      </c>
      <c r="Q311" s="55">
        <f t="shared" si="183"/>
        <v>0</v>
      </c>
      <c r="R311" s="55">
        <f t="shared" si="184"/>
        <v>238132.78000000044</v>
      </c>
      <c r="S311" s="55">
        <f t="shared" si="185"/>
        <v>58649.68</v>
      </c>
      <c r="T311" s="55">
        <f t="shared" si="186"/>
        <v>0</v>
      </c>
      <c r="U311" s="57">
        <f t="shared" si="187"/>
        <v>180000</v>
      </c>
    </row>
    <row r="312" spans="10:21" x14ac:dyDescent="0.25">
      <c r="J312">
        <f t="shared" si="188"/>
        <v>25</v>
      </c>
      <c r="K312" s="70">
        <v>52841</v>
      </c>
      <c r="L312" s="55">
        <f t="shared" si="179"/>
        <v>0</v>
      </c>
      <c r="M312" s="55">
        <f t="shared" si="180"/>
        <v>727.41</v>
      </c>
      <c r="N312" s="55">
        <f t="shared" si="181"/>
        <v>727.41</v>
      </c>
      <c r="O312" s="55">
        <f t="shared" si="182"/>
        <v>0</v>
      </c>
      <c r="P312" s="71">
        <v>0</v>
      </c>
      <c r="Q312" s="55">
        <f t="shared" si="183"/>
        <v>0</v>
      </c>
      <c r="R312" s="55">
        <f t="shared" si="184"/>
        <v>238860.19000000044</v>
      </c>
      <c r="S312" s="55">
        <f t="shared" si="185"/>
        <v>58649.68</v>
      </c>
      <c r="T312" s="55">
        <f t="shared" si="186"/>
        <v>0</v>
      </c>
      <c r="U312" s="57">
        <f t="shared" si="187"/>
        <v>180000</v>
      </c>
    </row>
    <row r="313" spans="10:21" x14ac:dyDescent="0.25">
      <c r="J313">
        <f t="shared" si="188"/>
        <v>25</v>
      </c>
      <c r="K313" s="70">
        <v>52871</v>
      </c>
      <c r="L313" s="55">
        <f t="shared" si="179"/>
        <v>0</v>
      </c>
      <c r="M313" s="55">
        <f t="shared" si="180"/>
        <v>727.41</v>
      </c>
      <c r="N313" s="55">
        <f t="shared" si="181"/>
        <v>727.41</v>
      </c>
      <c r="O313" s="55">
        <f t="shared" si="182"/>
        <v>0</v>
      </c>
      <c r="P313" s="71">
        <v>0</v>
      </c>
      <c r="Q313" s="55">
        <f t="shared" si="183"/>
        <v>0</v>
      </c>
      <c r="R313" s="55">
        <f t="shared" si="184"/>
        <v>239587.60000000044</v>
      </c>
      <c r="S313" s="55">
        <f t="shared" si="185"/>
        <v>58649.68</v>
      </c>
      <c r="T313" s="55">
        <f t="shared" si="186"/>
        <v>0</v>
      </c>
      <c r="U313" s="57">
        <f t="shared" si="187"/>
        <v>180000</v>
      </c>
    </row>
    <row r="314" spans="10:21" x14ac:dyDescent="0.25">
      <c r="J314">
        <f t="shared" si="188"/>
        <v>25</v>
      </c>
      <c r="K314" s="70">
        <v>52902</v>
      </c>
      <c r="L314" s="55">
        <f t="shared" si="179"/>
        <v>0</v>
      </c>
      <c r="M314" s="55">
        <f t="shared" si="180"/>
        <v>727.41</v>
      </c>
      <c r="N314" s="55">
        <f t="shared" si="181"/>
        <v>727.41</v>
      </c>
      <c r="O314" s="55">
        <f t="shared" si="182"/>
        <v>0</v>
      </c>
      <c r="P314" s="71">
        <v>0</v>
      </c>
      <c r="Q314" s="55">
        <f t="shared" si="183"/>
        <v>0</v>
      </c>
      <c r="R314" s="55">
        <f t="shared" si="184"/>
        <v>240315.01000000045</v>
      </c>
      <c r="S314" s="55">
        <f t="shared" si="185"/>
        <v>58649.68</v>
      </c>
      <c r="T314" s="55">
        <f t="shared" si="186"/>
        <v>0</v>
      </c>
      <c r="U314" s="57">
        <f t="shared" si="187"/>
        <v>180000</v>
      </c>
    </row>
    <row r="315" spans="10:21" x14ac:dyDescent="0.25">
      <c r="J315">
        <f t="shared" si="188"/>
        <v>25</v>
      </c>
      <c r="K315" s="70">
        <v>52932</v>
      </c>
      <c r="L315" s="55">
        <f t="shared" si="179"/>
        <v>0</v>
      </c>
      <c r="M315" s="55">
        <f t="shared" si="180"/>
        <v>727.41</v>
      </c>
      <c r="N315" s="55">
        <f t="shared" si="181"/>
        <v>727.41</v>
      </c>
      <c r="O315" s="55">
        <f t="shared" si="182"/>
        <v>0</v>
      </c>
      <c r="P315" s="71">
        <v>0</v>
      </c>
      <c r="Q315" s="55">
        <f t="shared" si="183"/>
        <v>0</v>
      </c>
      <c r="R315" s="55">
        <f t="shared" si="184"/>
        <v>241042.42000000045</v>
      </c>
      <c r="S315" s="55">
        <f t="shared" si="185"/>
        <v>58649.68</v>
      </c>
      <c r="T315" s="55">
        <f t="shared" si="186"/>
        <v>0</v>
      </c>
      <c r="U315" s="57">
        <f t="shared" si="187"/>
        <v>180000</v>
      </c>
    </row>
    <row r="316" spans="10:21" x14ac:dyDescent="0.25">
      <c r="J316">
        <f t="shared" si="188"/>
        <v>26</v>
      </c>
      <c r="K316" s="70">
        <v>52963</v>
      </c>
      <c r="L316" s="55">
        <f t="shared" si="179"/>
        <v>0</v>
      </c>
      <c r="M316" s="55">
        <f t="shared" si="180"/>
        <v>727.41</v>
      </c>
      <c r="N316" s="55">
        <f t="shared" si="181"/>
        <v>727.41</v>
      </c>
      <c r="O316" s="55">
        <f t="shared" si="182"/>
        <v>0</v>
      </c>
      <c r="P316" s="71">
        <v>0</v>
      </c>
      <c r="Q316" s="55">
        <f t="shared" si="183"/>
        <v>0</v>
      </c>
      <c r="R316" s="55">
        <f t="shared" si="184"/>
        <v>241769.83000000045</v>
      </c>
      <c r="S316" s="55">
        <f t="shared" si="185"/>
        <v>58649.68</v>
      </c>
      <c r="T316" s="55">
        <f t="shared" si="186"/>
        <v>0</v>
      </c>
      <c r="U316" s="57">
        <f t="shared" si="187"/>
        <v>180000</v>
      </c>
    </row>
    <row r="317" spans="10:21" x14ac:dyDescent="0.25">
      <c r="J317">
        <f t="shared" si="188"/>
        <v>26</v>
      </c>
      <c r="K317" s="70">
        <v>52994</v>
      </c>
      <c r="L317" s="55">
        <f t="shared" si="179"/>
        <v>0</v>
      </c>
      <c r="M317" s="55">
        <f t="shared" si="180"/>
        <v>727.41</v>
      </c>
      <c r="N317" s="55">
        <f t="shared" si="181"/>
        <v>727.41</v>
      </c>
      <c r="O317" s="55">
        <f t="shared" si="182"/>
        <v>0</v>
      </c>
      <c r="P317" s="71">
        <v>0</v>
      </c>
      <c r="Q317" s="55">
        <f t="shared" si="183"/>
        <v>0</v>
      </c>
      <c r="R317" s="55">
        <f t="shared" si="184"/>
        <v>242497.24000000046</v>
      </c>
      <c r="S317" s="55">
        <f t="shared" si="185"/>
        <v>58649.68</v>
      </c>
      <c r="T317" s="55">
        <f t="shared" si="186"/>
        <v>0</v>
      </c>
      <c r="U317" s="57">
        <f t="shared" si="187"/>
        <v>180000</v>
      </c>
    </row>
    <row r="318" spans="10:21" x14ac:dyDescent="0.25">
      <c r="J318">
        <f t="shared" si="188"/>
        <v>26</v>
      </c>
      <c r="K318" s="70">
        <v>53022</v>
      </c>
      <c r="L318" s="55">
        <f t="shared" si="179"/>
        <v>0</v>
      </c>
      <c r="M318" s="55">
        <f t="shared" si="180"/>
        <v>727.41</v>
      </c>
      <c r="N318" s="55">
        <f t="shared" si="181"/>
        <v>727.41</v>
      </c>
      <c r="O318" s="55">
        <f t="shared" si="182"/>
        <v>0</v>
      </c>
      <c r="P318" s="71">
        <v>0</v>
      </c>
      <c r="Q318" s="55">
        <f t="shared" si="183"/>
        <v>0</v>
      </c>
      <c r="R318" s="55">
        <f t="shared" si="184"/>
        <v>243224.65000000046</v>
      </c>
      <c r="S318" s="55">
        <f t="shared" si="185"/>
        <v>58649.68</v>
      </c>
      <c r="T318" s="55">
        <f t="shared" si="186"/>
        <v>0</v>
      </c>
      <c r="U318" s="57">
        <f t="shared" si="187"/>
        <v>180000</v>
      </c>
    </row>
    <row r="319" spans="10:21" x14ac:dyDescent="0.25">
      <c r="J319">
        <f t="shared" si="188"/>
        <v>26</v>
      </c>
      <c r="K319" s="70">
        <v>53053</v>
      </c>
      <c r="L319" s="55">
        <f t="shared" si="179"/>
        <v>0</v>
      </c>
      <c r="M319" s="55">
        <f t="shared" si="180"/>
        <v>727.41</v>
      </c>
      <c r="N319" s="55">
        <f t="shared" si="181"/>
        <v>727.41</v>
      </c>
      <c r="O319" s="55">
        <f t="shared" si="182"/>
        <v>0</v>
      </c>
      <c r="P319" s="71">
        <v>0</v>
      </c>
      <c r="Q319" s="55">
        <f t="shared" si="183"/>
        <v>0</v>
      </c>
      <c r="R319" s="55">
        <f t="shared" si="184"/>
        <v>243952.06000000046</v>
      </c>
      <c r="S319" s="55">
        <f t="shared" si="185"/>
        <v>58649.68</v>
      </c>
      <c r="T319" s="55">
        <f t="shared" si="186"/>
        <v>0</v>
      </c>
      <c r="U319" s="57">
        <f t="shared" si="187"/>
        <v>180000</v>
      </c>
    </row>
    <row r="320" spans="10:21" x14ac:dyDescent="0.25">
      <c r="J320">
        <f t="shared" si="188"/>
        <v>26</v>
      </c>
      <c r="K320" s="70">
        <v>53083</v>
      </c>
      <c r="L320" s="55">
        <f t="shared" si="179"/>
        <v>0</v>
      </c>
      <c r="M320" s="55">
        <f t="shared" si="180"/>
        <v>727.41</v>
      </c>
      <c r="N320" s="55">
        <f t="shared" si="181"/>
        <v>727.41</v>
      </c>
      <c r="O320" s="55">
        <f t="shared" si="182"/>
        <v>0</v>
      </c>
      <c r="P320" s="71">
        <v>0</v>
      </c>
      <c r="Q320" s="55">
        <f t="shared" si="183"/>
        <v>0</v>
      </c>
      <c r="R320" s="55">
        <f t="shared" si="184"/>
        <v>244679.47000000047</v>
      </c>
      <c r="S320" s="55">
        <f t="shared" si="185"/>
        <v>58649.68</v>
      </c>
      <c r="T320" s="55">
        <f t="shared" si="186"/>
        <v>0</v>
      </c>
      <c r="U320" s="57">
        <f t="shared" si="187"/>
        <v>180000</v>
      </c>
    </row>
    <row r="321" spans="10:21" x14ac:dyDescent="0.25">
      <c r="J321">
        <f t="shared" si="188"/>
        <v>26</v>
      </c>
      <c r="K321" s="70">
        <v>53114</v>
      </c>
      <c r="L321" s="55">
        <f t="shared" si="179"/>
        <v>0</v>
      </c>
      <c r="M321" s="55">
        <f t="shared" si="180"/>
        <v>727.41</v>
      </c>
      <c r="N321" s="55">
        <f t="shared" si="181"/>
        <v>727.41</v>
      </c>
      <c r="O321" s="55">
        <f t="shared" si="182"/>
        <v>0</v>
      </c>
      <c r="P321" s="71">
        <v>0</v>
      </c>
      <c r="Q321" s="55">
        <f t="shared" si="183"/>
        <v>0</v>
      </c>
      <c r="R321" s="55">
        <f t="shared" si="184"/>
        <v>245406.88000000047</v>
      </c>
      <c r="S321" s="55">
        <f t="shared" si="185"/>
        <v>58649.68</v>
      </c>
      <c r="T321" s="55">
        <f t="shared" si="186"/>
        <v>0</v>
      </c>
      <c r="U321" s="57">
        <f t="shared" si="187"/>
        <v>180000</v>
      </c>
    </row>
    <row r="322" spans="10:21" x14ac:dyDescent="0.25">
      <c r="J322">
        <f t="shared" si="188"/>
        <v>26</v>
      </c>
      <c r="K322" s="70">
        <v>53144</v>
      </c>
      <c r="L322" s="55">
        <f t="shared" si="179"/>
        <v>0</v>
      </c>
      <c r="M322" s="55">
        <f t="shared" si="180"/>
        <v>727.41</v>
      </c>
      <c r="N322" s="55">
        <f t="shared" si="181"/>
        <v>727.41</v>
      </c>
      <c r="O322" s="55">
        <f t="shared" si="182"/>
        <v>0</v>
      </c>
      <c r="P322" s="71">
        <v>0</v>
      </c>
      <c r="Q322" s="55">
        <f t="shared" si="183"/>
        <v>0</v>
      </c>
      <c r="R322" s="55">
        <f t="shared" si="184"/>
        <v>246134.29000000047</v>
      </c>
      <c r="S322" s="55">
        <f t="shared" si="185"/>
        <v>58649.68</v>
      </c>
      <c r="T322" s="55">
        <f t="shared" si="186"/>
        <v>0</v>
      </c>
      <c r="U322" s="57">
        <f t="shared" si="187"/>
        <v>180000</v>
      </c>
    </row>
    <row r="323" spans="10:21" x14ac:dyDescent="0.25">
      <c r="J323">
        <f t="shared" si="188"/>
        <v>26</v>
      </c>
      <c r="K323" s="70">
        <v>53175</v>
      </c>
      <c r="L323" s="55">
        <f t="shared" si="179"/>
        <v>0</v>
      </c>
      <c r="M323" s="55">
        <f t="shared" si="180"/>
        <v>727.41</v>
      </c>
      <c r="N323" s="55">
        <f t="shared" si="181"/>
        <v>727.41</v>
      </c>
      <c r="O323" s="55">
        <f t="shared" si="182"/>
        <v>0</v>
      </c>
      <c r="P323" s="71">
        <v>0</v>
      </c>
      <c r="Q323" s="55">
        <f t="shared" si="183"/>
        <v>0</v>
      </c>
      <c r="R323" s="55">
        <f t="shared" si="184"/>
        <v>246861.70000000048</v>
      </c>
      <c r="S323" s="55">
        <f t="shared" si="185"/>
        <v>58649.68</v>
      </c>
      <c r="T323" s="55">
        <f t="shared" si="186"/>
        <v>0</v>
      </c>
      <c r="U323" s="57">
        <f t="shared" si="187"/>
        <v>180000</v>
      </c>
    </row>
    <row r="324" spans="10:21" x14ac:dyDescent="0.25">
      <c r="J324">
        <f t="shared" si="188"/>
        <v>26</v>
      </c>
      <c r="K324" s="70">
        <v>53206</v>
      </c>
      <c r="L324" s="55">
        <f t="shared" si="179"/>
        <v>0</v>
      </c>
      <c r="M324" s="55">
        <f t="shared" si="180"/>
        <v>727.41</v>
      </c>
      <c r="N324" s="55">
        <f t="shared" si="181"/>
        <v>727.41</v>
      </c>
      <c r="O324" s="55">
        <f t="shared" si="182"/>
        <v>0</v>
      </c>
      <c r="P324" s="71">
        <v>0</v>
      </c>
      <c r="Q324" s="55">
        <f t="shared" si="183"/>
        <v>0</v>
      </c>
      <c r="R324" s="55">
        <f t="shared" si="184"/>
        <v>247589.11000000048</v>
      </c>
      <c r="S324" s="55">
        <f t="shared" si="185"/>
        <v>58649.68</v>
      </c>
      <c r="T324" s="55">
        <f t="shared" si="186"/>
        <v>0</v>
      </c>
      <c r="U324" s="57">
        <f t="shared" si="187"/>
        <v>180000</v>
      </c>
    </row>
    <row r="325" spans="10:21" x14ac:dyDescent="0.25">
      <c r="J325">
        <f t="shared" si="188"/>
        <v>26</v>
      </c>
      <c r="K325" s="70">
        <v>53236</v>
      </c>
      <c r="L325" s="55">
        <f t="shared" si="179"/>
        <v>0</v>
      </c>
      <c r="M325" s="55">
        <f t="shared" si="180"/>
        <v>727.41</v>
      </c>
      <c r="N325" s="55">
        <f t="shared" si="181"/>
        <v>727.41</v>
      </c>
      <c r="O325" s="55">
        <f t="shared" si="182"/>
        <v>0</v>
      </c>
      <c r="P325" s="71">
        <v>0</v>
      </c>
      <c r="Q325" s="55">
        <f t="shared" si="183"/>
        <v>0</v>
      </c>
      <c r="R325" s="55">
        <f t="shared" si="184"/>
        <v>248316.52000000048</v>
      </c>
      <c r="S325" s="55">
        <f t="shared" si="185"/>
        <v>58649.68</v>
      </c>
      <c r="T325" s="55">
        <f t="shared" si="186"/>
        <v>0</v>
      </c>
      <c r="U325" s="57">
        <f t="shared" si="187"/>
        <v>180000</v>
      </c>
    </row>
    <row r="326" spans="10:21" x14ac:dyDescent="0.25">
      <c r="J326">
        <f t="shared" si="188"/>
        <v>26</v>
      </c>
      <c r="K326" s="70">
        <v>53267</v>
      </c>
      <c r="L326" s="55">
        <f t="shared" si="179"/>
        <v>0</v>
      </c>
      <c r="M326" s="55">
        <f t="shared" si="180"/>
        <v>727.41</v>
      </c>
      <c r="N326" s="55">
        <f t="shared" si="181"/>
        <v>727.41</v>
      </c>
      <c r="O326" s="55">
        <f t="shared" si="182"/>
        <v>0</v>
      </c>
      <c r="P326" s="71">
        <v>0</v>
      </c>
      <c r="Q326" s="55">
        <f t="shared" si="183"/>
        <v>0</v>
      </c>
      <c r="R326" s="55">
        <f t="shared" si="184"/>
        <v>249043.93000000049</v>
      </c>
      <c r="S326" s="55">
        <f t="shared" si="185"/>
        <v>58649.68</v>
      </c>
      <c r="T326" s="55">
        <f t="shared" si="186"/>
        <v>0</v>
      </c>
      <c r="U326" s="57">
        <f t="shared" si="187"/>
        <v>180000</v>
      </c>
    </row>
    <row r="327" spans="10:21" x14ac:dyDescent="0.25">
      <c r="J327">
        <f t="shared" si="188"/>
        <v>26</v>
      </c>
      <c r="K327" s="70">
        <v>53297</v>
      </c>
      <c r="L327" s="55">
        <f t="shared" si="179"/>
        <v>0</v>
      </c>
      <c r="M327" s="55">
        <f t="shared" si="180"/>
        <v>727.41</v>
      </c>
      <c r="N327" s="55">
        <f t="shared" si="181"/>
        <v>727.41</v>
      </c>
      <c r="O327" s="55">
        <f t="shared" si="182"/>
        <v>0</v>
      </c>
      <c r="P327" s="71">
        <v>0</v>
      </c>
      <c r="Q327" s="55">
        <f t="shared" si="183"/>
        <v>0</v>
      </c>
      <c r="R327" s="55">
        <f t="shared" si="184"/>
        <v>249771.34000000049</v>
      </c>
      <c r="S327" s="55">
        <f t="shared" si="185"/>
        <v>58649.68</v>
      </c>
      <c r="T327" s="55">
        <f t="shared" si="186"/>
        <v>0</v>
      </c>
      <c r="U327" s="57">
        <f t="shared" si="187"/>
        <v>180000</v>
      </c>
    </row>
    <row r="328" spans="10:21" x14ac:dyDescent="0.25">
      <c r="J328">
        <f t="shared" si="188"/>
        <v>27</v>
      </c>
      <c r="K328" s="70">
        <v>53328</v>
      </c>
      <c r="L328" s="55">
        <f t="shared" si="179"/>
        <v>0</v>
      </c>
      <c r="M328" s="55">
        <f t="shared" si="180"/>
        <v>727.41</v>
      </c>
      <c r="N328" s="55">
        <f t="shared" si="181"/>
        <v>727.41</v>
      </c>
      <c r="O328" s="55">
        <f t="shared" si="182"/>
        <v>0</v>
      </c>
      <c r="P328" s="71">
        <v>0</v>
      </c>
      <c r="Q328" s="55">
        <f t="shared" si="183"/>
        <v>0</v>
      </c>
      <c r="R328" s="55">
        <f t="shared" si="184"/>
        <v>250498.75000000049</v>
      </c>
      <c r="S328" s="55">
        <f t="shared" si="185"/>
        <v>58649.68</v>
      </c>
      <c r="T328" s="55">
        <f t="shared" si="186"/>
        <v>0</v>
      </c>
      <c r="U328" s="57">
        <f t="shared" si="187"/>
        <v>180000</v>
      </c>
    </row>
    <row r="329" spans="10:21" x14ac:dyDescent="0.25">
      <c r="J329">
        <f t="shared" si="188"/>
        <v>27</v>
      </c>
      <c r="K329" s="70">
        <v>53359</v>
      </c>
      <c r="L329" s="55">
        <f t="shared" si="179"/>
        <v>0</v>
      </c>
      <c r="M329" s="55">
        <f t="shared" si="180"/>
        <v>727.41</v>
      </c>
      <c r="N329" s="55">
        <f t="shared" si="181"/>
        <v>727.41</v>
      </c>
      <c r="O329" s="55">
        <f t="shared" si="182"/>
        <v>0</v>
      </c>
      <c r="P329" s="71">
        <v>0</v>
      </c>
      <c r="Q329" s="55">
        <f t="shared" si="183"/>
        <v>0</v>
      </c>
      <c r="R329" s="55">
        <f t="shared" si="184"/>
        <v>251226.1600000005</v>
      </c>
      <c r="S329" s="55">
        <f t="shared" si="185"/>
        <v>58649.68</v>
      </c>
      <c r="T329" s="55">
        <f t="shared" si="186"/>
        <v>0</v>
      </c>
      <c r="U329" s="57">
        <f t="shared" si="187"/>
        <v>180000</v>
      </c>
    </row>
    <row r="330" spans="10:21" x14ac:dyDescent="0.25">
      <c r="J330">
        <f t="shared" si="188"/>
        <v>27</v>
      </c>
      <c r="K330" s="70">
        <v>53387</v>
      </c>
      <c r="L330" s="55">
        <f t="shared" si="179"/>
        <v>0</v>
      </c>
      <c r="M330" s="55">
        <f t="shared" si="180"/>
        <v>727.41</v>
      </c>
      <c r="N330" s="55">
        <f t="shared" si="181"/>
        <v>727.41</v>
      </c>
      <c r="O330" s="55">
        <f t="shared" si="182"/>
        <v>0</v>
      </c>
      <c r="P330" s="71">
        <v>0</v>
      </c>
      <c r="Q330" s="55">
        <f t="shared" si="183"/>
        <v>0</v>
      </c>
      <c r="R330" s="55">
        <f t="shared" si="184"/>
        <v>251953.5700000005</v>
      </c>
      <c r="S330" s="55">
        <f t="shared" si="185"/>
        <v>58649.68</v>
      </c>
      <c r="T330" s="55">
        <f t="shared" si="186"/>
        <v>0</v>
      </c>
      <c r="U330" s="57">
        <f t="shared" si="187"/>
        <v>180000</v>
      </c>
    </row>
    <row r="331" spans="10:21" x14ac:dyDescent="0.25">
      <c r="J331">
        <f t="shared" si="188"/>
        <v>27</v>
      </c>
      <c r="K331" s="70">
        <v>53418</v>
      </c>
      <c r="L331" s="55">
        <f t="shared" si="179"/>
        <v>0</v>
      </c>
      <c r="M331" s="55">
        <f t="shared" si="180"/>
        <v>727.41</v>
      </c>
      <c r="N331" s="55">
        <f t="shared" si="181"/>
        <v>727.41</v>
      </c>
      <c r="O331" s="55">
        <f t="shared" si="182"/>
        <v>0</v>
      </c>
      <c r="P331" s="71">
        <v>0</v>
      </c>
      <c r="Q331" s="55">
        <f t="shared" si="183"/>
        <v>0</v>
      </c>
      <c r="R331" s="55">
        <f t="shared" si="184"/>
        <v>252680.98000000051</v>
      </c>
      <c r="S331" s="55">
        <f t="shared" si="185"/>
        <v>58649.68</v>
      </c>
      <c r="T331" s="55">
        <f t="shared" si="186"/>
        <v>0</v>
      </c>
      <c r="U331" s="57">
        <f t="shared" si="187"/>
        <v>180000</v>
      </c>
    </row>
    <row r="332" spans="10:21" x14ac:dyDescent="0.25">
      <c r="J332">
        <f t="shared" si="188"/>
        <v>27</v>
      </c>
      <c r="K332" s="70">
        <v>53448</v>
      </c>
      <c r="L332" s="55">
        <f t="shared" si="179"/>
        <v>0</v>
      </c>
      <c r="M332" s="55">
        <f t="shared" si="180"/>
        <v>727.41</v>
      </c>
      <c r="N332" s="55">
        <f t="shared" si="181"/>
        <v>727.41</v>
      </c>
      <c r="O332" s="55">
        <f t="shared" si="182"/>
        <v>0</v>
      </c>
      <c r="P332" s="71">
        <v>0</v>
      </c>
      <c r="Q332" s="55">
        <f t="shared" si="183"/>
        <v>0</v>
      </c>
      <c r="R332" s="55">
        <f t="shared" si="184"/>
        <v>253408.39000000051</v>
      </c>
      <c r="S332" s="55">
        <f t="shared" si="185"/>
        <v>58649.68</v>
      </c>
      <c r="T332" s="55">
        <f t="shared" si="186"/>
        <v>0</v>
      </c>
      <c r="U332" s="57">
        <f t="shared" si="187"/>
        <v>180000</v>
      </c>
    </row>
    <row r="333" spans="10:21" x14ac:dyDescent="0.25">
      <c r="J333">
        <f t="shared" si="188"/>
        <v>27</v>
      </c>
      <c r="K333" s="70">
        <v>53479</v>
      </c>
      <c r="L333" s="55">
        <f t="shared" si="179"/>
        <v>0</v>
      </c>
      <c r="M333" s="55">
        <f t="shared" si="180"/>
        <v>727.41</v>
      </c>
      <c r="N333" s="55">
        <f t="shared" si="181"/>
        <v>727.41</v>
      </c>
      <c r="O333" s="55">
        <f t="shared" si="182"/>
        <v>0</v>
      </c>
      <c r="P333" s="71">
        <v>0</v>
      </c>
      <c r="Q333" s="55">
        <f t="shared" si="183"/>
        <v>0</v>
      </c>
      <c r="R333" s="55">
        <f t="shared" si="184"/>
        <v>254135.80000000051</v>
      </c>
      <c r="S333" s="55">
        <f t="shared" si="185"/>
        <v>58649.68</v>
      </c>
      <c r="T333" s="55">
        <f t="shared" si="186"/>
        <v>0</v>
      </c>
      <c r="U333" s="57">
        <f t="shared" si="187"/>
        <v>180000</v>
      </c>
    </row>
    <row r="334" spans="10:21" x14ac:dyDescent="0.25">
      <c r="J334">
        <f t="shared" si="188"/>
        <v>27</v>
      </c>
      <c r="K334" s="70">
        <v>53509</v>
      </c>
      <c r="L334" s="55">
        <f t="shared" si="179"/>
        <v>0</v>
      </c>
      <c r="M334" s="55">
        <f t="shared" si="180"/>
        <v>727.41</v>
      </c>
      <c r="N334" s="55">
        <f t="shared" si="181"/>
        <v>727.41</v>
      </c>
      <c r="O334" s="55">
        <f t="shared" si="182"/>
        <v>0</v>
      </c>
      <c r="P334" s="71">
        <v>0</v>
      </c>
      <c r="Q334" s="55">
        <f t="shared" si="183"/>
        <v>0</v>
      </c>
      <c r="R334" s="55">
        <f t="shared" si="184"/>
        <v>254863.21000000052</v>
      </c>
      <c r="S334" s="55">
        <f t="shared" si="185"/>
        <v>58649.68</v>
      </c>
      <c r="T334" s="55">
        <f t="shared" si="186"/>
        <v>0</v>
      </c>
      <c r="U334" s="57">
        <f t="shared" si="187"/>
        <v>180000</v>
      </c>
    </row>
    <row r="335" spans="10:21" x14ac:dyDescent="0.25">
      <c r="J335">
        <f t="shared" si="188"/>
        <v>27</v>
      </c>
      <c r="K335" s="70">
        <v>53540</v>
      </c>
      <c r="L335" s="55">
        <f t="shared" si="179"/>
        <v>0</v>
      </c>
      <c r="M335" s="55">
        <f t="shared" si="180"/>
        <v>727.41</v>
      </c>
      <c r="N335" s="55">
        <f t="shared" si="181"/>
        <v>727.41</v>
      </c>
      <c r="O335" s="55">
        <f t="shared" si="182"/>
        <v>0</v>
      </c>
      <c r="P335" s="71">
        <v>0</v>
      </c>
      <c r="Q335" s="55">
        <f t="shared" si="183"/>
        <v>0</v>
      </c>
      <c r="R335" s="55">
        <f t="shared" si="184"/>
        <v>255590.62000000052</v>
      </c>
      <c r="S335" s="55">
        <f t="shared" si="185"/>
        <v>58649.68</v>
      </c>
      <c r="T335" s="55">
        <f t="shared" si="186"/>
        <v>0</v>
      </c>
      <c r="U335" s="57">
        <f t="shared" si="187"/>
        <v>180000</v>
      </c>
    </row>
    <row r="336" spans="10:21" x14ac:dyDescent="0.25">
      <c r="J336">
        <f t="shared" si="188"/>
        <v>27</v>
      </c>
      <c r="K336" s="70">
        <v>53571</v>
      </c>
      <c r="L336" s="55">
        <f t="shared" si="179"/>
        <v>0</v>
      </c>
      <c r="M336" s="55">
        <f t="shared" si="180"/>
        <v>727.41</v>
      </c>
      <c r="N336" s="55">
        <f t="shared" si="181"/>
        <v>727.41</v>
      </c>
      <c r="O336" s="55">
        <f t="shared" si="182"/>
        <v>0</v>
      </c>
      <c r="P336" s="71">
        <v>0</v>
      </c>
      <c r="Q336" s="55">
        <f t="shared" si="183"/>
        <v>0</v>
      </c>
      <c r="R336" s="55">
        <f t="shared" si="184"/>
        <v>256318.03000000052</v>
      </c>
      <c r="S336" s="55">
        <f t="shared" si="185"/>
        <v>58649.68</v>
      </c>
      <c r="T336" s="55">
        <f t="shared" si="186"/>
        <v>0</v>
      </c>
      <c r="U336" s="57">
        <f t="shared" si="187"/>
        <v>180000</v>
      </c>
    </row>
    <row r="337" spans="10:21" x14ac:dyDescent="0.25">
      <c r="J337">
        <f t="shared" si="188"/>
        <v>27</v>
      </c>
      <c r="K337" s="70">
        <v>53601</v>
      </c>
      <c r="L337" s="55">
        <f t="shared" si="179"/>
        <v>0</v>
      </c>
      <c r="M337" s="55">
        <f t="shared" si="180"/>
        <v>727.41</v>
      </c>
      <c r="N337" s="55">
        <f t="shared" si="181"/>
        <v>727.41</v>
      </c>
      <c r="O337" s="55">
        <f t="shared" si="182"/>
        <v>0</v>
      </c>
      <c r="P337" s="71">
        <v>0</v>
      </c>
      <c r="Q337" s="55">
        <f t="shared" si="183"/>
        <v>0</v>
      </c>
      <c r="R337" s="55">
        <f t="shared" si="184"/>
        <v>257045.44000000053</v>
      </c>
      <c r="S337" s="55">
        <f t="shared" si="185"/>
        <v>58649.68</v>
      </c>
      <c r="T337" s="55">
        <f t="shared" si="186"/>
        <v>0</v>
      </c>
      <c r="U337" s="57">
        <f t="shared" si="187"/>
        <v>180000</v>
      </c>
    </row>
    <row r="338" spans="10:21" x14ac:dyDescent="0.25">
      <c r="J338">
        <f t="shared" si="188"/>
        <v>27</v>
      </c>
      <c r="K338" s="70">
        <v>53632</v>
      </c>
      <c r="L338" s="55">
        <f t="shared" ref="L338:L380" si="189">$T337</f>
        <v>0</v>
      </c>
      <c r="M338" s="55">
        <f t="shared" ref="M338:M380" si="190">$K$11</f>
        <v>727.41</v>
      </c>
      <c r="N338" s="55">
        <f t="shared" ref="N338:N375" si="191">M338-O338</f>
        <v>727.41</v>
      </c>
      <c r="O338" s="55">
        <f t="shared" ref="O338:O380" si="192">ROUND($L338*$K$8/12,2)</f>
        <v>0</v>
      </c>
      <c r="P338" s="71">
        <v>0</v>
      </c>
      <c r="Q338" s="55">
        <f t="shared" ref="Q338:Q375" si="193">IF(T337&lt;100,0,M338+P338)</f>
        <v>0</v>
      </c>
      <c r="R338" s="55">
        <f t="shared" ref="R338:R375" si="194">N338+P338+R337</f>
        <v>257772.85000000053</v>
      </c>
      <c r="S338" s="55">
        <f t="shared" ref="S338:S375" si="195">O338+S337</f>
        <v>58649.68</v>
      </c>
      <c r="T338" s="55">
        <f t="shared" ref="T338:T375" si="196">IF(T337&lt;100,0,L338-N338-P338)</f>
        <v>0</v>
      </c>
      <c r="U338" s="57">
        <f t="shared" ref="U338:U380" si="197">IF(U337&gt;=180000,180000,K$6+R338)</f>
        <v>180000</v>
      </c>
    </row>
    <row r="339" spans="10:21" x14ac:dyDescent="0.25">
      <c r="J339">
        <f t="shared" si="188"/>
        <v>27</v>
      </c>
      <c r="K339" s="70">
        <v>53662</v>
      </c>
      <c r="L339" s="55">
        <f t="shared" si="189"/>
        <v>0</v>
      </c>
      <c r="M339" s="55">
        <f t="shared" si="190"/>
        <v>727.41</v>
      </c>
      <c r="N339" s="55">
        <f t="shared" si="191"/>
        <v>727.41</v>
      </c>
      <c r="O339" s="55">
        <f t="shared" si="192"/>
        <v>0</v>
      </c>
      <c r="P339" s="71">
        <v>0</v>
      </c>
      <c r="Q339" s="55">
        <f t="shared" si="193"/>
        <v>0</v>
      </c>
      <c r="R339" s="55">
        <f t="shared" si="194"/>
        <v>258500.26000000053</v>
      </c>
      <c r="S339" s="55">
        <f t="shared" si="195"/>
        <v>58649.68</v>
      </c>
      <c r="T339" s="55">
        <f t="shared" si="196"/>
        <v>0</v>
      </c>
      <c r="U339" s="57">
        <f t="shared" si="197"/>
        <v>180000</v>
      </c>
    </row>
    <row r="340" spans="10:21" x14ac:dyDescent="0.25">
      <c r="J340">
        <f t="shared" si="188"/>
        <v>28</v>
      </c>
      <c r="K340" s="70">
        <v>53693</v>
      </c>
      <c r="L340" s="55">
        <f t="shared" si="189"/>
        <v>0</v>
      </c>
      <c r="M340" s="55">
        <f t="shared" si="190"/>
        <v>727.41</v>
      </c>
      <c r="N340" s="55">
        <f t="shared" si="191"/>
        <v>727.41</v>
      </c>
      <c r="O340" s="55">
        <f t="shared" si="192"/>
        <v>0</v>
      </c>
      <c r="P340" s="71">
        <v>0</v>
      </c>
      <c r="Q340" s="55">
        <f t="shared" si="193"/>
        <v>0</v>
      </c>
      <c r="R340" s="55">
        <f t="shared" si="194"/>
        <v>259227.67000000054</v>
      </c>
      <c r="S340" s="55">
        <f t="shared" si="195"/>
        <v>58649.68</v>
      </c>
      <c r="T340" s="55">
        <f t="shared" si="196"/>
        <v>0</v>
      </c>
      <c r="U340" s="57">
        <f t="shared" si="197"/>
        <v>180000</v>
      </c>
    </row>
    <row r="341" spans="10:21" x14ac:dyDescent="0.25">
      <c r="J341">
        <f t="shared" si="188"/>
        <v>28</v>
      </c>
      <c r="K341" s="70">
        <v>53724</v>
      </c>
      <c r="L341" s="55">
        <f t="shared" si="189"/>
        <v>0</v>
      </c>
      <c r="M341" s="55">
        <f t="shared" si="190"/>
        <v>727.41</v>
      </c>
      <c r="N341" s="55">
        <f t="shared" si="191"/>
        <v>727.41</v>
      </c>
      <c r="O341" s="55">
        <f t="shared" si="192"/>
        <v>0</v>
      </c>
      <c r="P341" s="71">
        <v>0</v>
      </c>
      <c r="Q341" s="55">
        <f t="shared" si="193"/>
        <v>0</v>
      </c>
      <c r="R341" s="55">
        <f t="shared" si="194"/>
        <v>259955.08000000054</v>
      </c>
      <c r="S341" s="55">
        <f t="shared" si="195"/>
        <v>58649.68</v>
      </c>
      <c r="T341" s="55">
        <f t="shared" si="196"/>
        <v>0</v>
      </c>
      <c r="U341" s="57">
        <f t="shared" si="197"/>
        <v>180000</v>
      </c>
    </row>
    <row r="342" spans="10:21" x14ac:dyDescent="0.25">
      <c r="J342">
        <f t="shared" si="188"/>
        <v>28</v>
      </c>
      <c r="K342" s="70">
        <v>53752</v>
      </c>
      <c r="L342" s="55">
        <f t="shared" si="189"/>
        <v>0</v>
      </c>
      <c r="M342" s="55">
        <f t="shared" si="190"/>
        <v>727.41</v>
      </c>
      <c r="N342" s="55">
        <f t="shared" si="191"/>
        <v>727.41</v>
      </c>
      <c r="O342" s="55">
        <f t="shared" si="192"/>
        <v>0</v>
      </c>
      <c r="P342" s="71">
        <v>0</v>
      </c>
      <c r="Q342" s="55">
        <f t="shared" si="193"/>
        <v>0</v>
      </c>
      <c r="R342" s="55">
        <f t="shared" si="194"/>
        <v>260682.49000000054</v>
      </c>
      <c r="S342" s="55">
        <f t="shared" si="195"/>
        <v>58649.68</v>
      </c>
      <c r="T342" s="55">
        <f t="shared" si="196"/>
        <v>0</v>
      </c>
      <c r="U342" s="57">
        <f t="shared" si="197"/>
        <v>180000</v>
      </c>
    </row>
    <row r="343" spans="10:21" x14ac:dyDescent="0.25">
      <c r="J343">
        <f t="shared" si="188"/>
        <v>28</v>
      </c>
      <c r="K343" s="70">
        <v>53783</v>
      </c>
      <c r="L343" s="55">
        <f t="shared" si="189"/>
        <v>0</v>
      </c>
      <c r="M343" s="55">
        <f t="shared" si="190"/>
        <v>727.41</v>
      </c>
      <c r="N343" s="55">
        <f t="shared" si="191"/>
        <v>727.41</v>
      </c>
      <c r="O343" s="55">
        <f t="shared" si="192"/>
        <v>0</v>
      </c>
      <c r="P343" s="71">
        <v>0</v>
      </c>
      <c r="Q343" s="55">
        <f t="shared" si="193"/>
        <v>0</v>
      </c>
      <c r="R343" s="55">
        <f t="shared" si="194"/>
        <v>261409.90000000055</v>
      </c>
      <c r="S343" s="55">
        <f t="shared" si="195"/>
        <v>58649.68</v>
      </c>
      <c r="T343" s="55">
        <f t="shared" si="196"/>
        <v>0</v>
      </c>
      <c r="U343" s="57">
        <f t="shared" si="197"/>
        <v>180000</v>
      </c>
    </row>
    <row r="344" spans="10:21" x14ac:dyDescent="0.25">
      <c r="J344">
        <f t="shared" si="188"/>
        <v>28</v>
      </c>
      <c r="K344" s="70">
        <v>53813</v>
      </c>
      <c r="L344" s="55">
        <f t="shared" si="189"/>
        <v>0</v>
      </c>
      <c r="M344" s="55">
        <f t="shared" si="190"/>
        <v>727.41</v>
      </c>
      <c r="N344" s="55">
        <f t="shared" si="191"/>
        <v>727.41</v>
      </c>
      <c r="O344" s="55">
        <f t="shared" si="192"/>
        <v>0</v>
      </c>
      <c r="P344" s="71">
        <v>0</v>
      </c>
      <c r="Q344" s="55">
        <f t="shared" si="193"/>
        <v>0</v>
      </c>
      <c r="R344" s="55">
        <f t="shared" si="194"/>
        <v>262137.31000000055</v>
      </c>
      <c r="S344" s="55">
        <f t="shared" si="195"/>
        <v>58649.68</v>
      </c>
      <c r="T344" s="55">
        <f t="shared" si="196"/>
        <v>0</v>
      </c>
      <c r="U344" s="57">
        <f t="shared" si="197"/>
        <v>180000</v>
      </c>
    </row>
    <row r="345" spans="10:21" x14ac:dyDescent="0.25">
      <c r="J345">
        <f t="shared" si="188"/>
        <v>28</v>
      </c>
      <c r="K345" s="70">
        <v>53844</v>
      </c>
      <c r="L345" s="55">
        <f t="shared" si="189"/>
        <v>0</v>
      </c>
      <c r="M345" s="55">
        <f t="shared" si="190"/>
        <v>727.41</v>
      </c>
      <c r="N345" s="55">
        <f t="shared" si="191"/>
        <v>727.41</v>
      </c>
      <c r="O345" s="55">
        <f t="shared" si="192"/>
        <v>0</v>
      </c>
      <c r="P345" s="71">
        <v>0</v>
      </c>
      <c r="Q345" s="55">
        <f t="shared" si="193"/>
        <v>0</v>
      </c>
      <c r="R345" s="55">
        <f t="shared" si="194"/>
        <v>262864.72000000055</v>
      </c>
      <c r="S345" s="55">
        <f t="shared" si="195"/>
        <v>58649.68</v>
      </c>
      <c r="T345" s="55">
        <f t="shared" si="196"/>
        <v>0</v>
      </c>
      <c r="U345" s="57">
        <f t="shared" si="197"/>
        <v>180000</v>
      </c>
    </row>
    <row r="346" spans="10:21" x14ac:dyDescent="0.25">
      <c r="J346">
        <f t="shared" si="188"/>
        <v>28</v>
      </c>
      <c r="K346" s="70">
        <v>53874</v>
      </c>
      <c r="L346" s="55">
        <f t="shared" si="189"/>
        <v>0</v>
      </c>
      <c r="M346" s="55">
        <f t="shared" si="190"/>
        <v>727.41</v>
      </c>
      <c r="N346" s="55">
        <f t="shared" si="191"/>
        <v>727.41</v>
      </c>
      <c r="O346" s="55">
        <f t="shared" si="192"/>
        <v>0</v>
      </c>
      <c r="P346" s="71">
        <v>0</v>
      </c>
      <c r="Q346" s="55">
        <f t="shared" si="193"/>
        <v>0</v>
      </c>
      <c r="R346" s="55">
        <f t="shared" si="194"/>
        <v>263592.13000000053</v>
      </c>
      <c r="S346" s="55">
        <f t="shared" si="195"/>
        <v>58649.68</v>
      </c>
      <c r="T346" s="55">
        <f t="shared" si="196"/>
        <v>0</v>
      </c>
      <c r="U346" s="57">
        <f t="shared" si="197"/>
        <v>180000</v>
      </c>
    </row>
    <row r="347" spans="10:21" x14ac:dyDescent="0.25">
      <c r="J347">
        <f t="shared" si="188"/>
        <v>28</v>
      </c>
      <c r="K347" s="70">
        <v>53905</v>
      </c>
      <c r="L347" s="55">
        <f t="shared" si="189"/>
        <v>0</v>
      </c>
      <c r="M347" s="55">
        <f t="shared" si="190"/>
        <v>727.41</v>
      </c>
      <c r="N347" s="55">
        <f t="shared" si="191"/>
        <v>727.41</v>
      </c>
      <c r="O347" s="55">
        <f t="shared" si="192"/>
        <v>0</v>
      </c>
      <c r="P347" s="71">
        <v>0</v>
      </c>
      <c r="Q347" s="55">
        <f t="shared" si="193"/>
        <v>0</v>
      </c>
      <c r="R347" s="55">
        <f t="shared" si="194"/>
        <v>264319.5400000005</v>
      </c>
      <c r="S347" s="55">
        <f t="shared" si="195"/>
        <v>58649.68</v>
      </c>
      <c r="T347" s="55">
        <f t="shared" si="196"/>
        <v>0</v>
      </c>
      <c r="U347" s="57">
        <f t="shared" si="197"/>
        <v>180000</v>
      </c>
    </row>
    <row r="348" spans="10:21" x14ac:dyDescent="0.25">
      <c r="J348">
        <f t="shared" si="188"/>
        <v>28</v>
      </c>
      <c r="K348" s="70">
        <v>53936</v>
      </c>
      <c r="L348" s="55">
        <f t="shared" si="189"/>
        <v>0</v>
      </c>
      <c r="M348" s="55">
        <f t="shared" si="190"/>
        <v>727.41</v>
      </c>
      <c r="N348" s="55">
        <f t="shared" si="191"/>
        <v>727.41</v>
      </c>
      <c r="O348" s="55">
        <f t="shared" si="192"/>
        <v>0</v>
      </c>
      <c r="P348" s="71">
        <v>0</v>
      </c>
      <c r="Q348" s="55">
        <f t="shared" si="193"/>
        <v>0</v>
      </c>
      <c r="R348" s="55">
        <f t="shared" si="194"/>
        <v>265046.95000000048</v>
      </c>
      <c r="S348" s="55">
        <f t="shared" si="195"/>
        <v>58649.68</v>
      </c>
      <c r="T348" s="55">
        <f t="shared" si="196"/>
        <v>0</v>
      </c>
      <c r="U348" s="57">
        <f t="shared" si="197"/>
        <v>180000</v>
      </c>
    </row>
    <row r="349" spans="10:21" x14ac:dyDescent="0.25">
      <c r="J349">
        <f t="shared" ref="J349:J375" si="198">J337+1</f>
        <v>28</v>
      </c>
      <c r="K349" s="70">
        <v>53966</v>
      </c>
      <c r="L349" s="55">
        <f t="shared" si="189"/>
        <v>0</v>
      </c>
      <c r="M349" s="55">
        <f t="shared" si="190"/>
        <v>727.41</v>
      </c>
      <c r="N349" s="55">
        <f t="shared" si="191"/>
        <v>727.41</v>
      </c>
      <c r="O349" s="55">
        <f t="shared" si="192"/>
        <v>0</v>
      </c>
      <c r="P349" s="71">
        <v>0</v>
      </c>
      <c r="Q349" s="55">
        <f t="shared" si="193"/>
        <v>0</v>
      </c>
      <c r="R349" s="55">
        <f t="shared" si="194"/>
        <v>265774.36000000045</v>
      </c>
      <c r="S349" s="55">
        <f t="shared" si="195"/>
        <v>58649.68</v>
      </c>
      <c r="T349" s="55">
        <f t="shared" si="196"/>
        <v>0</v>
      </c>
      <c r="U349" s="57">
        <f t="shared" si="197"/>
        <v>180000</v>
      </c>
    </row>
    <row r="350" spans="10:21" x14ac:dyDescent="0.25">
      <c r="J350">
        <f t="shared" si="198"/>
        <v>28</v>
      </c>
      <c r="K350" s="70">
        <v>53997</v>
      </c>
      <c r="L350" s="55">
        <f t="shared" si="189"/>
        <v>0</v>
      </c>
      <c r="M350" s="55">
        <f t="shared" si="190"/>
        <v>727.41</v>
      </c>
      <c r="N350" s="55">
        <f t="shared" si="191"/>
        <v>727.41</v>
      </c>
      <c r="O350" s="55">
        <f t="shared" si="192"/>
        <v>0</v>
      </c>
      <c r="P350" s="71">
        <v>0</v>
      </c>
      <c r="Q350" s="55">
        <f t="shared" si="193"/>
        <v>0</v>
      </c>
      <c r="R350" s="55">
        <f t="shared" si="194"/>
        <v>266501.77000000043</v>
      </c>
      <c r="S350" s="55">
        <f t="shared" si="195"/>
        <v>58649.68</v>
      </c>
      <c r="T350" s="55">
        <f t="shared" si="196"/>
        <v>0</v>
      </c>
      <c r="U350" s="57">
        <f t="shared" si="197"/>
        <v>180000</v>
      </c>
    </row>
    <row r="351" spans="10:21" x14ac:dyDescent="0.25">
      <c r="J351">
        <f t="shared" si="198"/>
        <v>28</v>
      </c>
      <c r="K351" s="70">
        <v>54027</v>
      </c>
      <c r="L351" s="55">
        <f t="shared" si="189"/>
        <v>0</v>
      </c>
      <c r="M351" s="55">
        <f t="shared" si="190"/>
        <v>727.41</v>
      </c>
      <c r="N351" s="55">
        <f t="shared" si="191"/>
        <v>727.41</v>
      </c>
      <c r="O351" s="55">
        <f t="shared" si="192"/>
        <v>0</v>
      </c>
      <c r="P351" s="71">
        <v>0</v>
      </c>
      <c r="Q351" s="55">
        <f t="shared" si="193"/>
        <v>0</v>
      </c>
      <c r="R351" s="55">
        <f t="shared" si="194"/>
        <v>267229.1800000004</v>
      </c>
      <c r="S351" s="55">
        <f t="shared" si="195"/>
        <v>58649.68</v>
      </c>
      <c r="T351" s="55">
        <f t="shared" si="196"/>
        <v>0</v>
      </c>
      <c r="U351" s="57">
        <f t="shared" si="197"/>
        <v>180000</v>
      </c>
    </row>
    <row r="352" spans="10:21" x14ac:dyDescent="0.25">
      <c r="J352">
        <f t="shared" si="198"/>
        <v>29</v>
      </c>
      <c r="K352" s="70">
        <v>54058</v>
      </c>
      <c r="L352" s="55">
        <f t="shared" si="189"/>
        <v>0</v>
      </c>
      <c r="M352" s="55">
        <f t="shared" si="190"/>
        <v>727.41</v>
      </c>
      <c r="N352" s="55">
        <f t="shared" si="191"/>
        <v>727.41</v>
      </c>
      <c r="O352" s="55">
        <f t="shared" si="192"/>
        <v>0</v>
      </c>
      <c r="P352" s="71">
        <v>0</v>
      </c>
      <c r="Q352" s="55">
        <f t="shared" si="193"/>
        <v>0</v>
      </c>
      <c r="R352" s="55">
        <f t="shared" si="194"/>
        <v>267956.59000000037</v>
      </c>
      <c r="S352" s="55">
        <f t="shared" si="195"/>
        <v>58649.68</v>
      </c>
      <c r="T352" s="55">
        <f t="shared" si="196"/>
        <v>0</v>
      </c>
      <c r="U352" s="57">
        <f t="shared" si="197"/>
        <v>180000</v>
      </c>
    </row>
    <row r="353" spans="10:21" x14ac:dyDescent="0.25">
      <c r="J353">
        <f t="shared" si="198"/>
        <v>29</v>
      </c>
      <c r="K353" s="70">
        <v>54089</v>
      </c>
      <c r="L353" s="55">
        <f t="shared" si="189"/>
        <v>0</v>
      </c>
      <c r="M353" s="55">
        <f t="shared" si="190"/>
        <v>727.41</v>
      </c>
      <c r="N353" s="55">
        <f t="shared" si="191"/>
        <v>727.41</v>
      </c>
      <c r="O353" s="55">
        <f t="shared" si="192"/>
        <v>0</v>
      </c>
      <c r="P353" s="71">
        <v>0</v>
      </c>
      <c r="Q353" s="55">
        <f t="shared" si="193"/>
        <v>0</v>
      </c>
      <c r="R353" s="55">
        <f t="shared" si="194"/>
        <v>268684.00000000035</v>
      </c>
      <c r="S353" s="55">
        <f t="shared" si="195"/>
        <v>58649.68</v>
      </c>
      <c r="T353" s="55">
        <f t="shared" si="196"/>
        <v>0</v>
      </c>
      <c r="U353" s="57">
        <f t="shared" si="197"/>
        <v>180000</v>
      </c>
    </row>
    <row r="354" spans="10:21" x14ac:dyDescent="0.25">
      <c r="J354">
        <f t="shared" si="198"/>
        <v>29</v>
      </c>
      <c r="K354" s="70">
        <v>54118</v>
      </c>
      <c r="L354" s="55">
        <f t="shared" si="189"/>
        <v>0</v>
      </c>
      <c r="M354" s="55">
        <f t="shared" si="190"/>
        <v>727.41</v>
      </c>
      <c r="N354" s="55">
        <f t="shared" si="191"/>
        <v>727.41</v>
      </c>
      <c r="O354" s="55">
        <f t="shared" si="192"/>
        <v>0</v>
      </c>
      <c r="P354" s="71">
        <v>0</v>
      </c>
      <c r="Q354" s="55">
        <f t="shared" si="193"/>
        <v>0</v>
      </c>
      <c r="R354" s="55">
        <f t="shared" si="194"/>
        <v>269411.41000000032</v>
      </c>
      <c r="S354" s="55">
        <f t="shared" si="195"/>
        <v>58649.68</v>
      </c>
      <c r="T354" s="55">
        <f t="shared" si="196"/>
        <v>0</v>
      </c>
      <c r="U354" s="57">
        <f t="shared" si="197"/>
        <v>180000</v>
      </c>
    </row>
    <row r="355" spans="10:21" x14ac:dyDescent="0.25">
      <c r="J355">
        <f t="shared" si="198"/>
        <v>29</v>
      </c>
      <c r="K355" s="70">
        <v>54149</v>
      </c>
      <c r="L355" s="55">
        <f t="shared" si="189"/>
        <v>0</v>
      </c>
      <c r="M355" s="55">
        <f t="shared" si="190"/>
        <v>727.41</v>
      </c>
      <c r="N355" s="55">
        <f t="shared" si="191"/>
        <v>727.41</v>
      </c>
      <c r="O355" s="55">
        <f t="shared" si="192"/>
        <v>0</v>
      </c>
      <c r="P355" s="71">
        <v>0</v>
      </c>
      <c r="Q355" s="55">
        <f t="shared" si="193"/>
        <v>0</v>
      </c>
      <c r="R355" s="55">
        <f t="shared" si="194"/>
        <v>270138.8200000003</v>
      </c>
      <c r="S355" s="55">
        <f t="shared" si="195"/>
        <v>58649.68</v>
      </c>
      <c r="T355" s="55">
        <f t="shared" si="196"/>
        <v>0</v>
      </c>
      <c r="U355" s="57">
        <f t="shared" si="197"/>
        <v>180000</v>
      </c>
    </row>
    <row r="356" spans="10:21" x14ac:dyDescent="0.25">
      <c r="J356">
        <f t="shared" si="198"/>
        <v>29</v>
      </c>
      <c r="K356" s="70">
        <v>54179</v>
      </c>
      <c r="L356" s="55">
        <f t="shared" si="189"/>
        <v>0</v>
      </c>
      <c r="M356" s="55">
        <f t="shared" si="190"/>
        <v>727.41</v>
      </c>
      <c r="N356" s="55">
        <f t="shared" si="191"/>
        <v>727.41</v>
      </c>
      <c r="O356" s="55">
        <f t="shared" si="192"/>
        <v>0</v>
      </c>
      <c r="P356" s="71">
        <v>0</v>
      </c>
      <c r="Q356" s="55">
        <f t="shared" si="193"/>
        <v>0</v>
      </c>
      <c r="R356" s="55">
        <f t="shared" si="194"/>
        <v>270866.23000000027</v>
      </c>
      <c r="S356" s="55">
        <f t="shared" si="195"/>
        <v>58649.68</v>
      </c>
      <c r="T356" s="55">
        <f t="shared" si="196"/>
        <v>0</v>
      </c>
      <c r="U356" s="57">
        <f t="shared" si="197"/>
        <v>180000</v>
      </c>
    </row>
    <row r="357" spans="10:21" x14ac:dyDescent="0.25">
      <c r="J357">
        <f t="shared" si="198"/>
        <v>29</v>
      </c>
      <c r="K357" s="70">
        <v>54210</v>
      </c>
      <c r="L357" s="55">
        <f t="shared" si="189"/>
        <v>0</v>
      </c>
      <c r="M357" s="55">
        <f t="shared" si="190"/>
        <v>727.41</v>
      </c>
      <c r="N357" s="55">
        <f t="shared" si="191"/>
        <v>727.41</v>
      </c>
      <c r="O357" s="55">
        <f t="shared" si="192"/>
        <v>0</v>
      </c>
      <c r="P357" s="71">
        <v>0</v>
      </c>
      <c r="Q357" s="55">
        <f t="shared" si="193"/>
        <v>0</v>
      </c>
      <c r="R357" s="55">
        <f t="shared" si="194"/>
        <v>271593.64000000025</v>
      </c>
      <c r="S357" s="55">
        <f t="shared" si="195"/>
        <v>58649.68</v>
      </c>
      <c r="T357" s="55">
        <f t="shared" si="196"/>
        <v>0</v>
      </c>
      <c r="U357" s="57">
        <f t="shared" si="197"/>
        <v>180000</v>
      </c>
    </row>
    <row r="358" spans="10:21" x14ac:dyDescent="0.25">
      <c r="J358">
        <f t="shared" si="198"/>
        <v>29</v>
      </c>
      <c r="K358" s="70">
        <v>54240</v>
      </c>
      <c r="L358" s="55">
        <f t="shared" si="189"/>
        <v>0</v>
      </c>
      <c r="M358" s="55">
        <f t="shared" si="190"/>
        <v>727.41</v>
      </c>
      <c r="N358" s="55">
        <f t="shared" si="191"/>
        <v>727.41</v>
      </c>
      <c r="O358" s="55">
        <f t="shared" si="192"/>
        <v>0</v>
      </c>
      <c r="P358" s="71">
        <v>0</v>
      </c>
      <c r="Q358" s="55">
        <f t="shared" si="193"/>
        <v>0</v>
      </c>
      <c r="R358" s="55">
        <f t="shared" si="194"/>
        <v>272321.05000000022</v>
      </c>
      <c r="S358" s="55">
        <f t="shared" si="195"/>
        <v>58649.68</v>
      </c>
      <c r="T358" s="55">
        <f t="shared" si="196"/>
        <v>0</v>
      </c>
      <c r="U358" s="57">
        <f t="shared" si="197"/>
        <v>180000</v>
      </c>
    </row>
    <row r="359" spans="10:21" x14ac:dyDescent="0.25">
      <c r="J359">
        <f t="shared" si="198"/>
        <v>29</v>
      </c>
      <c r="K359" s="70">
        <v>54271</v>
      </c>
      <c r="L359" s="55">
        <f t="shared" si="189"/>
        <v>0</v>
      </c>
      <c r="M359" s="55">
        <f t="shared" si="190"/>
        <v>727.41</v>
      </c>
      <c r="N359" s="55">
        <f t="shared" si="191"/>
        <v>727.41</v>
      </c>
      <c r="O359" s="55">
        <f t="shared" si="192"/>
        <v>0</v>
      </c>
      <c r="P359" s="71">
        <v>0</v>
      </c>
      <c r="Q359" s="55">
        <f t="shared" si="193"/>
        <v>0</v>
      </c>
      <c r="R359" s="55">
        <f t="shared" si="194"/>
        <v>273048.4600000002</v>
      </c>
      <c r="S359" s="55">
        <f t="shared" si="195"/>
        <v>58649.68</v>
      </c>
      <c r="T359" s="55">
        <f t="shared" si="196"/>
        <v>0</v>
      </c>
      <c r="U359" s="57">
        <f t="shared" si="197"/>
        <v>180000</v>
      </c>
    </row>
    <row r="360" spans="10:21" x14ac:dyDescent="0.25">
      <c r="J360">
        <f t="shared" si="198"/>
        <v>29</v>
      </c>
      <c r="K360" s="70">
        <v>54302</v>
      </c>
      <c r="L360" s="55">
        <f t="shared" si="189"/>
        <v>0</v>
      </c>
      <c r="M360" s="55">
        <f t="shared" si="190"/>
        <v>727.41</v>
      </c>
      <c r="N360" s="55">
        <f t="shared" si="191"/>
        <v>727.41</v>
      </c>
      <c r="O360" s="55">
        <f t="shared" si="192"/>
        <v>0</v>
      </c>
      <c r="P360" s="71">
        <v>0</v>
      </c>
      <c r="Q360" s="55">
        <f t="shared" si="193"/>
        <v>0</v>
      </c>
      <c r="R360" s="55">
        <f t="shared" si="194"/>
        <v>273775.87000000017</v>
      </c>
      <c r="S360" s="55">
        <f t="shared" si="195"/>
        <v>58649.68</v>
      </c>
      <c r="T360" s="55">
        <f t="shared" si="196"/>
        <v>0</v>
      </c>
      <c r="U360" s="57">
        <f t="shared" si="197"/>
        <v>180000</v>
      </c>
    </row>
    <row r="361" spans="10:21" x14ac:dyDescent="0.25">
      <c r="J361">
        <f t="shared" si="198"/>
        <v>29</v>
      </c>
      <c r="K361" s="70">
        <v>54332</v>
      </c>
      <c r="L361" s="55">
        <f t="shared" si="189"/>
        <v>0</v>
      </c>
      <c r="M361" s="55">
        <f t="shared" si="190"/>
        <v>727.41</v>
      </c>
      <c r="N361" s="55">
        <f t="shared" si="191"/>
        <v>727.41</v>
      </c>
      <c r="O361" s="55">
        <f t="shared" si="192"/>
        <v>0</v>
      </c>
      <c r="P361" s="71">
        <v>0</v>
      </c>
      <c r="Q361" s="55">
        <f t="shared" si="193"/>
        <v>0</v>
      </c>
      <c r="R361" s="55">
        <f t="shared" si="194"/>
        <v>274503.28000000014</v>
      </c>
      <c r="S361" s="55">
        <f t="shared" si="195"/>
        <v>58649.68</v>
      </c>
      <c r="T361" s="55">
        <f t="shared" si="196"/>
        <v>0</v>
      </c>
      <c r="U361" s="57">
        <f t="shared" si="197"/>
        <v>180000</v>
      </c>
    </row>
    <row r="362" spans="10:21" x14ac:dyDescent="0.25">
      <c r="J362">
        <f t="shared" si="198"/>
        <v>29</v>
      </c>
      <c r="K362" s="70">
        <v>54363</v>
      </c>
      <c r="L362" s="55">
        <f t="shared" si="189"/>
        <v>0</v>
      </c>
      <c r="M362" s="55">
        <f t="shared" si="190"/>
        <v>727.41</v>
      </c>
      <c r="N362" s="55">
        <f t="shared" si="191"/>
        <v>727.41</v>
      </c>
      <c r="O362" s="55">
        <f t="shared" si="192"/>
        <v>0</v>
      </c>
      <c r="P362" s="71">
        <v>0</v>
      </c>
      <c r="Q362" s="55">
        <f t="shared" si="193"/>
        <v>0</v>
      </c>
      <c r="R362" s="55">
        <f t="shared" si="194"/>
        <v>275230.69000000012</v>
      </c>
      <c r="S362" s="55">
        <f t="shared" si="195"/>
        <v>58649.68</v>
      </c>
      <c r="T362" s="55">
        <f t="shared" si="196"/>
        <v>0</v>
      </c>
      <c r="U362" s="57">
        <f t="shared" si="197"/>
        <v>180000</v>
      </c>
    </row>
    <row r="363" spans="10:21" x14ac:dyDescent="0.25">
      <c r="J363">
        <f t="shared" si="198"/>
        <v>29</v>
      </c>
      <c r="K363" s="70">
        <v>54393</v>
      </c>
      <c r="L363" s="55">
        <f t="shared" si="189"/>
        <v>0</v>
      </c>
      <c r="M363" s="55">
        <f t="shared" si="190"/>
        <v>727.41</v>
      </c>
      <c r="N363" s="55">
        <f t="shared" si="191"/>
        <v>727.41</v>
      </c>
      <c r="O363" s="55">
        <f t="shared" si="192"/>
        <v>0</v>
      </c>
      <c r="P363" s="71">
        <v>0</v>
      </c>
      <c r="Q363" s="55">
        <f t="shared" si="193"/>
        <v>0</v>
      </c>
      <c r="R363" s="55">
        <f t="shared" si="194"/>
        <v>275958.10000000009</v>
      </c>
      <c r="S363" s="55">
        <f t="shared" si="195"/>
        <v>58649.68</v>
      </c>
      <c r="T363" s="55">
        <f t="shared" si="196"/>
        <v>0</v>
      </c>
      <c r="U363" s="57">
        <f t="shared" si="197"/>
        <v>180000</v>
      </c>
    </row>
    <row r="364" spans="10:21" x14ac:dyDescent="0.25">
      <c r="J364">
        <f t="shared" si="198"/>
        <v>30</v>
      </c>
      <c r="K364" s="70">
        <v>54424</v>
      </c>
      <c r="L364" s="55">
        <f t="shared" si="189"/>
        <v>0</v>
      </c>
      <c r="M364" s="55">
        <f t="shared" si="190"/>
        <v>727.41</v>
      </c>
      <c r="N364" s="55">
        <f t="shared" si="191"/>
        <v>727.41</v>
      </c>
      <c r="O364" s="55">
        <f t="shared" si="192"/>
        <v>0</v>
      </c>
      <c r="P364" s="71">
        <v>0</v>
      </c>
      <c r="Q364" s="55">
        <f t="shared" si="193"/>
        <v>0</v>
      </c>
      <c r="R364" s="55">
        <f t="shared" si="194"/>
        <v>276685.51000000007</v>
      </c>
      <c r="S364" s="55">
        <f t="shared" si="195"/>
        <v>58649.68</v>
      </c>
      <c r="T364" s="55">
        <f t="shared" si="196"/>
        <v>0</v>
      </c>
      <c r="U364" s="57">
        <f t="shared" si="197"/>
        <v>180000</v>
      </c>
    </row>
    <row r="365" spans="10:21" x14ac:dyDescent="0.25">
      <c r="J365">
        <f t="shared" si="198"/>
        <v>30</v>
      </c>
      <c r="K365" s="70">
        <v>54455</v>
      </c>
      <c r="L365" s="55">
        <f t="shared" si="189"/>
        <v>0</v>
      </c>
      <c r="M365" s="55">
        <f t="shared" si="190"/>
        <v>727.41</v>
      </c>
      <c r="N365" s="55">
        <f t="shared" si="191"/>
        <v>727.41</v>
      </c>
      <c r="O365" s="55">
        <f t="shared" si="192"/>
        <v>0</v>
      </c>
      <c r="P365" s="71">
        <v>0</v>
      </c>
      <c r="Q365" s="55">
        <f t="shared" si="193"/>
        <v>0</v>
      </c>
      <c r="R365" s="55">
        <f t="shared" si="194"/>
        <v>277412.92000000004</v>
      </c>
      <c r="S365" s="55">
        <f t="shared" si="195"/>
        <v>58649.68</v>
      </c>
      <c r="T365" s="55">
        <f t="shared" si="196"/>
        <v>0</v>
      </c>
      <c r="U365" s="57">
        <f t="shared" si="197"/>
        <v>180000</v>
      </c>
    </row>
    <row r="366" spans="10:21" x14ac:dyDescent="0.25">
      <c r="J366">
        <f t="shared" si="198"/>
        <v>30</v>
      </c>
      <c r="K366" s="70">
        <v>54483</v>
      </c>
      <c r="L366" s="55">
        <f t="shared" si="189"/>
        <v>0</v>
      </c>
      <c r="M366" s="55">
        <f t="shared" si="190"/>
        <v>727.41</v>
      </c>
      <c r="N366" s="55">
        <f t="shared" si="191"/>
        <v>727.41</v>
      </c>
      <c r="O366" s="55">
        <f t="shared" si="192"/>
        <v>0</v>
      </c>
      <c r="P366" s="71">
        <v>0</v>
      </c>
      <c r="Q366" s="55">
        <f t="shared" si="193"/>
        <v>0</v>
      </c>
      <c r="R366" s="55">
        <f t="shared" si="194"/>
        <v>278140.33</v>
      </c>
      <c r="S366" s="55">
        <f t="shared" si="195"/>
        <v>58649.68</v>
      </c>
      <c r="T366" s="55">
        <f t="shared" si="196"/>
        <v>0</v>
      </c>
      <c r="U366" s="57">
        <f t="shared" si="197"/>
        <v>180000</v>
      </c>
    </row>
    <row r="367" spans="10:21" x14ac:dyDescent="0.25">
      <c r="J367">
        <f t="shared" si="198"/>
        <v>30</v>
      </c>
      <c r="K367" s="70">
        <v>54514</v>
      </c>
      <c r="L367" s="55">
        <f t="shared" si="189"/>
        <v>0</v>
      </c>
      <c r="M367" s="55">
        <f t="shared" si="190"/>
        <v>727.41</v>
      </c>
      <c r="N367" s="55">
        <f t="shared" si="191"/>
        <v>727.41</v>
      </c>
      <c r="O367" s="55">
        <f t="shared" si="192"/>
        <v>0</v>
      </c>
      <c r="P367" s="71">
        <v>0</v>
      </c>
      <c r="Q367" s="55">
        <f t="shared" si="193"/>
        <v>0</v>
      </c>
      <c r="R367" s="55">
        <f t="shared" si="194"/>
        <v>278867.74</v>
      </c>
      <c r="S367" s="55">
        <f t="shared" si="195"/>
        <v>58649.68</v>
      </c>
      <c r="T367" s="55">
        <f t="shared" si="196"/>
        <v>0</v>
      </c>
      <c r="U367" s="57">
        <f t="shared" si="197"/>
        <v>180000</v>
      </c>
    </row>
    <row r="368" spans="10:21" x14ac:dyDescent="0.25">
      <c r="J368">
        <f t="shared" si="198"/>
        <v>30</v>
      </c>
      <c r="K368" s="70">
        <v>54544</v>
      </c>
      <c r="L368" s="55">
        <f t="shared" si="189"/>
        <v>0</v>
      </c>
      <c r="M368" s="55">
        <f t="shared" si="190"/>
        <v>727.41</v>
      </c>
      <c r="N368" s="55">
        <f t="shared" si="191"/>
        <v>727.41</v>
      </c>
      <c r="O368" s="55">
        <f t="shared" si="192"/>
        <v>0</v>
      </c>
      <c r="P368" s="71">
        <v>0</v>
      </c>
      <c r="Q368" s="55">
        <f t="shared" si="193"/>
        <v>0</v>
      </c>
      <c r="R368" s="55">
        <f t="shared" si="194"/>
        <v>279595.14999999997</v>
      </c>
      <c r="S368" s="55">
        <f t="shared" si="195"/>
        <v>58649.68</v>
      </c>
      <c r="T368" s="55">
        <f t="shared" si="196"/>
        <v>0</v>
      </c>
      <c r="U368" s="57">
        <f t="shared" si="197"/>
        <v>180000</v>
      </c>
    </row>
    <row r="369" spans="10:21" x14ac:dyDescent="0.25">
      <c r="J369">
        <f t="shared" si="198"/>
        <v>30</v>
      </c>
      <c r="K369" s="70">
        <v>54575</v>
      </c>
      <c r="L369" s="55">
        <f t="shared" si="189"/>
        <v>0</v>
      </c>
      <c r="M369" s="55">
        <f t="shared" si="190"/>
        <v>727.41</v>
      </c>
      <c r="N369" s="55">
        <f t="shared" si="191"/>
        <v>727.41</v>
      </c>
      <c r="O369" s="55">
        <f t="shared" si="192"/>
        <v>0</v>
      </c>
      <c r="P369" s="71">
        <v>0</v>
      </c>
      <c r="Q369" s="55">
        <f t="shared" si="193"/>
        <v>0</v>
      </c>
      <c r="R369" s="55">
        <f t="shared" si="194"/>
        <v>280322.55999999994</v>
      </c>
      <c r="S369" s="55">
        <f t="shared" si="195"/>
        <v>58649.68</v>
      </c>
      <c r="T369" s="55">
        <f t="shared" si="196"/>
        <v>0</v>
      </c>
      <c r="U369" s="57">
        <f t="shared" si="197"/>
        <v>180000</v>
      </c>
    </row>
    <row r="370" spans="10:21" x14ac:dyDescent="0.25">
      <c r="J370">
        <f t="shared" si="198"/>
        <v>30</v>
      </c>
      <c r="K370" s="70">
        <v>54605</v>
      </c>
      <c r="L370" s="55">
        <f t="shared" si="189"/>
        <v>0</v>
      </c>
      <c r="M370" s="55">
        <f t="shared" si="190"/>
        <v>727.41</v>
      </c>
      <c r="N370" s="55">
        <f t="shared" si="191"/>
        <v>727.41</v>
      </c>
      <c r="O370" s="55">
        <f t="shared" si="192"/>
        <v>0</v>
      </c>
      <c r="P370" s="71">
        <v>0</v>
      </c>
      <c r="Q370" s="55">
        <f t="shared" si="193"/>
        <v>0</v>
      </c>
      <c r="R370" s="55">
        <f t="shared" si="194"/>
        <v>281049.96999999991</v>
      </c>
      <c r="S370" s="55">
        <f t="shared" si="195"/>
        <v>58649.68</v>
      </c>
      <c r="T370" s="55">
        <f t="shared" si="196"/>
        <v>0</v>
      </c>
      <c r="U370" s="57">
        <f t="shared" si="197"/>
        <v>180000</v>
      </c>
    </row>
    <row r="371" spans="10:21" x14ac:dyDescent="0.25">
      <c r="J371">
        <f t="shared" si="198"/>
        <v>30</v>
      </c>
      <c r="K371" s="70">
        <v>54636</v>
      </c>
      <c r="L371" s="55">
        <f t="shared" si="189"/>
        <v>0</v>
      </c>
      <c r="M371" s="55">
        <f t="shared" si="190"/>
        <v>727.41</v>
      </c>
      <c r="N371" s="55">
        <f t="shared" si="191"/>
        <v>727.41</v>
      </c>
      <c r="O371" s="55">
        <f t="shared" si="192"/>
        <v>0</v>
      </c>
      <c r="P371" s="71">
        <v>0</v>
      </c>
      <c r="Q371" s="55">
        <f t="shared" si="193"/>
        <v>0</v>
      </c>
      <c r="R371" s="55">
        <f t="shared" si="194"/>
        <v>281777.37999999989</v>
      </c>
      <c r="S371" s="55">
        <f t="shared" si="195"/>
        <v>58649.68</v>
      </c>
      <c r="T371" s="55">
        <f t="shared" si="196"/>
        <v>0</v>
      </c>
      <c r="U371" s="57">
        <f t="shared" si="197"/>
        <v>180000</v>
      </c>
    </row>
    <row r="372" spans="10:21" x14ac:dyDescent="0.25">
      <c r="J372">
        <f t="shared" si="198"/>
        <v>30</v>
      </c>
      <c r="K372" s="70">
        <v>54667</v>
      </c>
      <c r="L372" s="55">
        <f t="shared" si="189"/>
        <v>0</v>
      </c>
      <c r="M372" s="55">
        <f t="shared" si="190"/>
        <v>727.41</v>
      </c>
      <c r="N372" s="55">
        <f t="shared" si="191"/>
        <v>727.41</v>
      </c>
      <c r="O372" s="55">
        <f t="shared" si="192"/>
        <v>0</v>
      </c>
      <c r="P372" s="71">
        <v>0</v>
      </c>
      <c r="Q372" s="55">
        <f t="shared" si="193"/>
        <v>0</v>
      </c>
      <c r="R372" s="55">
        <f t="shared" si="194"/>
        <v>282504.78999999986</v>
      </c>
      <c r="S372" s="55">
        <f t="shared" si="195"/>
        <v>58649.68</v>
      </c>
      <c r="T372" s="55">
        <f t="shared" si="196"/>
        <v>0</v>
      </c>
      <c r="U372" s="57">
        <f t="shared" si="197"/>
        <v>180000</v>
      </c>
    </row>
    <row r="373" spans="10:21" x14ac:dyDescent="0.25">
      <c r="J373">
        <f t="shared" si="198"/>
        <v>30</v>
      </c>
      <c r="K373" s="70">
        <v>54697</v>
      </c>
      <c r="L373" s="55">
        <f t="shared" si="189"/>
        <v>0</v>
      </c>
      <c r="M373" s="55">
        <f t="shared" si="190"/>
        <v>727.41</v>
      </c>
      <c r="N373" s="55">
        <f t="shared" si="191"/>
        <v>727.41</v>
      </c>
      <c r="O373" s="55">
        <f t="shared" si="192"/>
        <v>0</v>
      </c>
      <c r="P373" s="71">
        <v>0</v>
      </c>
      <c r="Q373" s="55">
        <f t="shared" si="193"/>
        <v>0</v>
      </c>
      <c r="R373" s="55">
        <f t="shared" si="194"/>
        <v>283232.19999999984</v>
      </c>
      <c r="S373" s="55">
        <f t="shared" si="195"/>
        <v>58649.68</v>
      </c>
      <c r="T373" s="55">
        <f t="shared" si="196"/>
        <v>0</v>
      </c>
      <c r="U373" s="57">
        <f t="shared" si="197"/>
        <v>180000</v>
      </c>
    </row>
    <row r="374" spans="10:21" x14ac:dyDescent="0.25">
      <c r="J374">
        <f t="shared" si="198"/>
        <v>30</v>
      </c>
      <c r="K374" s="70">
        <v>54728</v>
      </c>
      <c r="L374" s="55">
        <f t="shared" si="189"/>
        <v>0</v>
      </c>
      <c r="M374" s="55">
        <f t="shared" si="190"/>
        <v>727.41</v>
      </c>
      <c r="N374" s="55">
        <f t="shared" si="191"/>
        <v>727.41</v>
      </c>
      <c r="O374" s="55">
        <f t="shared" si="192"/>
        <v>0</v>
      </c>
      <c r="P374" s="71">
        <v>0</v>
      </c>
      <c r="Q374" s="55">
        <f t="shared" si="193"/>
        <v>0</v>
      </c>
      <c r="R374" s="55">
        <f t="shared" si="194"/>
        <v>283959.60999999981</v>
      </c>
      <c r="S374" s="55">
        <f t="shared" si="195"/>
        <v>58649.68</v>
      </c>
      <c r="T374" s="55">
        <f t="shared" si="196"/>
        <v>0</v>
      </c>
      <c r="U374" s="57">
        <f t="shared" si="197"/>
        <v>180000</v>
      </c>
    </row>
    <row r="375" spans="10:21" x14ac:dyDescent="0.25">
      <c r="J375">
        <f t="shared" si="198"/>
        <v>30</v>
      </c>
      <c r="K375" s="70">
        <v>54758</v>
      </c>
      <c r="L375" s="55">
        <f t="shared" si="189"/>
        <v>0</v>
      </c>
      <c r="M375" s="55">
        <f t="shared" si="190"/>
        <v>727.41</v>
      </c>
      <c r="N375" s="55">
        <f t="shared" si="191"/>
        <v>727.41</v>
      </c>
      <c r="O375" s="55">
        <f t="shared" si="192"/>
        <v>0</v>
      </c>
      <c r="P375" s="71">
        <v>0</v>
      </c>
      <c r="Q375" s="55">
        <f t="shared" si="193"/>
        <v>0</v>
      </c>
      <c r="R375" s="55">
        <f t="shared" si="194"/>
        <v>284687.01999999979</v>
      </c>
      <c r="S375" s="55">
        <f t="shared" si="195"/>
        <v>58649.68</v>
      </c>
      <c r="T375" s="55">
        <f t="shared" si="196"/>
        <v>0</v>
      </c>
      <c r="U375" s="57">
        <f t="shared" si="197"/>
        <v>180000</v>
      </c>
    </row>
    <row r="376" spans="10:21" x14ac:dyDescent="0.25">
      <c r="K376" s="70">
        <v>54789</v>
      </c>
      <c r="L376" s="55">
        <f t="shared" si="189"/>
        <v>0</v>
      </c>
      <c r="M376" s="55">
        <f t="shared" si="190"/>
        <v>727.41</v>
      </c>
      <c r="N376" s="55">
        <f t="shared" ref="N376:N380" si="199">M376-O376</f>
        <v>727.41</v>
      </c>
      <c r="O376" s="55">
        <f t="shared" si="192"/>
        <v>0</v>
      </c>
      <c r="P376" s="71">
        <v>0</v>
      </c>
      <c r="Q376" s="55">
        <f t="shared" ref="Q376:Q380" si="200">IF(T375&lt;100,0,M376+P376)</f>
        <v>0</v>
      </c>
      <c r="R376" s="55">
        <f t="shared" ref="R376:R380" si="201">N376+P376+R375</f>
        <v>285414.42999999976</v>
      </c>
      <c r="S376" s="55">
        <f t="shared" ref="S376:S380" si="202">O376+S375</f>
        <v>58649.68</v>
      </c>
      <c r="T376" s="55">
        <f t="shared" ref="T376:T380" si="203">IF(T375&lt;100,0,L376-N376-P376)</f>
        <v>0</v>
      </c>
      <c r="U376" s="57">
        <f t="shared" si="197"/>
        <v>180000</v>
      </c>
    </row>
    <row r="377" spans="10:21" x14ac:dyDescent="0.25">
      <c r="K377" s="70">
        <v>54820</v>
      </c>
      <c r="L377" s="55">
        <f t="shared" si="189"/>
        <v>0</v>
      </c>
      <c r="M377" s="55">
        <f t="shared" si="190"/>
        <v>727.41</v>
      </c>
      <c r="N377" s="55">
        <f t="shared" si="199"/>
        <v>727.41</v>
      </c>
      <c r="O377" s="55">
        <f t="shared" si="192"/>
        <v>0</v>
      </c>
      <c r="P377" s="71">
        <v>0</v>
      </c>
      <c r="Q377" s="55">
        <f t="shared" si="200"/>
        <v>0</v>
      </c>
      <c r="R377" s="55">
        <f t="shared" si="201"/>
        <v>286141.83999999973</v>
      </c>
      <c r="S377" s="55">
        <f t="shared" si="202"/>
        <v>58649.68</v>
      </c>
      <c r="T377" s="55">
        <f t="shared" si="203"/>
        <v>0</v>
      </c>
      <c r="U377" s="57">
        <f t="shared" si="197"/>
        <v>180000</v>
      </c>
    </row>
    <row r="378" spans="10:21" x14ac:dyDescent="0.25">
      <c r="K378" s="70">
        <v>54848</v>
      </c>
      <c r="L378" s="55">
        <f t="shared" si="189"/>
        <v>0</v>
      </c>
      <c r="M378" s="55">
        <f t="shared" si="190"/>
        <v>727.41</v>
      </c>
      <c r="N378" s="55">
        <f t="shared" si="199"/>
        <v>727.41</v>
      </c>
      <c r="O378" s="55">
        <f t="shared" si="192"/>
        <v>0</v>
      </c>
      <c r="P378" s="71">
        <v>0</v>
      </c>
      <c r="Q378" s="55">
        <f t="shared" si="200"/>
        <v>0</v>
      </c>
      <c r="R378" s="55">
        <f t="shared" si="201"/>
        <v>286869.24999999971</v>
      </c>
      <c r="S378" s="55">
        <f t="shared" si="202"/>
        <v>58649.68</v>
      </c>
      <c r="T378" s="55">
        <f t="shared" si="203"/>
        <v>0</v>
      </c>
      <c r="U378" s="57">
        <f t="shared" si="197"/>
        <v>180000</v>
      </c>
    </row>
    <row r="379" spans="10:21" x14ac:dyDescent="0.25">
      <c r="K379" s="70">
        <v>54879</v>
      </c>
      <c r="L379" s="55">
        <f t="shared" si="189"/>
        <v>0</v>
      </c>
      <c r="M379" s="55">
        <f t="shared" si="190"/>
        <v>727.41</v>
      </c>
      <c r="N379" s="55">
        <f t="shared" si="199"/>
        <v>727.41</v>
      </c>
      <c r="O379" s="55">
        <f t="shared" si="192"/>
        <v>0</v>
      </c>
      <c r="P379" s="71">
        <v>0</v>
      </c>
      <c r="Q379" s="55">
        <f t="shared" si="200"/>
        <v>0</v>
      </c>
      <c r="R379" s="55">
        <f t="shared" si="201"/>
        <v>287596.65999999968</v>
      </c>
      <c r="S379" s="55">
        <f t="shared" si="202"/>
        <v>58649.68</v>
      </c>
      <c r="T379" s="55">
        <f t="shared" si="203"/>
        <v>0</v>
      </c>
      <c r="U379" s="57">
        <f t="shared" si="197"/>
        <v>180000</v>
      </c>
    </row>
    <row r="380" spans="10:21" x14ac:dyDescent="0.25">
      <c r="K380" s="70">
        <v>54909</v>
      </c>
      <c r="L380" s="55">
        <f t="shared" si="189"/>
        <v>0</v>
      </c>
      <c r="M380" s="55">
        <f t="shared" si="190"/>
        <v>727.41</v>
      </c>
      <c r="N380" s="55">
        <f t="shared" si="199"/>
        <v>727.41</v>
      </c>
      <c r="O380" s="55">
        <f t="shared" si="192"/>
        <v>0</v>
      </c>
      <c r="P380" s="71">
        <v>0</v>
      </c>
      <c r="Q380" s="55">
        <f t="shared" si="200"/>
        <v>0</v>
      </c>
      <c r="R380" s="55">
        <f t="shared" si="201"/>
        <v>288324.06999999966</v>
      </c>
      <c r="S380" s="55">
        <f t="shared" si="202"/>
        <v>58649.68</v>
      </c>
      <c r="T380" s="55">
        <f t="shared" si="203"/>
        <v>0</v>
      </c>
      <c r="U380" s="57">
        <f t="shared" si="197"/>
        <v>180000</v>
      </c>
    </row>
    <row r="381" spans="10:21" x14ac:dyDescent="0.25">
      <c r="K381" s="70"/>
      <c r="L381" s="55"/>
      <c r="M381" s="55"/>
      <c r="N381" s="55"/>
      <c r="O381" s="55"/>
      <c r="P381" s="55"/>
      <c r="R381" s="55"/>
      <c r="S381" s="55"/>
    </row>
    <row r="382" spans="10:21" x14ac:dyDescent="0.25">
      <c r="K382" s="70"/>
      <c r="L382" s="55"/>
      <c r="M382" s="55"/>
      <c r="N382" s="55"/>
      <c r="O382" s="55"/>
      <c r="P382" s="55"/>
      <c r="R382" s="55"/>
      <c r="S382" s="55"/>
    </row>
    <row r="383" spans="10:21" x14ac:dyDescent="0.25">
      <c r="K383" s="70"/>
      <c r="L383" s="55"/>
      <c r="M383" s="55"/>
      <c r="N383" s="55"/>
      <c r="O383" s="55"/>
      <c r="P383" s="55"/>
      <c r="R383" s="55"/>
      <c r="S383" s="55"/>
    </row>
    <row r="384" spans="10:21" x14ac:dyDescent="0.25">
      <c r="K384" s="70"/>
      <c r="L384" s="55"/>
      <c r="M384" s="55"/>
      <c r="N384" s="55"/>
      <c r="O384" s="55"/>
      <c r="P384" s="55"/>
      <c r="R384" s="55"/>
      <c r="S384" s="55"/>
    </row>
    <row r="385" spans="11:19" x14ac:dyDescent="0.25">
      <c r="K385" s="70"/>
      <c r="L385" s="55"/>
      <c r="M385" s="55"/>
      <c r="N385" s="55"/>
      <c r="O385" s="55"/>
      <c r="P385" s="55"/>
      <c r="R385" s="55"/>
      <c r="S385" s="55"/>
    </row>
    <row r="386" spans="11:19" x14ac:dyDescent="0.25">
      <c r="K386" s="70"/>
      <c r="L386" s="55"/>
      <c r="M386" s="55"/>
      <c r="N386" s="55"/>
      <c r="O386" s="55"/>
      <c r="P386" s="55"/>
      <c r="R386" s="55"/>
      <c r="S386" s="55"/>
    </row>
    <row r="387" spans="11:19" x14ac:dyDescent="0.25">
      <c r="K387" s="70"/>
      <c r="L387" s="55"/>
      <c r="M387" s="55"/>
      <c r="N387" s="55"/>
      <c r="O387" s="55"/>
      <c r="P387" s="55"/>
      <c r="R387" s="55"/>
      <c r="S387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Charts</vt:lpstr>
      <vt:lpstr>Sheet3</vt:lpstr>
      <vt:lpstr>Salary Tax Breakdown</vt:lpstr>
      <vt:lpstr>Mortgage and Loans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2018-03-05T20:30:49Z</dcterms:created>
  <dcterms:modified xsi:type="dcterms:W3CDTF">2018-03-09T21:18:50Z</dcterms:modified>
</cp:coreProperties>
</file>