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  <sheet state="visible" name="Hoja 3" sheetId="2" r:id="rId5"/>
  </sheets>
  <definedNames/>
  <calcPr/>
</workbook>
</file>

<file path=xl/sharedStrings.xml><?xml version="1.0" encoding="utf-8"?>
<sst xmlns="http://schemas.openxmlformats.org/spreadsheetml/2006/main" count="261" uniqueCount="191">
  <si>
    <t>https://datosmacro.expansion.com/energia-y-medio-ambiente/emisiones-co2</t>
  </si>
  <si>
    <t>CO2 Totales Mt</t>
  </si>
  <si>
    <t>CO2 Kg/1000$</t>
  </si>
  <si>
    <t>Var.</t>
  </si>
  <si>
    <t>CO2 t per capita</t>
  </si>
  <si>
    <t xml:space="preserve">China </t>
  </si>
  <si>
    <t xml:space="preserve">Estados Unidos </t>
  </si>
  <si>
    <t xml:space="preserve">India </t>
  </si>
  <si>
    <t xml:space="preserve">Rusia </t>
  </si>
  <si>
    <t xml:space="preserve">Japón </t>
  </si>
  <si>
    <t xml:space="preserve">Lesoto </t>
  </si>
  <si>
    <t xml:space="preserve">Somalia </t>
  </si>
  <si>
    <t xml:space="preserve">Burundi </t>
  </si>
  <si>
    <t xml:space="preserve">Barbados </t>
  </si>
  <si>
    <t xml:space="preserve">Irán </t>
  </si>
  <si>
    <t>Otros</t>
  </si>
  <si>
    <t>Países</t>
  </si>
  <si>
    <t xml:space="preserve">Palaos </t>
  </si>
  <si>
    <t xml:space="preserve">Catar </t>
  </si>
  <si>
    <t xml:space="preserve">Kuwait </t>
  </si>
  <si>
    <t xml:space="preserve">Brunéi </t>
  </si>
  <si>
    <t xml:space="preserve">Baréin </t>
  </si>
  <si>
    <t xml:space="preserve">Emiratos Árabes Unidos </t>
  </si>
  <si>
    <t xml:space="preserve">Trinidad y Tobago </t>
  </si>
  <si>
    <t xml:space="preserve">Arabia Saudita </t>
  </si>
  <si>
    <t xml:space="preserve">Omán </t>
  </si>
  <si>
    <t xml:space="preserve">Canadá </t>
  </si>
  <si>
    <t xml:space="preserve">España </t>
  </si>
  <si>
    <t xml:space="preserve">Alemania </t>
  </si>
  <si>
    <t xml:space="preserve">Reino Unido </t>
  </si>
  <si>
    <t xml:space="preserve">Francia </t>
  </si>
  <si>
    <t xml:space="preserve">Italia </t>
  </si>
  <si>
    <t xml:space="preserve">Portugal </t>
  </si>
  <si>
    <t xml:space="preserve">Afganistán </t>
  </si>
  <si>
    <t xml:space="preserve">Antigua y Barbuda </t>
  </si>
  <si>
    <t xml:space="preserve">Albania </t>
  </si>
  <si>
    <t xml:space="preserve">Armenia </t>
  </si>
  <si>
    <t xml:space="preserve">Angola </t>
  </si>
  <si>
    <t xml:space="preserve">Argentina </t>
  </si>
  <si>
    <t xml:space="preserve">Austria </t>
  </si>
  <si>
    <t xml:space="preserve">Australia </t>
  </si>
  <si>
    <t xml:space="preserve">Azerbaiyán </t>
  </si>
  <si>
    <t xml:space="preserve">Bosnia y Herzegovina </t>
  </si>
  <si>
    <t xml:space="preserve">Bangladés </t>
  </si>
  <si>
    <t xml:space="preserve">Bélgica </t>
  </si>
  <si>
    <t xml:space="preserve">Burkina Faso </t>
  </si>
  <si>
    <t xml:space="preserve">Bulgaria </t>
  </si>
  <si>
    <t xml:space="preserve">Benin </t>
  </si>
  <si>
    <t xml:space="preserve">Bolivia </t>
  </si>
  <si>
    <t xml:space="preserve">Brasil </t>
  </si>
  <si>
    <t xml:space="preserve">Bahamas </t>
  </si>
  <si>
    <t xml:space="preserve">Bután </t>
  </si>
  <si>
    <t xml:space="preserve">Botsuana </t>
  </si>
  <si>
    <t xml:space="preserve">Bielorrusia </t>
  </si>
  <si>
    <t xml:space="preserve">Belice </t>
  </si>
  <si>
    <t xml:space="preserve">República Democrática del Congo </t>
  </si>
  <si>
    <t xml:space="preserve">República Centroafricana </t>
  </si>
  <si>
    <t xml:space="preserve">República del Congo </t>
  </si>
  <si>
    <t xml:space="preserve">Suiza </t>
  </si>
  <si>
    <t xml:space="preserve">Costa de Marfil </t>
  </si>
  <si>
    <t xml:space="preserve">Chile </t>
  </si>
  <si>
    <t xml:space="preserve">Camerún </t>
  </si>
  <si>
    <t xml:space="preserve">Colombia </t>
  </si>
  <si>
    <t xml:space="preserve">Costa Rica </t>
  </si>
  <si>
    <t xml:space="preserve">Cuba </t>
  </si>
  <si>
    <t xml:space="preserve">Cabo Verde </t>
  </si>
  <si>
    <t xml:space="preserve">Chipre </t>
  </si>
  <si>
    <t xml:space="preserve">Chequia </t>
  </si>
  <si>
    <t xml:space="preserve">Yibuti </t>
  </si>
  <si>
    <t xml:space="preserve">Dinamarca </t>
  </si>
  <si>
    <t xml:space="preserve">Dominica </t>
  </si>
  <si>
    <t xml:space="preserve">República Dominicana </t>
  </si>
  <si>
    <t xml:space="preserve">Argelia </t>
  </si>
  <si>
    <t xml:space="preserve">Ecuador </t>
  </si>
  <si>
    <t xml:space="preserve">Estonia </t>
  </si>
  <si>
    <t xml:space="preserve">Egipto </t>
  </si>
  <si>
    <t xml:space="preserve">Eritrea </t>
  </si>
  <si>
    <t xml:space="preserve">Etiopía </t>
  </si>
  <si>
    <t xml:space="preserve">Finlandia </t>
  </si>
  <si>
    <t xml:space="preserve">Fiyi </t>
  </si>
  <si>
    <t xml:space="preserve">Gabón </t>
  </si>
  <si>
    <t xml:space="preserve">Granada </t>
  </si>
  <si>
    <t xml:space="preserve">Georgia </t>
  </si>
  <si>
    <t xml:space="preserve">Ghana </t>
  </si>
  <si>
    <t xml:space="preserve">Gambia </t>
  </si>
  <si>
    <t xml:space="preserve">Guinea </t>
  </si>
  <si>
    <t xml:space="preserve">Guinea Ecuatorial </t>
  </si>
  <si>
    <t xml:space="preserve">Grecia </t>
  </si>
  <si>
    <t xml:space="preserve">Guatemala </t>
  </si>
  <si>
    <t xml:space="preserve">Guinea-Bisáu </t>
  </si>
  <si>
    <t xml:space="preserve">Guyana </t>
  </si>
  <si>
    <t xml:space="preserve">Hong Kong </t>
  </si>
  <si>
    <t xml:space="preserve">Honduras </t>
  </si>
  <si>
    <t xml:space="preserve">Croacia </t>
  </si>
  <si>
    <t xml:space="preserve">Haití </t>
  </si>
  <si>
    <t xml:space="preserve">Hungría </t>
  </si>
  <si>
    <t xml:space="preserve">Indonesia </t>
  </si>
  <si>
    <t xml:space="preserve">Irlanda </t>
  </si>
  <si>
    <t xml:space="preserve">Israel </t>
  </si>
  <si>
    <t xml:space="preserve">Irak </t>
  </si>
  <si>
    <t xml:space="preserve">Islandia </t>
  </si>
  <si>
    <t xml:space="preserve">Jamaica </t>
  </si>
  <si>
    <t xml:space="preserve">Jordania </t>
  </si>
  <si>
    <t xml:space="preserve">Kenia </t>
  </si>
  <si>
    <t xml:space="preserve">Kirguistán </t>
  </si>
  <si>
    <t xml:space="preserve">Camboya </t>
  </si>
  <si>
    <t xml:space="preserve">Kiribati </t>
  </si>
  <si>
    <t xml:space="preserve">Comoras </t>
  </si>
  <si>
    <t xml:space="preserve">San Cristóbal y Nieves </t>
  </si>
  <si>
    <t xml:space="preserve">Corea del Norte </t>
  </si>
  <si>
    <t xml:space="preserve">Corea del Sur </t>
  </si>
  <si>
    <t xml:space="preserve">Kazajistán </t>
  </si>
  <si>
    <t xml:space="preserve">Laos </t>
  </si>
  <si>
    <t xml:space="preserve">Líbano </t>
  </si>
  <si>
    <t xml:space="preserve">Santa Lucía </t>
  </si>
  <si>
    <t xml:space="preserve">Sri Lanka </t>
  </si>
  <si>
    <t xml:space="preserve">Liberia </t>
  </si>
  <si>
    <t xml:space="preserve">Lituania </t>
  </si>
  <si>
    <t xml:space="preserve">Luxemburgo </t>
  </si>
  <si>
    <t xml:space="preserve">Letonia </t>
  </si>
  <si>
    <t xml:space="preserve">Libia </t>
  </si>
  <si>
    <t xml:space="preserve">Marruecos </t>
  </si>
  <si>
    <t xml:space="preserve">Moldavia </t>
  </si>
  <si>
    <t xml:space="preserve">Madagascar </t>
  </si>
  <si>
    <t xml:space="preserve">Macedonia del Norte </t>
  </si>
  <si>
    <t xml:space="preserve">Malí </t>
  </si>
  <si>
    <t xml:space="preserve">Myanmar </t>
  </si>
  <si>
    <t xml:space="preserve">Mongolia </t>
  </si>
  <si>
    <t xml:space="preserve">Mauritania </t>
  </si>
  <si>
    <t xml:space="preserve">Malta </t>
  </si>
  <si>
    <t xml:space="preserve">Mauricio </t>
  </si>
  <si>
    <t xml:space="preserve">Maldivas </t>
  </si>
  <si>
    <t xml:space="preserve">Malaui </t>
  </si>
  <si>
    <t xml:space="preserve">México </t>
  </si>
  <si>
    <t xml:space="preserve">Malasia </t>
  </si>
  <si>
    <t xml:space="preserve">Mozambique </t>
  </si>
  <si>
    <t xml:space="preserve">Namibia </t>
  </si>
  <si>
    <t xml:space="preserve">Níger </t>
  </si>
  <si>
    <t xml:space="preserve">Nigeria </t>
  </si>
  <si>
    <t xml:space="preserve">Nicaragua </t>
  </si>
  <si>
    <t xml:space="preserve">Países Bajos </t>
  </si>
  <si>
    <t xml:space="preserve">Noruega </t>
  </si>
  <si>
    <t xml:space="preserve">Nepal </t>
  </si>
  <si>
    <t xml:space="preserve">Nueva Zelanda </t>
  </si>
  <si>
    <t xml:space="preserve">Panamá </t>
  </si>
  <si>
    <t xml:space="preserve">Perú </t>
  </si>
  <si>
    <t xml:space="preserve">Papúa Nueva Guinea </t>
  </si>
  <si>
    <t xml:space="preserve">Filipinas </t>
  </si>
  <si>
    <t xml:space="preserve">Pakistán </t>
  </si>
  <si>
    <t xml:space="preserve">Polonia </t>
  </si>
  <si>
    <t xml:space="preserve">Paraguay </t>
  </si>
  <si>
    <t xml:space="preserve">Rumanía </t>
  </si>
  <si>
    <t xml:space="preserve">Ruanda </t>
  </si>
  <si>
    <t xml:space="preserve">Islas Salomón </t>
  </si>
  <si>
    <t xml:space="preserve">Seychelles </t>
  </si>
  <si>
    <t xml:space="preserve">Sudán </t>
  </si>
  <si>
    <t xml:space="preserve">Suecia </t>
  </si>
  <si>
    <t xml:space="preserve">Singapur </t>
  </si>
  <si>
    <t xml:space="preserve">Eslovenia </t>
  </si>
  <si>
    <t xml:space="preserve">Eslovaquia </t>
  </si>
  <si>
    <t xml:space="preserve">Sierra Leona </t>
  </si>
  <si>
    <t xml:space="preserve">Senegal </t>
  </si>
  <si>
    <t xml:space="preserve">Surinam </t>
  </si>
  <si>
    <t xml:space="preserve">Santo Tomé y Príncipe </t>
  </si>
  <si>
    <t xml:space="preserve">El Salvador </t>
  </si>
  <si>
    <t xml:space="preserve">Siria </t>
  </si>
  <si>
    <t xml:space="preserve">Eswatini </t>
  </si>
  <si>
    <t xml:space="preserve">Chad </t>
  </si>
  <si>
    <t xml:space="preserve">Togo </t>
  </si>
  <si>
    <t xml:space="preserve">Tailandia </t>
  </si>
  <si>
    <t xml:space="preserve">Tayikistán </t>
  </si>
  <si>
    <t xml:space="preserve">Timor Oriental </t>
  </si>
  <si>
    <t xml:space="preserve">Turkmenistán </t>
  </si>
  <si>
    <t xml:space="preserve">Túnez </t>
  </si>
  <si>
    <t xml:space="preserve">Tonga </t>
  </si>
  <si>
    <t xml:space="preserve">Türkiye </t>
  </si>
  <si>
    <t xml:space="preserve">Taiwan </t>
  </si>
  <si>
    <t xml:space="preserve">Tanzania </t>
  </si>
  <si>
    <t xml:space="preserve">Ucrania </t>
  </si>
  <si>
    <t xml:space="preserve">Uganda </t>
  </si>
  <si>
    <t xml:space="preserve">Uruguay </t>
  </si>
  <si>
    <t xml:space="preserve">Uzbekistán </t>
  </si>
  <si>
    <t xml:space="preserve">San Vicente y las Granadinas </t>
  </si>
  <si>
    <t xml:space="preserve">Venezuela </t>
  </si>
  <si>
    <t xml:space="preserve">Viet Nam </t>
  </si>
  <si>
    <t xml:space="preserve">Vanuatu </t>
  </si>
  <si>
    <t xml:space="preserve">Samoa </t>
  </si>
  <si>
    <t xml:space="preserve">Yemen </t>
  </si>
  <si>
    <t xml:space="preserve">Sudáfrica </t>
  </si>
  <si>
    <t xml:space="preserve">Zambia </t>
  </si>
  <si>
    <t xml:space="preserve">Zimbabue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</si>
</sst>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10" xfId="0" applyFont="1" applyNumberFormat="1"/>
    <xf borderId="0" fillId="0" fontId="2" numFmtId="3" xfId="0" applyFont="1" applyNumberFormat="1"/>
    <xf borderId="0" fillId="0" fontId="2" numFmtId="0" xfId="0" applyAlignment="1" applyFont="1">
      <alignment readingOrder="0"/>
    </xf>
    <xf borderId="0" fillId="0" fontId="2" numFmtId="4" xfId="0" applyFont="1" applyNumberFormat="1"/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Histograma de CO2 Totales Mt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'Hoja 2'!$J$1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'Hoja 2'!$I$2:$I$185</c:f>
            </c:strRef>
          </c:cat>
          <c:val>
            <c:numRef>
              <c:f>'Hoja 2'!$J$2:$J$185</c:f>
              <c:numCache/>
            </c:numRef>
          </c:val>
        </c:ser>
        <c:axId val="1442018659"/>
        <c:axId val="467147094"/>
      </c:barChart>
      <c:catAx>
        <c:axId val="14420186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CO2 Totales Mt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7147094"/>
      </c:catAx>
      <c:valAx>
        <c:axId val="4671470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20186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10 de los Países con mayores emisiones totales de CO2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'Hoja 2'!$P$3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'Hoja 2'!$O$4:$O$13</c:f>
            </c:strRef>
          </c:cat>
          <c:val>
            <c:numRef>
              <c:f>'Hoja 2'!$P$4:$P$13</c:f>
              <c:numCache/>
            </c:numRef>
          </c:val>
        </c:ser>
        <c:axId val="1485679012"/>
        <c:axId val="216608877"/>
      </c:barChart>
      <c:catAx>
        <c:axId val="14856790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Países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6608877"/>
      </c:catAx>
      <c:valAx>
        <c:axId val="216608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CO2 Totales Mt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56790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10 de  Países con mayores Toneladas de CO2 per capita 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'Hoja 2'!$S$32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'Hoja 2'!$O$33:$O$42</c:f>
            </c:strRef>
          </c:cat>
          <c:val>
            <c:numRef>
              <c:f>'Hoja 2'!$S$33:$S$42</c:f>
              <c:numCache/>
            </c:numRef>
          </c:val>
        </c:ser>
        <c:axId val="486793401"/>
        <c:axId val="1600416844"/>
      </c:barChart>
      <c:catAx>
        <c:axId val="48679340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Países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0416844"/>
      </c:catAx>
      <c:valAx>
        <c:axId val="160041684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CO2 t per capita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679340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CO2 Totales Mt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'Hoja 2'!$S$3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'Hoja 2'!$R$4:$R$14</c:f>
            </c:strRef>
          </c:cat>
          <c:val>
            <c:numRef>
              <c:f>'Hoja 2'!$S$4:$S$14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5 de Países con mayores emisiones de CO2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tx>
            <c:strRef>
              <c:f>'Hoja 2'!$V$39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2'!$U$40:$U$43</c:f>
            </c:strRef>
          </c:cat>
          <c:val>
            <c:numRef>
              <c:f>'Hoja 2'!$V$40:$V$43</c:f>
              <c:numCache/>
            </c:numRef>
          </c:val>
          <c:smooth val="1"/>
        </c:ser>
        <c:ser>
          <c:idx val="1"/>
          <c:order val="1"/>
          <c:tx>
            <c:strRef>
              <c:f>'Hoja 2'!$W$39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2'!$U$40:$U$43</c:f>
            </c:strRef>
          </c:cat>
          <c:val>
            <c:numRef>
              <c:f>'Hoja 2'!$W$40:$W$43</c:f>
              <c:numCache/>
            </c:numRef>
          </c:val>
          <c:smooth val="1"/>
        </c:ser>
        <c:ser>
          <c:idx val="2"/>
          <c:order val="2"/>
          <c:tx>
            <c:strRef>
              <c:f>'Hoja 2'!$X$39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'Hoja 2'!$U$40:$U$43</c:f>
            </c:strRef>
          </c:cat>
          <c:val>
            <c:numRef>
              <c:f>'Hoja 2'!$X$40:$X$43</c:f>
              <c:numCache/>
            </c:numRef>
          </c:val>
          <c:smooth val="1"/>
        </c:ser>
        <c:ser>
          <c:idx val="3"/>
          <c:order val="3"/>
          <c:tx>
            <c:strRef>
              <c:f>'Hoja 2'!$Y$39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'Hoja 2'!$U$40:$U$43</c:f>
            </c:strRef>
          </c:cat>
          <c:val>
            <c:numRef>
              <c:f>'Hoja 2'!$Y$40:$Y$43</c:f>
              <c:numCache/>
            </c:numRef>
          </c:val>
          <c:smooth val="1"/>
        </c:ser>
        <c:ser>
          <c:idx val="4"/>
          <c:order val="4"/>
          <c:tx>
            <c:strRef>
              <c:f>'Hoja 2'!$Z$39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'Hoja 2'!$U$40:$U$43</c:f>
            </c:strRef>
          </c:cat>
          <c:val>
            <c:numRef>
              <c:f>'Hoja 2'!$Z$40:$Z$43</c:f>
              <c:numCache/>
            </c:numRef>
          </c:val>
          <c:smooth val="1"/>
        </c:ser>
        <c:axId val="1276872568"/>
        <c:axId val="1826505993"/>
      </c:radarChart>
      <c:catAx>
        <c:axId val="1276872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6505993"/>
      </c:catAx>
      <c:valAx>
        <c:axId val="18265059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6872568"/>
      </c:valAx>
    </c:plotArea>
    <c:legend>
      <c:legendPos val="r"/>
      <c:layout>
        <c:manualLayout>
          <c:xMode val="edge"/>
          <c:yMode val="edge"/>
          <c:x val="0.03126194600039312"/>
          <c:y val="0.10501499240048313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9525</xdr:colOff>
      <xdr:row>31</xdr:row>
      <xdr:rowOff>142875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390525</xdr:colOff>
      <xdr:row>13</xdr:row>
      <xdr:rowOff>152400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657225</xdr:colOff>
      <xdr:row>44</xdr:row>
      <xdr:rowOff>104775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20</xdr:col>
      <xdr:colOff>0</xdr:colOff>
      <xdr:row>1</xdr:row>
      <xdr:rowOff>19050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13</xdr:col>
      <xdr:colOff>752475</xdr:colOff>
      <xdr:row>63</xdr:row>
      <xdr:rowOff>28575</xdr:rowOff>
    </xdr:from>
    <xdr:ext cx="7572375" cy="55911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osmacro.expansion.com/energia-y-medio-ambiente/emisiones-co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I1" s="2" t="str">
        <f t="shared" ref="I1:I185" si="1">SUBSTITUTE(C2,"[+]","")</f>
        <v>Países</v>
      </c>
      <c r="J1" s="2" t="s">
        <v>1</v>
      </c>
      <c r="K1" s="2" t="s">
        <v>2</v>
      </c>
      <c r="L1" s="2" t="s">
        <v>3</v>
      </c>
      <c r="M1" s="2" t="s">
        <v>4</v>
      </c>
    </row>
    <row r="2">
      <c r="B2" s="3" t="str">
        <f t="shared" ref="B2:B186" si="2">SUBSTITUTE(C2,"[+]","")</f>
        <v>Países</v>
      </c>
      <c r="C2" s="3" t="str">
        <f>IFERROR(__xludf.DUMMYFUNCTION("IMPORTXML(A1,""//table[1]//tr"")"),"Países")</f>
        <v>Países</v>
      </c>
      <c r="D2" s="3" t="str">
        <f>IFERROR(__xludf.DUMMYFUNCTION("""COMPUTED_VALUE"""),"CO2 Totales Mt")</f>
        <v>CO2 Totales Mt</v>
      </c>
      <c r="E2" s="3" t="str">
        <f>IFERROR(__xludf.DUMMYFUNCTION("""COMPUTED_VALUE"""),"CO2 Kg/1000$")</f>
        <v>CO2 Kg/1000$</v>
      </c>
      <c r="F2" s="3" t="str">
        <f>IFERROR(__xludf.DUMMYFUNCTION("""COMPUTED_VALUE"""),"CO2 t per capita")</f>
        <v>CO2 t per capita</v>
      </c>
      <c r="G2" s="3" t="str">
        <f>IFERROR(__xludf.DUMMYFUNCTION("""COMPUTED_VALUE"""),"Var.")</f>
        <v>Var.</v>
      </c>
      <c r="H2" s="3"/>
      <c r="I2" s="3" t="str">
        <f t="shared" si="1"/>
        <v>España </v>
      </c>
      <c r="J2" s="3">
        <f t="shared" ref="J2:J185" si="3">Value(SUBSTITUTE(SUBSTITUTE(D3, ".", ""),",", "."))</f>
        <v>217.262</v>
      </c>
      <c r="K2" s="3">
        <f t="shared" ref="K2:K185" si="4">VALUE(SUBSTITUTE(SUBSTITUTE(E3, ".", ""),",", "."))</f>
        <v>0.1</v>
      </c>
      <c r="L2" s="4">
        <f t="shared" ref="L2:L185" si="5">VALUE(SUBSTITUTE(SUBSTITUTE(H3, ".", ""),",", "."))</f>
        <v>-0.0766</v>
      </c>
      <c r="M2" s="3">
        <f t="shared" ref="M2:M185" si="6">VALUE(SUBSTITUTE(SUBSTITUTE(F3, ".", ""),",", "."))</f>
        <v>4.68</v>
      </c>
    </row>
    <row r="3">
      <c r="B3" s="3" t="str">
        <f t="shared" si="2"/>
        <v>España </v>
      </c>
      <c r="C3" s="3" t="str">
        <f>IFERROR(__xludf.DUMMYFUNCTION("""COMPUTED_VALUE"""),"España [+]")</f>
        <v>España [+]</v>
      </c>
      <c r="D3" s="5">
        <f>IFERROR(__xludf.DUMMYFUNCTION("""COMPUTED_VALUE"""),217262.0)</f>
        <v>217262</v>
      </c>
      <c r="E3" s="3" t="str">
        <f>IFERROR(__xludf.DUMMYFUNCTION("""COMPUTED_VALUE"""),"0,10")</f>
        <v>0,10</v>
      </c>
      <c r="F3" s="3" t="str">
        <f>IFERROR(__xludf.DUMMYFUNCTION("""COMPUTED_VALUE"""),"4,68")</f>
        <v>4,68</v>
      </c>
      <c r="G3" s="3"/>
      <c r="H3" s="3" t="str">
        <f>IFERROR(__xludf.DUMMYFUNCTION("""COMPUTED_VALUE"""),"-7,66%")</f>
        <v>-7,66%</v>
      </c>
      <c r="I3" s="3" t="str">
        <f t="shared" si="1"/>
        <v>Alemania </v>
      </c>
      <c r="J3" s="3">
        <f t="shared" si="3"/>
        <v>582.951</v>
      </c>
      <c r="K3" s="3">
        <f t="shared" si="4"/>
        <v>0.11</v>
      </c>
      <c r="L3" s="4">
        <f t="shared" si="5"/>
        <v>-0.1157</v>
      </c>
      <c r="M3" s="3">
        <f t="shared" si="6"/>
        <v>7.06</v>
      </c>
      <c r="O3" s="3" t="str">
        <f t="array" ref="O3:P13">SORT(I:M, J:J, FALSE)</f>
        <v>Países</v>
      </c>
      <c r="P3" s="3" t="s">
        <v>1</v>
      </c>
      <c r="R3" s="3" t="str">
        <f t="array" ref="R3:S13">SORT(I:M, J:J, FALSE)</f>
        <v>Países</v>
      </c>
      <c r="S3" s="3" t="s">
        <v>1</v>
      </c>
    </row>
    <row r="4">
      <c r="B4" s="3" t="str">
        <f t="shared" si="2"/>
        <v>Alemania </v>
      </c>
      <c r="C4" s="3" t="str">
        <f>IFERROR(__xludf.DUMMYFUNCTION("""COMPUTED_VALUE"""),"Alemania [+]")</f>
        <v>Alemania [+]</v>
      </c>
      <c r="D4" s="5">
        <f>IFERROR(__xludf.DUMMYFUNCTION("""COMPUTED_VALUE"""),582951.0)</f>
        <v>582951</v>
      </c>
      <c r="E4" s="3" t="str">
        <f>IFERROR(__xludf.DUMMYFUNCTION("""COMPUTED_VALUE"""),"0,11")</f>
        <v>0,11</v>
      </c>
      <c r="F4" s="3" t="str">
        <f>IFERROR(__xludf.DUMMYFUNCTION("""COMPUTED_VALUE"""),"7,06")</f>
        <v>7,06</v>
      </c>
      <c r="G4" s="3"/>
      <c r="H4" s="3" t="str">
        <f>IFERROR(__xludf.DUMMYFUNCTION("""COMPUTED_VALUE"""),"-11,57%")</f>
        <v>-11,57%</v>
      </c>
      <c r="I4" s="3" t="str">
        <f t="shared" si="1"/>
        <v>Reino Unido </v>
      </c>
      <c r="J4" s="3">
        <f t="shared" si="3"/>
        <v>302.103</v>
      </c>
      <c r="K4" s="3">
        <f t="shared" si="4"/>
        <v>0.08</v>
      </c>
      <c r="L4" s="4">
        <f t="shared" si="5"/>
        <v>-0.0821</v>
      </c>
      <c r="M4" s="3">
        <f t="shared" si="6"/>
        <v>4.42</v>
      </c>
      <c r="O4" s="3" t="s">
        <v>5</v>
      </c>
      <c r="P4" s="5">
        <v>13259.639</v>
      </c>
      <c r="R4" s="3" t="s">
        <v>5</v>
      </c>
      <c r="S4" s="5">
        <v>13259.639</v>
      </c>
    </row>
    <row r="5">
      <c r="B5" s="3" t="str">
        <f t="shared" si="2"/>
        <v>Reino Unido </v>
      </c>
      <c r="C5" s="3" t="str">
        <f>IFERROR(__xludf.DUMMYFUNCTION("""COMPUTED_VALUE"""),"Reino Unido [+]")</f>
        <v>Reino Unido [+]</v>
      </c>
      <c r="D5" s="5">
        <f>IFERROR(__xludf.DUMMYFUNCTION("""COMPUTED_VALUE"""),302103.0)</f>
        <v>302103</v>
      </c>
      <c r="E5" s="3" t="str">
        <f>IFERROR(__xludf.DUMMYFUNCTION("""COMPUTED_VALUE"""),"0,08")</f>
        <v>0,08</v>
      </c>
      <c r="F5" s="3" t="str">
        <f>IFERROR(__xludf.DUMMYFUNCTION("""COMPUTED_VALUE"""),"4,42")</f>
        <v>4,42</v>
      </c>
      <c r="G5" s="3"/>
      <c r="H5" s="3" t="str">
        <f>IFERROR(__xludf.DUMMYFUNCTION("""COMPUTED_VALUE"""),"-8,21%")</f>
        <v>-8,21%</v>
      </c>
      <c r="I5" s="3" t="str">
        <f t="shared" si="1"/>
        <v>Francia </v>
      </c>
      <c r="J5" s="3">
        <f t="shared" si="3"/>
        <v>282.427</v>
      </c>
      <c r="K5" s="3">
        <f t="shared" si="4"/>
        <v>0.08</v>
      </c>
      <c r="L5" s="4">
        <f t="shared" si="5"/>
        <v>-0.0933</v>
      </c>
      <c r="M5" s="3">
        <f t="shared" si="6"/>
        <v>4.25</v>
      </c>
      <c r="O5" s="3" t="s">
        <v>6</v>
      </c>
      <c r="P5" s="5">
        <v>4682.039</v>
      </c>
      <c r="R5" s="3" t="s">
        <v>6</v>
      </c>
      <c r="S5" s="5">
        <v>4682.039</v>
      </c>
    </row>
    <row r="6">
      <c r="B6" s="3" t="str">
        <f t="shared" si="2"/>
        <v>Francia </v>
      </c>
      <c r="C6" s="3" t="str">
        <f>IFERROR(__xludf.DUMMYFUNCTION("""COMPUTED_VALUE"""),"Francia [+]")</f>
        <v>Francia [+]</v>
      </c>
      <c r="D6" s="5">
        <f>IFERROR(__xludf.DUMMYFUNCTION("""COMPUTED_VALUE"""),282427.0)</f>
        <v>282427</v>
      </c>
      <c r="E6" s="3" t="str">
        <f>IFERROR(__xludf.DUMMYFUNCTION("""COMPUTED_VALUE"""),"0,08")</f>
        <v>0,08</v>
      </c>
      <c r="F6" s="3" t="str">
        <f>IFERROR(__xludf.DUMMYFUNCTION("""COMPUTED_VALUE"""),"4,25")</f>
        <v>4,25</v>
      </c>
      <c r="G6" s="3"/>
      <c r="H6" s="3" t="str">
        <f>IFERROR(__xludf.DUMMYFUNCTION("""COMPUTED_VALUE"""),"-9,33%")</f>
        <v>-9,33%</v>
      </c>
      <c r="I6" s="3" t="str">
        <f t="shared" si="1"/>
        <v>Italia </v>
      </c>
      <c r="J6" s="3">
        <f t="shared" si="3"/>
        <v>305.49</v>
      </c>
      <c r="K6" s="3">
        <f t="shared" si="4"/>
        <v>0.1</v>
      </c>
      <c r="L6" s="4">
        <f t="shared" si="5"/>
        <v>-0.0803</v>
      </c>
      <c r="M6" s="3">
        <f t="shared" si="6"/>
        <v>5.19</v>
      </c>
      <c r="O6" s="3" t="s">
        <v>7</v>
      </c>
      <c r="P6" s="5">
        <v>2955.182</v>
      </c>
      <c r="R6" s="3" t="s">
        <v>7</v>
      </c>
      <c r="S6" s="5">
        <v>2955.182</v>
      </c>
    </row>
    <row r="7">
      <c r="B7" s="3" t="str">
        <f t="shared" si="2"/>
        <v>Italia </v>
      </c>
      <c r="C7" s="3" t="str">
        <f>IFERROR(__xludf.DUMMYFUNCTION("""COMPUTED_VALUE"""),"Italia [+]")</f>
        <v>Italia [+]</v>
      </c>
      <c r="D7" s="5">
        <f>IFERROR(__xludf.DUMMYFUNCTION("""COMPUTED_VALUE"""),305490.0)</f>
        <v>305490</v>
      </c>
      <c r="E7" s="3" t="str">
        <f>IFERROR(__xludf.DUMMYFUNCTION("""COMPUTED_VALUE"""),"0,10")</f>
        <v>0,10</v>
      </c>
      <c r="F7" s="3" t="str">
        <f>IFERROR(__xludf.DUMMYFUNCTION("""COMPUTED_VALUE"""),"5,19")</f>
        <v>5,19</v>
      </c>
      <c r="G7" s="3"/>
      <c r="H7" s="3" t="str">
        <f>IFERROR(__xludf.DUMMYFUNCTION("""COMPUTED_VALUE"""),"-8,03%")</f>
        <v>-8,03%</v>
      </c>
      <c r="I7" s="3" t="str">
        <f t="shared" si="1"/>
        <v>Portugal </v>
      </c>
      <c r="J7" s="3">
        <f t="shared" si="3"/>
        <v>36.171</v>
      </c>
      <c r="K7" s="3">
        <f t="shared" si="4"/>
        <v>0.08</v>
      </c>
      <c r="L7" s="4">
        <f t="shared" si="5"/>
        <v>-0.0812</v>
      </c>
      <c r="M7" s="3">
        <f t="shared" si="6"/>
        <v>3.58</v>
      </c>
      <c r="O7" s="3" t="s">
        <v>8</v>
      </c>
      <c r="P7" s="5">
        <v>2069.502</v>
      </c>
      <c r="R7" s="3" t="s">
        <v>8</v>
      </c>
      <c r="S7" s="5">
        <v>2069.502</v>
      </c>
    </row>
    <row r="8">
      <c r="B8" s="3" t="str">
        <f t="shared" si="2"/>
        <v>Portugal </v>
      </c>
      <c r="C8" s="3" t="str">
        <f>IFERROR(__xludf.DUMMYFUNCTION("""COMPUTED_VALUE"""),"Portugal [+]")</f>
        <v>Portugal [+]</v>
      </c>
      <c r="D8" s="5">
        <f>IFERROR(__xludf.DUMMYFUNCTION("""COMPUTED_VALUE"""),36171.0)</f>
        <v>36171</v>
      </c>
      <c r="E8" s="3" t="str">
        <f>IFERROR(__xludf.DUMMYFUNCTION("""COMPUTED_VALUE"""),"0,08")</f>
        <v>0,08</v>
      </c>
      <c r="F8" s="3" t="str">
        <f>IFERROR(__xludf.DUMMYFUNCTION("""COMPUTED_VALUE"""),"3,58")</f>
        <v>3,58</v>
      </c>
      <c r="G8" s="3"/>
      <c r="H8" s="3" t="str">
        <f>IFERROR(__xludf.DUMMYFUNCTION("""COMPUTED_VALUE"""),"-8,12%")</f>
        <v>-8,12%</v>
      </c>
      <c r="I8" s="3" t="str">
        <f t="shared" si="1"/>
        <v>Estados Unidos </v>
      </c>
      <c r="J8" s="3">
        <f t="shared" si="3"/>
        <v>4682.039</v>
      </c>
      <c r="K8" s="3">
        <f t="shared" si="4"/>
        <v>0.19</v>
      </c>
      <c r="L8" s="4">
        <f t="shared" si="5"/>
        <v>-0.0287</v>
      </c>
      <c r="M8" s="3">
        <f t="shared" si="6"/>
        <v>13.83</v>
      </c>
      <c r="O8" s="3" t="s">
        <v>9</v>
      </c>
      <c r="P8" s="5">
        <v>944.759</v>
      </c>
      <c r="R8" s="3" t="s">
        <v>9</v>
      </c>
      <c r="S8" s="5">
        <v>944.759</v>
      </c>
    </row>
    <row r="9">
      <c r="B9" s="3" t="str">
        <f t="shared" si="2"/>
        <v>Estados Unidos </v>
      </c>
      <c r="C9" s="3" t="str">
        <f>IFERROR(__xludf.DUMMYFUNCTION("""COMPUTED_VALUE"""),"Estados Unidos [+]")</f>
        <v>Estados Unidos [+]</v>
      </c>
      <c r="D9" s="3" t="str">
        <f>IFERROR(__xludf.DUMMYFUNCTION("""COMPUTED_VALUE"""),"4.682,039")</f>
        <v>4.682,039</v>
      </c>
      <c r="E9" s="3" t="str">
        <f>IFERROR(__xludf.DUMMYFUNCTION("""COMPUTED_VALUE"""),"0,19")</f>
        <v>0,19</v>
      </c>
      <c r="F9" s="3" t="str">
        <f>IFERROR(__xludf.DUMMYFUNCTION("""COMPUTED_VALUE"""),"13,83")</f>
        <v>13,83</v>
      </c>
      <c r="G9" s="3"/>
      <c r="H9" s="3" t="str">
        <f>IFERROR(__xludf.DUMMYFUNCTION("""COMPUTED_VALUE"""),"-2,87%")</f>
        <v>-2,87%</v>
      </c>
      <c r="I9" s="3" t="str">
        <f t="shared" si="1"/>
        <v>Japón </v>
      </c>
      <c r="J9" s="3">
        <f t="shared" si="3"/>
        <v>944.759</v>
      </c>
      <c r="K9" s="3">
        <f t="shared" si="4"/>
        <v>0.16</v>
      </c>
      <c r="L9" s="4">
        <f t="shared" si="5"/>
        <v>-0.0613</v>
      </c>
      <c r="M9" s="3">
        <f t="shared" si="6"/>
        <v>7.54</v>
      </c>
      <c r="O9" s="3" t="s">
        <v>10</v>
      </c>
      <c r="P9" s="5">
        <v>878.0</v>
      </c>
      <c r="R9" s="3" t="s">
        <v>10</v>
      </c>
      <c r="S9" s="5">
        <v>878.0</v>
      </c>
    </row>
    <row r="10">
      <c r="B10" s="3" t="str">
        <f t="shared" si="2"/>
        <v>Japón </v>
      </c>
      <c r="C10" s="3" t="str">
        <f>IFERROR(__xludf.DUMMYFUNCTION("""COMPUTED_VALUE"""),"Japón [+]")</f>
        <v>Japón [+]</v>
      </c>
      <c r="D10" s="5">
        <f>IFERROR(__xludf.DUMMYFUNCTION("""COMPUTED_VALUE"""),944759.0)</f>
        <v>944759</v>
      </c>
      <c r="E10" s="3" t="str">
        <f>IFERROR(__xludf.DUMMYFUNCTION("""COMPUTED_VALUE"""),"0,16")</f>
        <v>0,16</v>
      </c>
      <c r="F10" s="3" t="str">
        <f>IFERROR(__xludf.DUMMYFUNCTION("""COMPUTED_VALUE"""),"7,54")</f>
        <v>7,54</v>
      </c>
      <c r="G10" s="3"/>
      <c r="H10" s="3" t="str">
        <f>IFERROR(__xludf.DUMMYFUNCTION("""COMPUTED_VALUE"""),"-6,13%")</f>
        <v>-6,13%</v>
      </c>
      <c r="I10" s="3" t="str">
        <f t="shared" si="1"/>
        <v>China </v>
      </c>
      <c r="J10" s="3">
        <f t="shared" si="3"/>
        <v>13259.639</v>
      </c>
      <c r="K10" s="3">
        <f t="shared" si="4"/>
        <v>0.42</v>
      </c>
      <c r="L10" s="4">
        <f t="shared" si="5"/>
        <v>0.0564</v>
      </c>
      <c r="M10" s="3">
        <f t="shared" si="6"/>
        <v>9.24</v>
      </c>
      <c r="O10" s="3" t="s">
        <v>11</v>
      </c>
      <c r="P10" s="5">
        <v>868.0</v>
      </c>
      <c r="R10" s="3" t="s">
        <v>11</v>
      </c>
      <c r="S10" s="5">
        <v>868.0</v>
      </c>
    </row>
    <row r="11">
      <c r="B11" s="3" t="str">
        <f t="shared" si="2"/>
        <v>China </v>
      </c>
      <c r="C11" s="3" t="str">
        <f>IFERROR(__xludf.DUMMYFUNCTION("""COMPUTED_VALUE"""),"China [+]")</f>
        <v>China [+]</v>
      </c>
      <c r="D11" s="3" t="str">
        <f>IFERROR(__xludf.DUMMYFUNCTION("""COMPUTED_VALUE"""),"13.259,639")</f>
        <v>13.259,639</v>
      </c>
      <c r="E11" s="3" t="str">
        <f>IFERROR(__xludf.DUMMYFUNCTION("""COMPUTED_VALUE"""),"0,42")</f>
        <v>0,42</v>
      </c>
      <c r="F11" s="3" t="str">
        <f>IFERROR(__xludf.DUMMYFUNCTION("""COMPUTED_VALUE"""),"9,24")</f>
        <v>9,24</v>
      </c>
      <c r="G11" s="3"/>
      <c r="H11" s="3" t="str">
        <f>IFERROR(__xludf.DUMMYFUNCTION("""COMPUTED_VALUE"""),"5,64%")</f>
        <v>5,64%</v>
      </c>
      <c r="I11" s="3" t="str">
        <f t="shared" si="1"/>
        <v>Emiratos Árabes Unidos </v>
      </c>
      <c r="J11" s="3">
        <f t="shared" si="3"/>
        <v>205.991</v>
      </c>
      <c r="K11" s="3">
        <f t="shared" si="4"/>
        <v>0.29</v>
      </c>
      <c r="L11" s="4">
        <f t="shared" si="5"/>
        <v>-0.0167</v>
      </c>
      <c r="M11" s="3">
        <f t="shared" si="6"/>
        <v>20.22</v>
      </c>
      <c r="O11" s="3" t="s">
        <v>12</v>
      </c>
      <c r="P11" s="5">
        <v>844.0</v>
      </c>
      <c r="R11" s="3" t="s">
        <v>12</v>
      </c>
      <c r="S11" s="5">
        <v>844.0</v>
      </c>
    </row>
    <row r="12">
      <c r="B12" s="3" t="str">
        <f t="shared" si="2"/>
        <v>Emiratos Árabes Unidos </v>
      </c>
      <c r="C12" s="3" t="str">
        <f>IFERROR(__xludf.DUMMYFUNCTION("""COMPUTED_VALUE"""),"Emiratos Árabes Unidos [+]")</f>
        <v>Emiratos Árabes Unidos [+]</v>
      </c>
      <c r="D12" s="5">
        <f>IFERROR(__xludf.DUMMYFUNCTION("""COMPUTED_VALUE"""),205991.0)</f>
        <v>205991</v>
      </c>
      <c r="E12" s="3" t="str">
        <f>IFERROR(__xludf.DUMMYFUNCTION("""COMPUTED_VALUE"""),"0,29")</f>
        <v>0,29</v>
      </c>
      <c r="F12" s="3" t="str">
        <f>IFERROR(__xludf.DUMMYFUNCTION("""COMPUTED_VALUE"""),"20,22")</f>
        <v>20,22</v>
      </c>
      <c r="G12" s="3"/>
      <c r="H12" s="3" t="str">
        <f>IFERROR(__xludf.DUMMYFUNCTION("""COMPUTED_VALUE"""),"-1,67%")</f>
        <v>-1,67%</v>
      </c>
      <c r="I12" s="3" t="str">
        <f t="shared" si="1"/>
        <v>Afganistán </v>
      </c>
      <c r="J12" s="3">
        <f t="shared" si="3"/>
        <v>8.707</v>
      </c>
      <c r="K12" s="3">
        <f t="shared" si="4"/>
        <v>0.11</v>
      </c>
      <c r="L12" s="4">
        <f t="shared" si="5"/>
        <v>0.0316</v>
      </c>
      <c r="M12" s="3">
        <f t="shared" si="6"/>
        <v>0.21</v>
      </c>
      <c r="O12" s="3" t="s">
        <v>13</v>
      </c>
      <c r="P12" s="5">
        <v>796.0</v>
      </c>
      <c r="R12" s="3" t="s">
        <v>13</v>
      </c>
      <c r="S12" s="5">
        <v>796.0</v>
      </c>
    </row>
    <row r="13">
      <c r="B13" s="3" t="str">
        <f t="shared" si="2"/>
        <v>Afganistán </v>
      </c>
      <c r="C13" s="3" t="str">
        <f>IFERROR(__xludf.DUMMYFUNCTION("""COMPUTED_VALUE"""),"Afganistán [+]")</f>
        <v>Afganistán [+]</v>
      </c>
      <c r="D13" s="5">
        <f>IFERROR(__xludf.DUMMYFUNCTION("""COMPUTED_VALUE"""),8707.0)</f>
        <v>8707</v>
      </c>
      <c r="E13" s="3" t="str">
        <f>IFERROR(__xludf.DUMMYFUNCTION("""COMPUTED_VALUE"""),"0,11")</f>
        <v>0,11</v>
      </c>
      <c r="F13" s="3" t="str">
        <f>IFERROR(__xludf.DUMMYFUNCTION("""COMPUTED_VALUE"""),"0,21")</f>
        <v>0,21</v>
      </c>
      <c r="G13" s="3"/>
      <c r="H13" s="3" t="str">
        <f>IFERROR(__xludf.DUMMYFUNCTION("""COMPUTED_VALUE"""),"3,16%")</f>
        <v>3,16%</v>
      </c>
      <c r="I13" s="3" t="str">
        <f t="shared" si="1"/>
        <v>Antigua y Barbuda </v>
      </c>
      <c r="J13" s="3">
        <f t="shared" si="3"/>
        <v>323</v>
      </c>
      <c r="K13" s="3">
        <f t="shared" si="4"/>
        <v>0.12</v>
      </c>
      <c r="L13" s="4">
        <f t="shared" si="5"/>
        <v>0.0446</v>
      </c>
      <c r="M13" s="3">
        <f t="shared" si="6"/>
        <v>2.99</v>
      </c>
      <c r="O13" s="3" t="s">
        <v>14</v>
      </c>
      <c r="P13" s="5">
        <v>778.802</v>
      </c>
      <c r="R13" s="3" t="s">
        <v>14</v>
      </c>
      <c r="S13" s="5">
        <v>778.802</v>
      </c>
    </row>
    <row r="14">
      <c r="B14" s="3" t="str">
        <f t="shared" si="2"/>
        <v>Antigua y Barbuda </v>
      </c>
      <c r="C14" s="3" t="str">
        <f>IFERROR(__xludf.DUMMYFUNCTION("""COMPUTED_VALUE"""),"Antigua y Barbuda [+]")</f>
        <v>Antigua y Barbuda [+]</v>
      </c>
      <c r="D14" s="5">
        <f>IFERROR(__xludf.DUMMYFUNCTION("""COMPUTED_VALUE"""),323.0)</f>
        <v>323</v>
      </c>
      <c r="E14" s="3" t="str">
        <f>IFERROR(__xludf.DUMMYFUNCTION("""COMPUTED_VALUE"""),"0,12")</f>
        <v>0,12</v>
      </c>
      <c r="F14" s="3" t="str">
        <f>IFERROR(__xludf.DUMMYFUNCTION("""COMPUTED_VALUE"""),"2,99")</f>
        <v>2,99</v>
      </c>
      <c r="G14" s="3"/>
      <c r="H14" s="3" t="str">
        <f>IFERROR(__xludf.DUMMYFUNCTION("""COMPUTED_VALUE"""),"4,46%")</f>
        <v>4,46%</v>
      </c>
      <c r="I14" s="3" t="str">
        <f t="shared" si="1"/>
        <v>Albania </v>
      </c>
      <c r="J14" s="3">
        <f t="shared" si="3"/>
        <v>4.592</v>
      </c>
      <c r="K14" s="3">
        <f t="shared" si="4"/>
        <v>0.09</v>
      </c>
      <c r="L14" s="4">
        <f t="shared" si="5"/>
        <v>-0.0037</v>
      </c>
      <c r="M14" s="3">
        <f t="shared" si="6"/>
        <v>1.56</v>
      </c>
      <c r="R14" s="6" t="s">
        <v>15</v>
      </c>
      <c r="S14" s="5">
        <f>SUM(J2:J185) - SUM(S4:S12)</f>
        <v>20613.421</v>
      </c>
    </row>
    <row r="15">
      <c r="B15" s="3" t="str">
        <f t="shared" si="2"/>
        <v>Albania </v>
      </c>
      <c r="C15" s="3" t="str">
        <f>IFERROR(__xludf.DUMMYFUNCTION("""COMPUTED_VALUE"""),"Albania [+]")</f>
        <v>Albania [+]</v>
      </c>
      <c r="D15" s="5">
        <f>IFERROR(__xludf.DUMMYFUNCTION("""COMPUTED_VALUE"""),4592.0)</f>
        <v>4592</v>
      </c>
      <c r="E15" s="3" t="str">
        <f>IFERROR(__xludf.DUMMYFUNCTION("""COMPUTED_VALUE"""),"0,09")</f>
        <v>0,09</v>
      </c>
      <c r="F15" s="3" t="str">
        <f>IFERROR(__xludf.DUMMYFUNCTION("""COMPUTED_VALUE"""),"1,56")</f>
        <v>1,56</v>
      </c>
      <c r="G15" s="3"/>
      <c r="H15" s="3" t="str">
        <f>IFERROR(__xludf.DUMMYFUNCTION("""COMPUTED_VALUE"""),"-0,37%")</f>
        <v>-0,37%</v>
      </c>
      <c r="I15" s="3" t="str">
        <f t="shared" si="1"/>
        <v>Armenia </v>
      </c>
      <c r="J15" s="3">
        <f t="shared" si="3"/>
        <v>7.725</v>
      </c>
      <c r="K15" s="3">
        <f t="shared" si="4"/>
        <v>0.13</v>
      </c>
      <c r="L15" s="4">
        <f t="shared" si="5"/>
        <v>0.0602</v>
      </c>
      <c r="M15" s="3">
        <f t="shared" si="6"/>
        <v>2.63</v>
      </c>
    </row>
    <row r="16">
      <c r="B16" s="3" t="str">
        <f t="shared" si="2"/>
        <v>Armenia </v>
      </c>
      <c r="C16" s="3" t="str">
        <f>IFERROR(__xludf.DUMMYFUNCTION("""COMPUTED_VALUE"""),"Armenia [+]")</f>
        <v>Armenia [+]</v>
      </c>
      <c r="D16" s="5">
        <f>IFERROR(__xludf.DUMMYFUNCTION("""COMPUTED_VALUE"""),7725.0)</f>
        <v>7725</v>
      </c>
      <c r="E16" s="3" t="str">
        <f>IFERROR(__xludf.DUMMYFUNCTION("""COMPUTED_VALUE"""),"0,13")</f>
        <v>0,13</v>
      </c>
      <c r="F16" s="3" t="str">
        <f>IFERROR(__xludf.DUMMYFUNCTION("""COMPUTED_VALUE"""),"2,63")</f>
        <v>2,63</v>
      </c>
      <c r="G16" s="3"/>
      <c r="H16" s="3" t="str">
        <f>IFERROR(__xludf.DUMMYFUNCTION("""COMPUTED_VALUE"""),"6,02%")</f>
        <v>6,02%</v>
      </c>
      <c r="I16" s="3" t="str">
        <f t="shared" si="1"/>
        <v>Angola </v>
      </c>
      <c r="J16" s="3">
        <f t="shared" si="3"/>
        <v>28.23</v>
      </c>
      <c r="K16" s="3">
        <f t="shared" si="4"/>
        <v>0.11</v>
      </c>
      <c r="L16" s="4">
        <f t="shared" si="5"/>
        <v>0</v>
      </c>
      <c r="M16" s="3">
        <f t="shared" si="6"/>
        <v>0.78</v>
      </c>
    </row>
    <row r="17">
      <c r="B17" s="3" t="str">
        <f t="shared" si="2"/>
        <v>Angola </v>
      </c>
      <c r="C17" s="3" t="str">
        <f>IFERROR(__xludf.DUMMYFUNCTION("""COMPUTED_VALUE"""),"Angola [+]")</f>
        <v>Angola [+]</v>
      </c>
      <c r="D17" s="5">
        <f>IFERROR(__xludf.DUMMYFUNCTION("""COMPUTED_VALUE"""),28230.0)</f>
        <v>28230</v>
      </c>
      <c r="E17" s="3" t="str">
        <f>IFERROR(__xludf.DUMMYFUNCTION("""COMPUTED_VALUE"""),"0,11")</f>
        <v>0,11</v>
      </c>
      <c r="F17" s="3" t="str">
        <f>IFERROR(__xludf.DUMMYFUNCTION("""COMPUTED_VALUE"""),"0,78")</f>
        <v>0,78</v>
      </c>
      <c r="G17" s="3"/>
      <c r="H17" s="3" t="str">
        <f>IFERROR(__xludf.DUMMYFUNCTION("""COMPUTED_VALUE"""),"0,00%")</f>
        <v>0,00%</v>
      </c>
      <c r="I17" s="3" t="str">
        <f t="shared" si="1"/>
        <v>Argentina </v>
      </c>
      <c r="J17" s="3">
        <f t="shared" si="3"/>
        <v>183.778</v>
      </c>
      <c r="K17" s="3">
        <f t="shared" si="4"/>
        <v>0.15</v>
      </c>
      <c r="L17" s="4">
        <f t="shared" si="5"/>
        <v>-0.0581</v>
      </c>
      <c r="M17" s="3">
        <f t="shared" si="6"/>
        <v>3.93</v>
      </c>
    </row>
    <row r="18">
      <c r="B18" s="3" t="str">
        <f t="shared" si="2"/>
        <v>Argentina </v>
      </c>
      <c r="C18" s="3" t="str">
        <f>IFERROR(__xludf.DUMMYFUNCTION("""COMPUTED_VALUE"""),"Argentina [+]")</f>
        <v>Argentina [+]</v>
      </c>
      <c r="D18" s="5">
        <f>IFERROR(__xludf.DUMMYFUNCTION("""COMPUTED_VALUE"""),183778.0)</f>
        <v>183778</v>
      </c>
      <c r="E18" s="3" t="str">
        <f>IFERROR(__xludf.DUMMYFUNCTION("""COMPUTED_VALUE"""),"0,15")</f>
        <v>0,15</v>
      </c>
      <c r="F18" s="3" t="str">
        <f>IFERROR(__xludf.DUMMYFUNCTION("""COMPUTED_VALUE"""),"3,93")</f>
        <v>3,93</v>
      </c>
      <c r="G18" s="3"/>
      <c r="H18" s="3" t="str">
        <f>IFERROR(__xludf.DUMMYFUNCTION("""COMPUTED_VALUE"""),"-5,81%")</f>
        <v>-5,81%</v>
      </c>
      <c r="I18" s="3" t="str">
        <f t="shared" si="1"/>
        <v>Austria </v>
      </c>
      <c r="J18" s="3">
        <f t="shared" si="3"/>
        <v>58.815</v>
      </c>
      <c r="K18" s="3">
        <f t="shared" si="4"/>
        <v>0.1</v>
      </c>
      <c r="L18" s="4">
        <f t="shared" si="5"/>
        <v>-0.0415</v>
      </c>
      <c r="M18" s="3">
        <f t="shared" si="6"/>
        <v>6.65</v>
      </c>
    </row>
    <row r="19">
      <c r="B19" s="3" t="str">
        <f t="shared" si="2"/>
        <v>Austria </v>
      </c>
      <c r="C19" s="3" t="str">
        <f>IFERROR(__xludf.DUMMYFUNCTION("""COMPUTED_VALUE"""),"Austria [+]")</f>
        <v>Austria [+]</v>
      </c>
      <c r="D19" s="5">
        <f>IFERROR(__xludf.DUMMYFUNCTION("""COMPUTED_VALUE"""),58815.0)</f>
        <v>58815</v>
      </c>
      <c r="E19" s="3" t="str">
        <f>IFERROR(__xludf.DUMMYFUNCTION("""COMPUTED_VALUE"""),"0,10")</f>
        <v>0,10</v>
      </c>
      <c r="F19" s="3" t="str">
        <f>IFERROR(__xludf.DUMMYFUNCTION("""COMPUTED_VALUE"""),"6,65")</f>
        <v>6,65</v>
      </c>
      <c r="G19" s="3"/>
      <c r="H19" s="3" t="str">
        <f>IFERROR(__xludf.DUMMYFUNCTION("""COMPUTED_VALUE"""),"-4,15%")</f>
        <v>-4,15%</v>
      </c>
      <c r="I19" s="3" t="str">
        <f t="shared" si="1"/>
        <v>Australia </v>
      </c>
      <c r="J19" s="3">
        <f t="shared" si="3"/>
        <v>373.616</v>
      </c>
      <c r="K19" s="3">
        <f t="shared" si="4"/>
        <v>0.24</v>
      </c>
      <c r="L19" s="4">
        <f t="shared" si="5"/>
        <v>-0.0144</v>
      </c>
      <c r="M19" s="3">
        <f t="shared" si="6"/>
        <v>14.21</v>
      </c>
    </row>
    <row r="20">
      <c r="B20" s="3" t="str">
        <f t="shared" si="2"/>
        <v>Australia </v>
      </c>
      <c r="C20" s="3" t="str">
        <f>IFERROR(__xludf.DUMMYFUNCTION("""COMPUTED_VALUE"""),"Australia [+]")</f>
        <v>Australia [+]</v>
      </c>
      <c r="D20" s="5">
        <f>IFERROR(__xludf.DUMMYFUNCTION("""COMPUTED_VALUE"""),373616.0)</f>
        <v>373616</v>
      </c>
      <c r="E20" s="3" t="str">
        <f>IFERROR(__xludf.DUMMYFUNCTION("""COMPUTED_VALUE"""),"0,24")</f>
        <v>0,24</v>
      </c>
      <c r="F20" s="3" t="str">
        <f>IFERROR(__xludf.DUMMYFUNCTION("""COMPUTED_VALUE"""),"14,21")</f>
        <v>14,21</v>
      </c>
      <c r="G20" s="3"/>
      <c r="H20" s="3" t="str">
        <f>IFERROR(__xludf.DUMMYFUNCTION("""COMPUTED_VALUE"""),"-1,44%")</f>
        <v>-1,44%</v>
      </c>
      <c r="I20" s="3" t="str">
        <f t="shared" si="1"/>
        <v>Azerbaiyán </v>
      </c>
      <c r="J20" s="3">
        <f t="shared" si="3"/>
        <v>42.766</v>
      </c>
      <c r="K20" s="3">
        <f t="shared" si="4"/>
        <v>0.2</v>
      </c>
      <c r="L20" s="4">
        <f t="shared" si="5"/>
        <v>0.0776</v>
      </c>
      <c r="M20" s="3">
        <f t="shared" si="6"/>
        <v>4.14</v>
      </c>
    </row>
    <row r="21">
      <c r="B21" s="3" t="str">
        <f t="shared" si="2"/>
        <v>Azerbaiyán </v>
      </c>
      <c r="C21" s="3" t="str">
        <f>IFERROR(__xludf.DUMMYFUNCTION("""COMPUTED_VALUE"""),"Azerbaiyán [+]")</f>
        <v>Azerbaiyán [+]</v>
      </c>
      <c r="D21" s="5">
        <f>IFERROR(__xludf.DUMMYFUNCTION("""COMPUTED_VALUE"""),42766.0)</f>
        <v>42766</v>
      </c>
      <c r="E21" s="3" t="str">
        <f>IFERROR(__xludf.DUMMYFUNCTION("""COMPUTED_VALUE"""),"0,20")</f>
        <v>0,20</v>
      </c>
      <c r="F21" s="3" t="str">
        <f>IFERROR(__xludf.DUMMYFUNCTION("""COMPUTED_VALUE"""),"4,14")</f>
        <v>4,14</v>
      </c>
      <c r="G21" s="3"/>
      <c r="H21" s="3" t="str">
        <f>IFERROR(__xludf.DUMMYFUNCTION("""COMPUTED_VALUE"""),"7,76%")</f>
        <v>7,76%</v>
      </c>
      <c r="I21" s="3" t="str">
        <f t="shared" si="1"/>
        <v>Bosnia y Herzegovina </v>
      </c>
      <c r="J21" s="3">
        <f t="shared" si="3"/>
        <v>21.997</v>
      </c>
      <c r="K21" s="3">
        <f t="shared" si="4"/>
        <v>0.34</v>
      </c>
      <c r="L21" s="4">
        <f t="shared" si="5"/>
        <v>-0.0287</v>
      </c>
      <c r="M21" s="3">
        <f t="shared" si="6"/>
        <v>6.33</v>
      </c>
    </row>
    <row r="22">
      <c r="B22" s="3" t="str">
        <f t="shared" si="2"/>
        <v>Bosnia y Herzegovina </v>
      </c>
      <c r="C22" s="3" t="str">
        <f>IFERROR(__xludf.DUMMYFUNCTION("""COMPUTED_VALUE"""),"Bosnia y Herzegovina [+]")</f>
        <v>Bosnia y Herzegovina [+]</v>
      </c>
      <c r="D22" s="5">
        <f>IFERROR(__xludf.DUMMYFUNCTION("""COMPUTED_VALUE"""),21997.0)</f>
        <v>21997</v>
      </c>
      <c r="E22" s="3" t="str">
        <f>IFERROR(__xludf.DUMMYFUNCTION("""COMPUTED_VALUE"""),"0,34")</f>
        <v>0,34</v>
      </c>
      <c r="F22" s="3" t="str">
        <f>IFERROR(__xludf.DUMMYFUNCTION("""COMPUTED_VALUE"""),"6,33")</f>
        <v>6,33</v>
      </c>
      <c r="G22" s="3"/>
      <c r="H22" s="3" t="str">
        <f>IFERROR(__xludf.DUMMYFUNCTION("""COMPUTED_VALUE"""),"-2,87%")</f>
        <v>-2,87%</v>
      </c>
      <c r="I22" s="3" t="str">
        <f t="shared" si="1"/>
        <v>Barbados </v>
      </c>
      <c r="J22" s="3">
        <f t="shared" si="3"/>
        <v>796</v>
      </c>
      <c r="K22" s="3">
        <f t="shared" si="4"/>
        <v>0.16</v>
      </c>
      <c r="L22" s="4">
        <f t="shared" si="5"/>
        <v>0.0442</v>
      </c>
      <c r="M22" s="3">
        <f t="shared" si="6"/>
        <v>2.76</v>
      </c>
    </row>
    <row r="23">
      <c r="B23" s="3" t="str">
        <f t="shared" si="2"/>
        <v>Barbados </v>
      </c>
      <c r="C23" s="3" t="str">
        <f>IFERROR(__xludf.DUMMYFUNCTION("""COMPUTED_VALUE"""),"Barbados [+]")</f>
        <v>Barbados [+]</v>
      </c>
      <c r="D23" s="5">
        <f>IFERROR(__xludf.DUMMYFUNCTION("""COMPUTED_VALUE"""),796.0)</f>
        <v>796</v>
      </c>
      <c r="E23" s="3" t="str">
        <f>IFERROR(__xludf.DUMMYFUNCTION("""COMPUTED_VALUE"""),"0,16")</f>
        <v>0,16</v>
      </c>
      <c r="F23" s="3" t="str">
        <f>IFERROR(__xludf.DUMMYFUNCTION("""COMPUTED_VALUE"""),"2,76")</f>
        <v>2,76</v>
      </c>
      <c r="G23" s="3"/>
      <c r="H23" s="3" t="str">
        <f>IFERROR(__xludf.DUMMYFUNCTION("""COMPUTED_VALUE"""),"4,42%")</f>
        <v>4,42%</v>
      </c>
      <c r="I23" s="3" t="str">
        <f t="shared" si="1"/>
        <v>Bangladés </v>
      </c>
      <c r="J23" s="3">
        <f t="shared" si="3"/>
        <v>124.793</v>
      </c>
      <c r="K23" s="3">
        <f t="shared" si="4"/>
        <v>0.09</v>
      </c>
      <c r="L23" s="4">
        <f t="shared" si="5"/>
        <v>-0.0041</v>
      </c>
      <c r="M23" s="3">
        <f t="shared" si="6"/>
        <v>0.71</v>
      </c>
      <c r="U23" s="3" t="s">
        <v>16</v>
      </c>
      <c r="V23" s="3" t="s">
        <v>1</v>
      </c>
      <c r="W23" s="3" t="s">
        <v>2</v>
      </c>
      <c r="X23" s="3" t="s">
        <v>3</v>
      </c>
      <c r="Y23" s="3" t="s">
        <v>4</v>
      </c>
    </row>
    <row r="24">
      <c r="B24" s="3" t="str">
        <f t="shared" si="2"/>
        <v>Bangladés </v>
      </c>
      <c r="C24" s="3" t="str">
        <f>IFERROR(__xludf.DUMMYFUNCTION("""COMPUTED_VALUE"""),"Bangladés [+]")</f>
        <v>Bangladés [+]</v>
      </c>
      <c r="D24" s="5">
        <f>IFERROR(__xludf.DUMMYFUNCTION("""COMPUTED_VALUE"""),124793.0)</f>
        <v>124793</v>
      </c>
      <c r="E24" s="3" t="str">
        <f>IFERROR(__xludf.DUMMYFUNCTION("""COMPUTED_VALUE"""),"0,09")</f>
        <v>0,09</v>
      </c>
      <c r="F24" s="3" t="str">
        <f>IFERROR(__xludf.DUMMYFUNCTION("""COMPUTED_VALUE"""),"0,71")</f>
        <v>0,71</v>
      </c>
      <c r="G24" s="3"/>
      <c r="H24" s="3" t="str">
        <f>IFERROR(__xludf.DUMMYFUNCTION("""COMPUTED_VALUE"""),"-0,41%")</f>
        <v>-0,41%</v>
      </c>
      <c r="I24" s="3" t="str">
        <f t="shared" si="1"/>
        <v>Bélgica </v>
      </c>
      <c r="J24" s="3">
        <f t="shared" si="3"/>
        <v>84.306</v>
      </c>
      <c r="K24" s="3">
        <f t="shared" si="4"/>
        <v>0.11</v>
      </c>
      <c r="L24" s="4">
        <f t="shared" si="5"/>
        <v>-0.0636</v>
      </c>
      <c r="M24" s="3">
        <f t="shared" si="6"/>
        <v>7.18</v>
      </c>
      <c r="U24" s="3" t="s">
        <v>5</v>
      </c>
      <c r="V24" s="3">
        <f>(13259.639-V29)/V30</f>
        <v>1.718848965</v>
      </c>
      <c r="W24" s="3">
        <f>(0.42-W29)/W30</f>
        <v>1.314841515</v>
      </c>
      <c r="X24" s="7">
        <f>(0.0564-X29)/X30</f>
        <v>0.8103329658</v>
      </c>
      <c r="Y24" s="3">
        <f>(9.24-Y29)/Y30</f>
        <v>-0.03677259026</v>
      </c>
    </row>
    <row r="25">
      <c r="B25" s="3" t="str">
        <f t="shared" si="2"/>
        <v>Bélgica </v>
      </c>
      <c r="C25" s="3" t="str">
        <f>IFERROR(__xludf.DUMMYFUNCTION("""COMPUTED_VALUE"""),"Bélgica [+]")</f>
        <v>Bélgica [+]</v>
      </c>
      <c r="D25" s="5">
        <f>IFERROR(__xludf.DUMMYFUNCTION("""COMPUTED_VALUE"""),84306.0)</f>
        <v>84306</v>
      </c>
      <c r="E25" s="3" t="str">
        <f>IFERROR(__xludf.DUMMYFUNCTION("""COMPUTED_VALUE"""),"0,11")</f>
        <v>0,11</v>
      </c>
      <c r="F25" s="3" t="str">
        <f>IFERROR(__xludf.DUMMYFUNCTION("""COMPUTED_VALUE"""),"7,18")</f>
        <v>7,18</v>
      </c>
      <c r="G25" s="3"/>
      <c r="H25" s="3" t="str">
        <f>IFERROR(__xludf.DUMMYFUNCTION("""COMPUTED_VALUE"""),"-6,36%")</f>
        <v>-6,36%</v>
      </c>
      <c r="I25" s="3" t="str">
        <f t="shared" si="1"/>
        <v>Burkina Faso </v>
      </c>
      <c r="J25" s="3">
        <f t="shared" si="3"/>
        <v>5.999</v>
      </c>
      <c r="K25" s="3">
        <f t="shared" si="4"/>
        <v>0.1</v>
      </c>
      <c r="L25" s="4">
        <f t="shared" si="5"/>
        <v>-0.05</v>
      </c>
      <c r="M25" s="3">
        <f t="shared" si="6"/>
        <v>0.26</v>
      </c>
      <c r="U25" s="3" t="s">
        <v>6</v>
      </c>
      <c r="V25" s="3">
        <f>(4682.039-V29)/V30</f>
        <v>-0.020313177</v>
      </c>
      <c r="W25" s="3">
        <f>(0.19-W29)/W30</f>
        <v>-0.7284932716</v>
      </c>
      <c r="X25" s="8">
        <f>(-0.0287-X29)/X30</f>
        <v>-0.7275647905</v>
      </c>
      <c r="Y25" s="3">
        <f>(13.83-Y29)/Y30</f>
        <v>0.8706800403</v>
      </c>
    </row>
    <row r="26">
      <c r="B26" s="3" t="str">
        <f t="shared" si="2"/>
        <v>Burkina Faso </v>
      </c>
      <c r="C26" s="3" t="str">
        <f>IFERROR(__xludf.DUMMYFUNCTION("""COMPUTED_VALUE"""),"Burkina Faso [+]")</f>
        <v>Burkina Faso [+]</v>
      </c>
      <c r="D26" s="5">
        <f>IFERROR(__xludf.DUMMYFUNCTION("""COMPUTED_VALUE"""),5999.0)</f>
        <v>5999</v>
      </c>
      <c r="E26" s="3" t="str">
        <f>IFERROR(__xludf.DUMMYFUNCTION("""COMPUTED_VALUE"""),"0,10")</f>
        <v>0,10</v>
      </c>
      <c r="F26" s="3" t="str">
        <f>IFERROR(__xludf.DUMMYFUNCTION("""COMPUTED_VALUE"""),"0,26")</f>
        <v>0,26</v>
      </c>
      <c r="G26" s="3"/>
      <c r="H26" s="3" t="str">
        <f>IFERROR(__xludf.DUMMYFUNCTION("""COMPUTED_VALUE"""),"-5,00%")</f>
        <v>-5,00%</v>
      </c>
      <c r="I26" s="3" t="str">
        <f t="shared" si="1"/>
        <v>Bulgaria </v>
      </c>
      <c r="J26" s="3">
        <f t="shared" si="3"/>
        <v>39.793</v>
      </c>
      <c r="K26" s="3">
        <f t="shared" si="4"/>
        <v>0.19</v>
      </c>
      <c r="L26" s="4">
        <f t="shared" si="5"/>
        <v>-0.1994</v>
      </c>
      <c r="M26" s="3">
        <f t="shared" si="6"/>
        <v>5.86</v>
      </c>
      <c r="U26" s="3" t="s">
        <v>7</v>
      </c>
      <c r="V26" s="3">
        <f>(2955.182-V29)/V30</f>
        <v>-0.3704442532</v>
      </c>
      <c r="W26" s="3">
        <f>(0.23-W29)/W30</f>
        <v>-0.3731307001</v>
      </c>
      <c r="X26" s="7">
        <f>(0.0678-X29)/X30</f>
        <v>1.016349822</v>
      </c>
      <c r="Y26" s="3">
        <f>(2.07-Y29)/Y30</f>
        <v>-1.454296634</v>
      </c>
    </row>
    <row r="27">
      <c r="B27" s="3" t="str">
        <f t="shared" si="2"/>
        <v>Bulgaria </v>
      </c>
      <c r="C27" s="3" t="str">
        <f>IFERROR(__xludf.DUMMYFUNCTION("""COMPUTED_VALUE"""),"Bulgaria [+]")</f>
        <v>Bulgaria [+]</v>
      </c>
      <c r="D27" s="5">
        <f>IFERROR(__xludf.DUMMYFUNCTION("""COMPUTED_VALUE"""),39793.0)</f>
        <v>39793</v>
      </c>
      <c r="E27" s="3" t="str">
        <f>IFERROR(__xludf.DUMMYFUNCTION("""COMPUTED_VALUE"""),"0,19")</f>
        <v>0,19</v>
      </c>
      <c r="F27" s="3" t="str">
        <f>IFERROR(__xludf.DUMMYFUNCTION("""COMPUTED_VALUE"""),"5,86")</f>
        <v>5,86</v>
      </c>
      <c r="G27" s="3"/>
      <c r="H27" s="3" t="str">
        <f>IFERROR(__xludf.DUMMYFUNCTION("""COMPUTED_VALUE"""),"-19,94%")</f>
        <v>-19,94%</v>
      </c>
      <c r="I27" s="3" t="str">
        <f t="shared" si="1"/>
        <v>Baréin </v>
      </c>
      <c r="J27" s="3">
        <f t="shared" si="3"/>
        <v>37.426</v>
      </c>
      <c r="K27" s="3">
        <f t="shared" si="4"/>
        <v>0.44</v>
      </c>
      <c r="L27" s="4">
        <f t="shared" si="5"/>
        <v>0.0159</v>
      </c>
      <c r="M27" s="3">
        <f t="shared" si="6"/>
        <v>20.7</v>
      </c>
      <c r="U27" s="3" t="s">
        <v>8</v>
      </c>
      <c r="V27" s="3">
        <f>(2069.502-V29)/V30</f>
        <v>-0.5500214224</v>
      </c>
      <c r="W27" s="3">
        <f>(0.36-W29)/W30</f>
        <v>0.7817976573</v>
      </c>
      <c r="X27" s="8">
        <f>(0.0236-X29)/X30</f>
        <v>0.2175827143</v>
      </c>
      <c r="Y27" s="3">
        <f>(14.45-Y29)/Y30</f>
        <v>0.9932553412</v>
      </c>
    </row>
    <row r="28">
      <c r="B28" s="3" t="str">
        <f t="shared" si="2"/>
        <v>Baréin </v>
      </c>
      <c r="C28" s="3" t="str">
        <f>IFERROR(__xludf.DUMMYFUNCTION("""COMPUTED_VALUE"""),"Baréin [+]")</f>
        <v>Baréin [+]</v>
      </c>
      <c r="D28" s="5">
        <f>IFERROR(__xludf.DUMMYFUNCTION("""COMPUTED_VALUE"""),37426.0)</f>
        <v>37426</v>
      </c>
      <c r="E28" s="3" t="str">
        <f>IFERROR(__xludf.DUMMYFUNCTION("""COMPUTED_VALUE"""),"0,44")</f>
        <v>0,44</v>
      </c>
      <c r="F28" s="3" t="str">
        <f>IFERROR(__xludf.DUMMYFUNCTION("""COMPUTED_VALUE"""),"20,70")</f>
        <v>20,70</v>
      </c>
      <c r="G28" s="3"/>
      <c r="H28" s="3" t="str">
        <f>IFERROR(__xludf.DUMMYFUNCTION("""COMPUTED_VALUE"""),"1,59%")</f>
        <v>1,59%</v>
      </c>
      <c r="I28" s="3" t="str">
        <f t="shared" si="1"/>
        <v>Burundi </v>
      </c>
      <c r="J28" s="3">
        <f t="shared" si="3"/>
        <v>844</v>
      </c>
      <c r="K28" s="3">
        <f t="shared" si="4"/>
        <v>0.07</v>
      </c>
      <c r="L28" s="4">
        <f t="shared" si="5"/>
        <v>-0.0232</v>
      </c>
      <c r="M28" s="3">
        <f t="shared" si="6"/>
        <v>0.06</v>
      </c>
      <c r="U28" s="3" t="s">
        <v>9</v>
      </c>
      <c r="V28" s="3">
        <f>(944.759-V29)/V30</f>
        <v>-0.7780701126</v>
      </c>
      <c r="W28" s="3">
        <f>(0.16-W29)/W30</f>
        <v>-0.9950152002</v>
      </c>
      <c r="X28" s="7">
        <f>(-0.0613-X29)/X30</f>
        <v>-1.316700711</v>
      </c>
      <c r="Y28" s="3">
        <f>(7.54-Y29)/Y30</f>
        <v>-0.3728661571</v>
      </c>
    </row>
    <row r="29">
      <c r="B29" s="3" t="str">
        <f t="shared" si="2"/>
        <v>Burundi </v>
      </c>
      <c r="C29" s="3" t="str">
        <f>IFERROR(__xludf.DUMMYFUNCTION("""COMPUTED_VALUE"""),"Burundi [+]")</f>
        <v>Burundi [+]</v>
      </c>
      <c r="D29" s="5">
        <f>IFERROR(__xludf.DUMMYFUNCTION("""COMPUTED_VALUE"""),844.0)</f>
        <v>844</v>
      </c>
      <c r="E29" s="3" t="str">
        <f>IFERROR(__xludf.DUMMYFUNCTION("""COMPUTED_VALUE"""),"0,07")</f>
        <v>0,07</v>
      </c>
      <c r="F29" s="3" t="str">
        <f>IFERROR(__xludf.DUMMYFUNCTION("""COMPUTED_VALUE"""),"0,06")</f>
        <v>0,06</v>
      </c>
      <c r="G29" s="3"/>
      <c r="H29" s="3" t="str">
        <f>IFERROR(__xludf.DUMMYFUNCTION("""COMPUTED_VALUE"""),"-2,32%")</f>
        <v>-2,32%</v>
      </c>
      <c r="I29" s="3" t="str">
        <f t="shared" si="1"/>
        <v>Benin </v>
      </c>
      <c r="J29" s="3">
        <f t="shared" si="3"/>
        <v>6.438</v>
      </c>
      <c r="K29" s="3">
        <f t="shared" si="4"/>
        <v>0.12</v>
      </c>
      <c r="L29" s="4">
        <f t="shared" si="5"/>
        <v>-0.0523</v>
      </c>
      <c r="M29" s="3">
        <f t="shared" si="6"/>
        <v>0.49</v>
      </c>
      <c r="V29" s="3">
        <v>4782.2242</v>
      </c>
      <c r="W29" s="3">
        <v>0.27199999999999996</v>
      </c>
      <c r="X29" s="7">
        <v>0.011559999999999999</v>
      </c>
      <c r="Y29" s="3">
        <v>9.426</v>
      </c>
    </row>
    <row r="30">
      <c r="B30" s="3" t="str">
        <f t="shared" si="2"/>
        <v>Benin </v>
      </c>
      <c r="C30" s="3" t="str">
        <f>IFERROR(__xludf.DUMMYFUNCTION("""COMPUTED_VALUE"""),"Benin [+]")</f>
        <v>Benin [+]</v>
      </c>
      <c r="D30" s="5">
        <f>IFERROR(__xludf.DUMMYFUNCTION("""COMPUTED_VALUE"""),6438.0)</f>
        <v>6438</v>
      </c>
      <c r="E30" s="3" t="str">
        <f>IFERROR(__xludf.DUMMYFUNCTION("""COMPUTED_VALUE"""),"0,12")</f>
        <v>0,12</v>
      </c>
      <c r="F30" s="3" t="str">
        <f>IFERROR(__xludf.DUMMYFUNCTION("""COMPUTED_VALUE"""),"0,49")</f>
        <v>0,49</v>
      </c>
      <c r="G30" s="3"/>
      <c r="H30" s="3" t="str">
        <f>IFERROR(__xludf.DUMMYFUNCTION("""COMPUTED_VALUE"""),"-5,23%")</f>
        <v>-5,23%</v>
      </c>
      <c r="I30" s="3" t="str">
        <f t="shared" si="1"/>
        <v>Brunéi </v>
      </c>
      <c r="J30" s="3">
        <f t="shared" si="3"/>
        <v>9.716</v>
      </c>
      <c r="K30" s="3">
        <f t="shared" si="4"/>
        <v>0.28</v>
      </c>
      <c r="L30" s="4">
        <f t="shared" si="5"/>
        <v>0.0149</v>
      </c>
      <c r="M30" s="3">
        <f t="shared" si="6"/>
        <v>21.12</v>
      </c>
      <c r="V30" s="3">
        <v>4932.030080548039</v>
      </c>
      <c r="W30" s="3">
        <v>0.11256109452204167</v>
      </c>
      <c r="X30" s="3">
        <v>0.055335278078274805</v>
      </c>
      <c r="Y30" s="3">
        <v>5.058115261636492</v>
      </c>
    </row>
    <row r="31">
      <c r="B31" s="3" t="str">
        <f t="shared" si="2"/>
        <v>Brunéi </v>
      </c>
      <c r="C31" s="3" t="str">
        <f>IFERROR(__xludf.DUMMYFUNCTION("""COMPUTED_VALUE"""),"Brunéi [+]")</f>
        <v>Brunéi [+]</v>
      </c>
      <c r="D31" s="5">
        <f>IFERROR(__xludf.DUMMYFUNCTION("""COMPUTED_VALUE"""),9716.0)</f>
        <v>9716</v>
      </c>
      <c r="E31" s="3" t="str">
        <f>IFERROR(__xludf.DUMMYFUNCTION("""COMPUTED_VALUE"""),"0,28")</f>
        <v>0,28</v>
      </c>
      <c r="F31" s="3" t="str">
        <f>IFERROR(__xludf.DUMMYFUNCTION("""COMPUTED_VALUE"""),"21,12")</f>
        <v>21,12</v>
      </c>
      <c r="G31" s="3"/>
      <c r="H31" s="3" t="str">
        <f>IFERROR(__xludf.DUMMYFUNCTION("""COMPUTED_VALUE"""),"1,49%")</f>
        <v>1,49%</v>
      </c>
      <c r="I31" s="3" t="str">
        <f t="shared" si="1"/>
        <v>Bolivia </v>
      </c>
      <c r="J31" s="3">
        <f t="shared" si="3"/>
        <v>23.807</v>
      </c>
      <c r="K31" s="3">
        <f t="shared" si="4"/>
        <v>0.2</v>
      </c>
      <c r="L31" s="4">
        <f t="shared" si="5"/>
        <v>0.0329</v>
      </c>
      <c r="M31" s="3">
        <f t="shared" si="6"/>
        <v>1.98</v>
      </c>
    </row>
    <row r="32">
      <c r="B32" s="3" t="str">
        <f t="shared" si="2"/>
        <v>Bolivia </v>
      </c>
      <c r="C32" s="3" t="str">
        <f>IFERROR(__xludf.DUMMYFUNCTION("""COMPUTED_VALUE"""),"Bolivia [+]")</f>
        <v>Bolivia [+]</v>
      </c>
      <c r="D32" s="5">
        <f>IFERROR(__xludf.DUMMYFUNCTION("""COMPUTED_VALUE"""),23807.0)</f>
        <v>23807</v>
      </c>
      <c r="E32" s="3" t="str">
        <f>IFERROR(__xludf.DUMMYFUNCTION("""COMPUTED_VALUE"""),"0,20")</f>
        <v>0,20</v>
      </c>
      <c r="F32" s="3" t="str">
        <f>IFERROR(__xludf.DUMMYFUNCTION("""COMPUTED_VALUE"""),"1,98")</f>
        <v>1,98</v>
      </c>
      <c r="G32" s="3"/>
      <c r="H32" s="3" t="str">
        <f>IFERROR(__xludf.DUMMYFUNCTION("""COMPUTED_VALUE"""),"3,29%")</f>
        <v>3,29%</v>
      </c>
      <c r="I32" s="3" t="str">
        <f t="shared" si="1"/>
        <v>Brasil </v>
      </c>
      <c r="J32" s="3">
        <f t="shared" si="3"/>
        <v>479.504</v>
      </c>
      <c r="K32" s="3">
        <f t="shared" si="4"/>
        <v>0.12</v>
      </c>
      <c r="L32" s="4">
        <f t="shared" si="5"/>
        <v>-0.0047</v>
      </c>
      <c r="M32" s="3">
        <f t="shared" si="6"/>
        <v>2.2</v>
      </c>
      <c r="O32" s="3" t="str">
        <f t="array" ref="O32:S42">SORT(I:M, M:M, FALSE)</f>
        <v>Países</v>
      </c>
      <c r="P32" s="3" t="s">
        <v>1</v>
      </c>
      <c r="Q32" s="3" t="s">
        <v>2</v>
      </c>
      <c r="R32" s="3" t="s">
        <v>3</v>
      </c>
      <c r="S32" s="3" t="s">
        <v>4</v>
      </c>
      <c r="U32" s="3" t="s">
        <v>16</v>
      </c>
      <c r="V32" s="3" t="s">
        <v>1</v>
      </c>
      <c r="W32" s="3" t="s">
        <v>2</v>
      </c>
      <c r="X32" s="3" t="s">
        <v>3</v>
      </c>
      <c r="Y32" s="3" t="s">
        <v>4</v>
      </c>
    </row>
    <row r="33">
      <c r="B33" s="3" t="str">
        <f t="shared" si="2"/>
        <v>Brasil </v>
      </c>
      <c r="C33" s="3" t="str">
        <f>IFERROR(__xludf.DUMMYFUNCTION("""COMPUTED_VALUE"""),"Brasil [+]")</f>
        <v>Brasil [+]</v>
      </c>
      <c r="D33" s="5">
        <f>IFERROR(__xludf.DUMMYFUNCTION("""COMPUTED_VALUE"""),479504.0)</f>
        <v>479504</v>
      </c>
      <c r="E33" s="3" t="str">
        <f>IFERROR(__xludf.DUMMYFUNCTION("""COMPUTED_VALUE"""),"0,12")</f>
        <v>0,12</v>
      </c>
      <c r="F33" s="3" t="str">
        <f>IFERROR(__xludf.DUMMYFUNCTION("""COMPUTED_VALUE"""),"2,20")</f>
        <v>2,20</v>
      </c>
      <c r="G33" s="3"/>
      <c r="H33" s="3" t="str">
        <f>IFERROR(__xludf.DUMMYFUNCTION("""COMPUTED_VALUE"""),"-0,47%")</f>
        <v>-0,47%</v>
      </c>
      <c r="I33" s="3" t="str">
        <f t="shared" si="1"/>
        <v>Bahamas </v>
      </c>
      <c r="J33" s="3">
        <f t="shared" si="3"/>
        <v>1.684</v>
      </c>
      <c r="K33" s="3">
        <f t="shared" si="4"/>
        <v>0.13</v>
      </c>
      <c r="L33" s="4">
        <f t="shared" si="5"/>
        <v>0.0469</v>
      </c>
      <c r="M33" s="3">
        <f t="shared" si="6"/>
        <v>4.04</v>
      </c>
      <c r="O33" s="3" t="s">
        <v>17</v>
      </c>
      <c r="P33" s="3">
        <v>1.44</v>
      </c>
      <c r="Q33" s="3">
        <v>5.06</v>
      </c>
      <c r="R33" s="4">
        <v>0.0297</v>
      </c>
      <c r="S33" s="3">
        <v>62.59</v>
      </c>
      <c r="U33" s="3" t="s">
        <v>5</v>
      </c>
      <c r="V33" s="3">
        <v>1.7188489651421595</v>
      </c>
      <c r="W33" s="3">
        <v>1.3148415145431862</v>
      </c>
      <c r="X33" s="7">
        <v>0.8103329658264542</v>
      </c>
      <c r="Y33" s="3">
        <v>-0.03677259025920692</v>
      </c>
    </row>
    <row r="34">
      <c r="B34" s="3" t="str">
        <f t="shared" si="2"/>
        <v>Bahamas </v>
      </c>
      <c r="C34" s="3" t="str">
        <f>IFERROR(__xludf.DUMMYFUNCTION("""COMPUTED_VALUE"""),"Bahamas [+]")</f>
        <v>Bahamas [+]</v>
      </c>
      <c r="D34" s="5">
        <f>IFERROR(__xludf.DUMMYFUNCTION("""COMPUTED_VALUE"""),1684.0)</f>
        <v>1684</v>
      </c>
      <c r="E34" s="3" t="str">
        <f>IFERROR(__xludf.DUMMYFUNCTION("""COMPUTED_VALUE"""),"0,13")</f>
        <v>0,13</v>
      </c>
      <c r="F34" s="3" t="str">
        <f>IFERROR(__xludf.DUMMYFUNCTION("""COMPUTED_VALUE"""),"4,04")</f>
        <v>4,04</v>
      </c>
      <c r="G34" s="3"/>
      <c r="H34" s="3" t="str">
        <f>IFERROR(__xludf.DUMMYFUNCTION("""COMPUTED_VALUE"""),"4,69%")</f>
        <v>4,69%</v>
      </c>
      <c r="I34" s="3" t="str">
        <f t="shared" si="1"/>
        <v>Bután </v>
      </c>
      <c r="J34" s="3">
        <f t="shared" si="3"/>
        <v>1.987</v>
      </c>
      <c r="K34" s="3">
        <f t="shared" si="4"/>
        <v>0.17</v>
      </c>
      <c r="L34" s="4">
        <f t="shared" si="5"/>
        <v>0.0216</v>
      </c>
      <c r="M34" s="3">
        <f t="shared" si="6"/>
        <v>2.31</v>
      </c>
      <c r="O34" s="3" t="s">
        <v>18</v>
      </c>
      <c r="P34" s="3">
        <v>127.908</v>
      </c>
      <c r="Q34" s="3">
        <v>0.41</v>
      </c>
      <c r="R34" s="4">
        <v>0.0597</v>
      </c>
      <c r="S34" s="3">
        <v>43.55</v>
      </c>
      <c r="U34" s="3" t="s">
        <v>6</v>
      </c>
      <c r="V34" s="3">
        <v>-0.020313177000913077</v>
      </c>
      <c r="W34" s="3">
        <v>-0.7284932715712243</v>
      </c>
      <c r="X34" s="8">
        <v>-0.7275647904588101</v>
      </c>
      <c r="Y34" s="3">
        <v>0.8706800403308996</v>
      </c>
    </row>
    <row r="35">
      <c r="B35" s="3" t="str">
        <f t="shared" si="2"/>
        <v>Bután </v>
      </c>
      <c r="C35" s="3" t="str">
        <f>IFERROR(__xludf.DUMMYFUNCTION("""COMPUTED_VALUE"""),"Bután [+]")</f>
        <v>Bután [+]</v>
      </c>
      <c r="D35" s="5">
        <f>IFERROR(__xludf.DUMMYFUNCTION("""COMPUTED_VALUE"""),1987.0)</f>
        <v>1987</v>
      </c>
      <c r="E35" s="3" t="str">
        <f>IFERROR(__xludf.DUMMYFUNCTION("""COMPUTED_VALUE"""),"0,17")</f>
        <v>0,17</v>
      </c>
      <c r="F35" s="3" t="str">
        <f>IFERROR(__xludf.DUMMYFUNCTION("""COMPUTED_VALUE"""),"2,31")</f>
        <v>2,31</v>
      </c>
      <c r="G35" s="3"/>
      <c r="H35" s="3" t="str">
        <f>IFERROR(__xludf.DUMMYFUNCTION("""COMPUTED_VALUE"""),"2,16%")</f>
        <v>2,16%</v>
      </c>
      <c r="I35" s="3" t="str">
        <f t="shared" si="1"/>
        <v>Botsuana </v>
      </c>
      <c r="J35" s="3">
        <f t="shared" si="3"/>
        <v>7.425</v>
      </c>
      <c r="K35" s="3">
        <f t="shared" si="4"/>
        <v>0.16</v>
      </c>
      <c r="L35" s="4">
        <f t="shared" si="5"/>
        <v>0.0034</v>
      </c>
      <c r="M35" s="3">
        <f t="shared" si="6"/>
        <v>2.93</v>
      </c>
      <c r="O35" s="3" t="s">
        <v>19</v>
      </c>
      <c r="P35" s="3">
        <v>111.634</v>
      </c>
      <c r="Q35" s="3">
        <v>0.51</v>
      </c>
      <c r="R35" s="4">
        <v>0.0063</v>
      </c>
      <c r="S35" s="3">
        <v>24.9</v>
      </c>
      <c r="U35" s="3" t="s">
        <v>7</v>
      </c>
      <c r="V35" s="3">
        <v>-0.3704442532104309</v>
      </c>
      <c r="W35" s="3">
        <v>-0.3731307000730659</v>
      </c>
      <c r="X35" s="7">
        <v>1.0163498215450442</v>
      </c>
      <c r="Y35" s="3">
        <v>-1.454296634122184</v>
      </c>
    </row>
    <row r="36">
      <c r="B36" s="3" t="str">
        <f t="shared" si="2"/>
        <v>Botsuana </v>
      </c>
      <c r="C36" s="3" t="str">
        <f>IFERROR(__xludf.DUMMYFUNCTION("""COMPUTED_VALUE"""),"Botsuana [+]")</f>
        <v>Botsuana [+]</v>
      </c>
      <c r="D36" s="5">
        <f>IFERROR(__xludf.DUMMYFUNCTION("""COMPUTED_VALUE"""),7425.0)</f>
        <v>7425</v>
      </c>
      <c r="E36" s="3" t="str">
        <f>IFERROR(__xludf.DUMMYFUNCTION("""COMPUTED_VALUE"""),"0,16")</f>
        <v>0,16</v>
      </c>
      <c r="F36" s="3" t="str">
        <f>IFERROR(__xludf.DUMMYFUNCTION("""COMPUTED_VALUE"""),"2,93")</f>
        <v>2,93</v>
      </c>
      <c r="G36" s="3"/>
      <c r="H36" s="3" t="str">
        <f>IFERROR(__xludf.DUMMYFUNCTION("""COMPUTED_VALUE"""),"0,34%")</f>
        <v>0,34%</v>
      </c>
      <c r="I36" s="3" t="str">
        <f t="shared" si="1"/>
        <v>Bielorrusia </v>
      </c>
      <c r="J36" s="3">
        <f t="shared" si="3"/>
        <v>54.176</v>
      </c>
      <c r="K36" s="3">
        <f t="shared" si="4"/>
        <v>0.21</v>
      </c>
      <c r="L36" s="4">
        <f t="shared" si="5"/>
        <v>-0.0446</v>
      </c>
      <c r="M36" s="3">
        <f t="shared" si="6"/>
        <v>5.79</v>
      </c>
      <c r="O36" s="3" t="s">
        <v>20</v>
      </c>
      <c r="P36" s="3">
        <v>9.716</v>
      </c>
      <c r="Q36" s="3">
        <v>0.28</v>
      </c>
      <c r="R36" s="4">
        <v>0.0149</v>
      </c>
      <c r="S36" s="3">
        <v>21.12</v>
      </c>
      <c r="U36" s="3" t="s">
        <v>8</v>
      </c>
      <c r="V36" s="3">
        <v>-0.5500214223548625</v>
      </c>
      <c r="W36" s="3">
        <v>0.7817976572959486</v>
      </c>
      <c r="X36" s="8">
        <v>0.21758271428524775</v>
      </c>
      <c r="Y36" s="3">
        <v>0.9932553411949226</v>
      </c>
    </row>
    <row r="37">
      <c r="B37" s="3" t="str">
        <f t="shared" si="2"/>
        <v>Bielorrusia </v>
      </c>
      <c r="C37" s="3" t="str">
        <f>IFERROR(__xludf.DUMMYFUNCTION("""COMPUTED_VALUE"""),"Bielorrusia [+]")</f>
        <v>Bielorrusia [+]</v>
      </c>
      <c r="D37" s="5">
        <f>IFERROR(__xludf.DUMMYFUNCTION("""COMPUTED_VALUE"""),54176.0)</f>
        <v>54176</v>
      </c>
      <c r="E37" s="3" t="str">
        <f>IFERROR(__xludf.DUMMYFUNCTION("""COMPUTED_VALUE"""),"0,21")</f>
        <v>0,21</v>
      </c>
      <c r="F37" s="3" t="str">
        <f>IFERROR(__xludf.DUMMYFUNCTION("""COMPUTED_VALUE"""),"5,79")</f>
        <v>5,79</v>
      </c>
      <c r="G37" s="3"/>
      <c r="H37" s="3" t="str">
        <f>IFERROR(__xludf.DUMMYFUNCTION("""COMPUTED_VALUE"""),"-4,46%")</f>
        <v>-4,46%</v>
      </c>
      <c r="I37" s="3" t="str">
        <f t="shared" si="1"/>
        <v>Belice </v>
      </c>
      <c r="J37" s="3">
        <f t="shared" si="3"/>
        <v>278</v>
      </c>
      <c r="K37" s="3">
        <f t="shared" si="4"/>
        <v>0.05</v>
      </c>
      <c r="L37" s="4">
        <f t="shared" si="5"/>
        <v>0.0462</v>
      </c>
      <c r="M37" s="3">
        <f t="shared" si="6"/>
        <v>0.66</v>
      </c>
      <c r="O37" s="3" t="s">
        <v>21</v>
      </c>
      <c r="P37" s="3">
        <v>37.426</v>
      </c>
      <c r="Q37" s="3">
        <v>0.44</v>
      </c>
      <c r="R37" s="4">
        <v>0.0159</v>
      </c>
      <c r="S37" s="3">
        <v>20.7</v>
      </c>
      <c r="U37" s="3" t="s">
        <v>9</v>
      </c>
      <c r="V37" s="3">
        <v>-0.778070112575953</v>
      </c>
      <c r="W37" s="3">
        <v>-0.9950152001948431</v>
      </c>
      <c r="X37" s="7">
        <v>-1.316700711197936</v>
      </c>
      <c r="Y37" s="3">
        <v>-0.3728661571444316</v>
      </c>
    </row>
    <row r="38">
      <c r="B38" s="3" t="str">
        <f t="shared" si="2"/>
        <v>Belice </v>
      </c>
      <c r="C38" s="3" t="str">
        <f>IFERROR(__xludf.DUMMYFUNCTION("""COMPUTED_VALUE"""),"Belice [+]")</f>
        <v>Belice [+]</v>
      </c>
      <c r="D38" s="5">
        <f>IFERROR(__xludf.DUMMYFUNCTION("""COMPUTED_VALUE"""),278.0)</f>
        <v>278</v>
      </c>
      <c r="E38" s="3" t="str">
        <f>IFERROR(__xludf.DUMMYFUNCTION("""COMPUTED_VALUE"""),"0,05")</f>
        <v>0,05</v>
      </c>
      <c r="F38" s="3" t="str">
        <f>IFERROR(__xludf.DUMMYFUNCTION("""COMPUTED_VALUE"""),"0,66")</f>
        <v>0,66</v>
      </c>
      <c r="G38" s="3"/>
      <c r="H38" s="3" t="str">
        <f>IFERROR(__xludf.DUMMYFUNCTION("""COMPUTED_VALUE"""),"4,62%")</f>
        <v>4,62%</v>
      </c>
      <c r="I38" s="3" t="str">
        <f t="shared" si="1"/>
        <v>Canadá </v>
      </c>
      <c r="J38" s="3">
        <f t="shared" si="3"/>
        <v>575.012</v>
      </c>
      <c r="K38" s="3">
        <f t="shared" si="4"/>
        <v>0.26</v>
      </c>
      <c r="L38" s="4">
        <f t="shared" si="5"/>
        <v>-0.0087</v>
      </c>
      <c r="M38" s="3">
        <f t="shared" si="6"/>
        <v>14.91</v>
      </c>
      <c r="O38" s="3" t="s">
        <v>22</v>
      </c>
      <c r="P38" s="3">
        <v>205.991</v>
      </c>
      <c r="Q38" s="3">
        <v>0.29</v>
      </c>
      <c r="R38" s="4">
        <v>-0.0167</v>
      </c>
      <c r="S38" s="3">
        <v>20.22</v>
      </c>
    </row>
    <row r="39">
      <c r="B39" s="3" t="str">
        <f t="shared" si="2"/>
        <v>Canadá </v>
      </c>
      <c r="C39" s="3" t="str">
        <f>IFERROR(__xludf.DUMMYFUNCTION("""COMPUTED_VALUE"""),"Canadá [+]")</f>
        <v>Canadá [+]</v>
      </c>
      <c r="D39" s="5">
        <f>IFERROR(__xludf.DUMMYFUNCTION("""COMPUTED_VALUE"""),575012.0)</f>
        <v>575012</v>
      </c>
      <c r="E39" s="3" t="str">
        <f>IFERROR(__xludf.DUMMYFUNCTION("""COMPUTED_VALUE"""),"0,26")</f>
        <v>0,26</v>
      </c>
      <c r="F39" s="3" t="str">
        <f>IFERROR(__xludf.DUMMYFUNCTION("""COMPUTED_VALUE"""),"14,91")</f>
        <v>14,91</v>
      </c>
      <c r="G39" s="3"/>
      <c r="H39" s="3" t="str">
        <f>IFERROR(__xludf.DUMMYFUNCTION("""COMPUTED_VALUE"""),"-0,87%")</f>
        <v>-0,87%</v>
      </c>
      <c r="I39" s="3" t="str">
        <f t="shared" si="1"/>
        <v>República Democrática del Congo </v>
      </c>
      <c r="J39" s="3">
        <f t="shared" si="3"/>
        <v>3.8</v>
      </c>
      <c r="K39" s="3">
        <f t="shared" si="4"/>
        <v>0.02</v>
      </c>
      <c r="L39" s="4">
        <f t="shared" si="5"/>
        <v>-0.053</v>
      </c>
      <c r="M39" s="3">
        <f t="shared" si="6"/>
        <v>0.04</v>
      </c>
      <c r="O39" s="3" t="s">
        <v>23</v>
      </c>
      <c r="P39" s="3">
        <v>27.216</v>
      </c>
      <c r="Q39" s="3">
        <v>0.62</v>
      </c>
      <c r="R39" s="4">
        <v>-0.026</v>
      </c>
      <c r="S39" s="3">
        <v>19.71</v>
      </c>
      <c r="U39" s="3" t="s">
        <v>16</v>
      </c>
      <c r="V39" s="3" t="s">
        <v>5</v>
      </c>
      <c r="W39" s="3" t="s">
        <v>6</v>
      </c>
      <c r="X39" s="3" t="s">
        <v>7</v>
      </c>
      <c r="Y39" s="3" t="s">
        <v>8</v>
      </c>
      <c r="Z39" s="3" t="s">
        <v>9</v>
      </c>
    </row>
    <row r="40">
      <c r="B40" s="3" t="str">
        <f t="shared" si="2"/>
        <v>República Democrática del Congo </v>
      </c>
      <c r="C40" s="3" t="str">
        <f>IFERROR(__xludf.DUMMYFUNCTION("""COMPUTED_VALUE"""),"República Democrática del Congo [+]")</f>
        <v>República Democrática del Congo [+]</v>
      </c>
      <c r="D40" s="5">
        <f>IFERROR(__xludf.DUMMYFUNCTION("""COMPUTED_VALUE"""),3800.0)</f>
        <v>3800</v>
      </c>
      <c r="E40" s="3" t="str">
        <f>IFERROR(__xludf.DUMMYFUNCTION("""COMPUTED_VALUE"""),"0,02")</f>
        <v>0,02</v>
      </c>
      <c r="F40" s="3" t="str">
        <f>IFERROR(__xludf.DUMMYFUNCTION("""COMPUTED_VALUE"""),"0,04")</f>
        <v>0,04</v>
      </c>
      <c r="G40" s="3"/>
      <c r="H40" s="3" t="str">
        <f>IFERROR(__xludf.DUMMYFUNCTION("""COMPUTED_VALUE"""),"-5,30%")</f>
        <v>-5,30%</v>
      </c>
      <c r="I40" s="3" t="str">
        <f t="shared" si="1"/>
        <v>República Centroafricana </v>
      </c>
      <c r="J40" s="3">
        <f t="shared" si="3"/>
        <v>368</v>
      </c>
      <c r="K40" s="3">
        <f t="shared" si="4"/>
        <v>0.06</v>
      </c>
      <c r="L40" s="4">
        <f t="shared" si="5"/>
        <v>0.021</v>
      </c>
      <c r="M40" s="3">
        <f t="shared" si="6"/>
        <v>0.07</v>
      </c>
      <c r="O40" s="3" t="s">
        <v>24</v>
      </c>
      <c r="P40" s="3">
        <v>622.914</v>
      </c>
      <c r="Q40" s="3">
        <v>0.34</v>
      </c>
      <c r="R40" s="4">
        <v>0.0146</v>
      </c>
      <c r="S40" s="3">
        <v>17.15</v>
      </c>
      <c r="U40" s="3" t="s">
        <v>1</v>
      </c>
      <c r="V40" s="3">
        <v>1.7188489651421595</v>
      </c>
      <c r="W40" s="3">
        <v>-0.020313177000913077</v>
      </c>
      <c r="X40" s="3">
        <v>-0.3704442532104309</v>
      </c>
      <c r="Y40" s="3">
        <v>-0.5500214223548625</v>
      </c>
      <c r="Z40" s="3">
        <v>-0.778070112575953</v>
      </c>
    </row>
    <row r="41">
      <c r="B41" s="3" t="str">
        <f t="shared" si="2"/>
        <v>República Centroafricana </v>
      </c>
      <c r="C41" s="3" t="str">
        <f>IFERROR(__xludf.DUMMYFUNCTION("""COMPUTED_VALUE"""),"República Centroafricana [+]")</f>
        <v>República Centroafricana [+]</v>
      </c>
      <c r="D41" s="5">
        <f>IFERROR(__xludf.DUMMYFUNCTION("""COMPUTED_VALUE"""),368.0)</f>
        <v>368</v>
      </c>
      <c r="E41" s="3" t="str">
        <f>IFERROR(__xludf.DUMMYFUNCTION("""COMPUTED_VALUE"""),"0,06")</f>
        <v>0,06</v>
      </c>
      <c r="F41" s="3" t="str">
        <f>IFERROR(__xludf.DUMMYFUNCTION("""COMPUTED_VALUE"""),"0,07")</f>
        <v>0,07</v>
      </c>
      <c r="G41" s="3"/>
      <c r="H41" s="3" t="str">
        <f>IFERROR(__xludf.DUMMYFUNCTION("""COMPUTED_VALUE"""),"2,10%")</f>
        <v>2,10%</v>
      </c>
      <c r="I41" s="3" t="str">
        <f t="shared" si="1"/>
        <v>República del Congo </v>
      </c>
      <c r="J41" s="3">
        <f t="shared" si="3"/>
        <v>7.251</v>
      </c>
      <c r="K41" s="3">
        <f t="shared" si="4"/>
        <v>0.19</v>
      </c>
      <c r="L41" s="4">
        <f t="shared" si="5"/>
        <v>-0.0841</v>
      </c>
      <c r="M41" s="3">
        <f t="shared" si="6"/>
        <v>1.18</v>
      </c>
      <c r="O41" s="3" t="s">
        <v>25</v>
      </c>
      <c r="P41" s="3">
        <v>93.094</v>
      </c>
      <c r="Q41" s="3">
        <v>0.5</v>
      </c>
      <c r="R41" s="4">
        <v>0.009</v>
      </c>
      <c r="S41" s="3">
        <v>17.11</v>
      </c>
      <c r="U41" s="3" t="s">
        <v>2</v>
      </c>
      <c r="V41" s="3">
        <v>1.3148415145431862</v>
      </c>
      <c r="W41" s="3">
        <v>-0.7284932715712243</v>
      </c>
      <c r="X41" s="3">
        <v>-0.3731307000730659</v>
      </c>
      <c r="Y41" s="3">
        <v>0.7817976572959486</v>
      </c>
      <c r="Z41" s="3">
        <v>-0.9950152001948431</v>
      </c>
    </row>
    <row r="42">
      <c r="B42" s="3" t="str">
        <f t="shared" si="2"/>
        <v>República del Congo </v>
      </c>
      <c r="C42" s="3" t="str">
        <f>IFERROR(__xludf.DUMMYFUNCTION("""COMPUTED_VALUE"""),"República del Congo [+]")</f>
        <v>República del Congo [+]</v>
      </c>
      <c r="D42" s="5">
        <f>IFERROR(__xludf.DUMMYFUNCTION("""COMPUTED_VALUE"""),7251.0)</f>
        <v>7251</v>
      </c>
      <c r="E42" s="3" t="str">
        <f>IFERROR(__xludf.DUMMYFUNCTION("""COMPUTED_VALUE"""),"0,19")</f>
        <v>0,19</v>
      </c>
      <c r="F42" s="3" t="str">
        <f>IFERROR(__xludf.DUMMYFUNCTION("""COMPUTED_VALUE"""),"1,18")</f>
        <v>1,18</v>
      </c>
      <c r="G42" s="3"/>
      <c r="H42" s="3" t="str">
        <f>IFERROR(__xludf.DUMMYFUNCTION("""COMPUTED_VALUE"""),"-8,41%")</f>
        <v>-8,41%</v>
      </c>
      <c r="I42" s="3" t="str">
        <f t="shared" si="1"/>
        <v>Suiza </v>
      </c>
      <c r="J42" s="3">
        <f t="shared" si="3"/>
        <v>34.222</v>
      </c>
      <c r="K42" s="3">
        <f t="shared" si="4"/>
        <v>0.05</v>
      </c>
      <c r="L42" s="4">
        <f t="shared" si="5"/>
        <v>-0.012</v>
      </c>
      <c r="M42" s="3">
        <f t="shared" si="6"/>
        <v>3.87</v>
      </c>
      <c r="O42" s="3" t="s">
        <v>26</v>
      </c>
      <c r="P42" s="3">
        <v>575.012</v>
      </c>
      <c r="Q42" s="3">
        <v>0.26</v>
      </c>
      <c r="R42" s="4">
        <v>-0.0087</v>
      </c>
      <c r="S42" s="3">
        <v>14.91</v>
      </c>
      <c r="U42" s="3" t="s">
        <v>3</v>
      </c>
      <c r="V42" s="7">
        <v>0.8103329658264542</v>
      </c>
      <c r="W42" s="8">
        <v>-0.7275647904588101</v>
      </c>
      <c r="X42" s="7">
        <v>1.0163498215450442</v>
      </c>
      <c r="Y42" s="8">
        <v>0.21758271428524775</v>
      </c>
      <c r="Z42" s="7">
        <v>-1.316700711197936</v>
      </c>
    </row>
    <row r="43">
      <c r="B43" s="3" t="str">
        <f t="shared" si="2"/>
        <v>Suiza </v>
      </c>
      <c r="C43" s="3" t="str">
        <f>IFERROR(__xludf.DUMMYFUNCTION("""COMPUTED_VALUE"""),"Suiza [+]")</f>
        <v>Suiza [+]</v>
      </c>
      <c r="D43" s="5">
        <f>IFERROR(__xludf.DUMMYFUNCTION("""COMPUTED_VALUE"""),34222.0)</f>
        <v>34222</v>
      </c>
      <c r="E43" s="3" t="str">
        <f>IFERROR(__xludf.DUMMYFUNCTION("""COMPUTED_VALUE"""),"0,05")</f>
        <v>0,05</v>
      </c>
      <c r="F43" s="3" t="str">
        <f>IFERROR(__xludf.DUMMYFUNCTION("""COMPUTED_VALUE"""),"3,87")</f>
        <v>3,87</v>
      </c>
      <c r="G43" s="3"/>
      <c r="H43" s="3" t="str">
        <f>IFERROR(__xludf.DUMMYFUNCTION("""COMPUTED_VALUE"""),"-1,20%")</f>
        <v>-1,20%</v>
      </c>
      <c r="I43" s="3" t="str">
        <f t="shared" si="1"/>
        <v>Costa de Marfil </v>
      </c>
      <c r="J43" s="3">
        <f t="shared" si="3"/>
        <v>14.412</v>
      </c>
      <c r="K43" s="3">
        <f t="shared" si="4"/>
        <v>0.07</v>
      </c>
      <c r="L43" s="4">
        <f t="shared" si="5"/>
        <v>-0.0475</v>
      </c>
      <c r="M43" s="3">
        <f t="shared" si="6"/>
        <v>0.51</v>
      </c>
      <c r="U43" s="3" t="s">
        <v>4</v>
      </c>
      <c r="V43" s="3">
        <v>-0.03677259025920692</v>
      </c>
      <c r="W43" s="3">
        <v>0.8706800403308996</v>
      </c>
      <c r="X43" s="3">
        <v>-1.454296634122184</v>
      </c>
      <c r="Y43" s="3">
        <v>0.9932553411949226</v>
      </c>
      <c r="Z43" s="3">
        <v>-0.3728661571444316</v>
      </c>
    </row>
    <row r="44">
      <c r="B44" s="3" t="str">
        <f t="shared" si="2"/>
        <v>Costa de Marfil </v>
      </c>
      <c r="C44" s="3" t="str">
        <f>IFERROR(__xludf.DUMMYFUNCTION("""COMPUTED_VALUE"""),"Costa de Marfil [+]")</f>
        <v>Costa de Marfil [+]</v>
      </c>
      <c r="D44" s="5">
        <f>IFERROR(__xludf.DUMMYFUNCTION("""COMPUTED_VALUE"""),14412.0)</f>
        <v>14412</v>
      </c>
      <c r="E44" s="3" t="str">
        <f>IFERROR(__xludf.DUMMYFUNCTION("""COMPUTED_VALUE"""),"0,07")</f>
        <v>0,07</v>
      </c>
      <c r="F44" s="3" t="str">
        <f>IFERROR(__xludf.DUMMYFUNCTION("""COMPUTED_VALUE"""),"0,51")</f>
        <v>0,51</v>
      </c>
      <c r="G44" s="3"/>
      <c r="H44" s="3" t="str">
        <f>IFERROR(__xludf.DUMMYFUNCTION("""COMPUTED_VALUE"""),"-4,75%")</f>
        <v>-4,75%</v>
      </c>
      <c r="I44" s="3" t="str">
        <f t="shared" si="1"/>
        <v>Chile </v>
      </c>
      <c r="J44" s="3">
        <f t="shared" si="3"/>
        <v>83.999</v>
      </c>
      <c r="K44" s="3">
        <f t="shared" si="4"/>
        <v>0.15</v>
      </c>
      <c r="L44" s="4">
        <f t="shared" si="5"/>
        <v>-0.0608</v>
      </c>
      <c r="M44" s="3">
        <f t="shared" si="6"/>
        <v>4.45</v>
      </c>
    </row>
    <row r="45">
      <c r="B45" s="3" t="str">
        <f t="shared" si="2"/>
        <v>Chile </v>
      </c>
      <c r="C45" s="3" t="str">
        <f>IFERROR(__xludf.DUMMYFUNCTION("""COMPUTED_VALUE"""),"Chile [+]")</f>
        <v>Chile [+]</v>
      </c>
      <c r="D45" s="5">
        <f>IFERROR(__xludf.DUMMYFUNCTION("""COMPUTED_VALUE"""),83999.0)</f>
        <v>83999</v>
      </c>
      <c r="E45" s="3" t="str">
        <f>IFERROR(__xludf.DUMMYFUNCTION("""COMPUTED_VALUE"""),"0,15")</f>
        <v>0,15</v>
      </c>
      <c r="F45" s="3" t="str">
        <f>IFERROR(__xludf.DUMMYFUNCTION("""COMPUTED_VALUE"""),"4,45")</f>
        <v>4,45</v>
      </c>
      <c r="G45" s="3"/>
      <c r="H45" s="3" t="str">
        <f>IFERROR(__xludf.DUMMYFUNCTION("""COMPUTED_VALUE"""),"-6,08%")</f>
        <v>-6,08%</v>
      </c>
      <c r="I45" s="3" t="str">
        <f t="shared" si="1"/>
        <v>Camerún </v>
      </c>
      <c r="J45" s="3">
        <f t="shared" si="3"/>
        <v>10.756</v>
      </c>
      <c r="K45" s="3">
        <f t="shared" si="4"/>
        <v>0.08</v>
      </c>
      <c r="L45" s="4">
        <f t="shared" si="5"/>
        <v>-0.0306</v>
      </c>
      <c r="M45" s="3">
        <f t="shared" si="6"/>
        <v>0.38</v>
      </c>
    </row>
    <row r="46">
      <c r="B46" s="3" t="str">
        <f t="shared" si="2"/>
        <v>Camerún </v>
      </c>
      <c r="C46" s="3" t="str">
        <f>IFERROR(__xludf.DUMMYFUNCTION("""COMPUTED_VALUE"""),"Camerún [+]")</f>
        <v>Camerún [+]</v>
      </c>
      <c r="D46" s="5">
        <f>IFERROR(__xludf.DUMMYFUNCTION("""COMPUTED_VALUE"""),10756.0)</f>
        <v>10756</v>
      </c>
      <c r="E46" s="3" t="str">
        <f>IFERROR(__xludf.DUMMYFUNCTION("""COMPUTED_VALUE"""),"0,08")</f>
        <v>0,08</v>
      </c>
      <c r="F46" s="3" t="str">
        <f>IFERROR(__xludf.DUMMYFUNCTION("""COMPUTED_VALUE"""),"0,38")</f>
        <v>0,38</v>
      </c>
      <c r="G46" s="3"/>
      <c r="H46" s="3" t="str">
        <f>IFERROR(__xludf.DUMMYFUNCTION("""COMPUTED_VALUE"""),"-3,06%")</f>
        <v>-3,06%</v>
      </c>
      <c r="I46" s="3" t="str">
        <f t="shared" si="1"/>
        <v>Colombia </v>
      </c>
      <c r="J46" s="3">
        <f t="shared" si="3"/>
        <v>100.863</v>
      </c>
      <c r="K46" s="3">
        <f t="shared" si="4"/>
        <v>0.1</v>
      </c>
      <c r="L46" s="4">
        <f t="shared" si="5"/>
        <v>0.0922</v>
      </c>
      <c r="M46" s="3">
        <f t="shared" si="6"/>
        <v>1.97</v>
      </c>
    </row>
    <row r="47">
      <c r="B47" s="3" t="str">
        <f t="shared" si="2"/>
        <v>Colombia </v>
      </c>
      <c r="C47" s="3" t="str">
        <f>IFERROR(__xludf.DUMMYFUNCTION("""COMPUTED_VALUE"""),"Colombia [+]")</f>
        <v>Colombia [+]</v>
      </c>
      <c r="D47" s="5">
        <f>IFERROR(__xludf.DUMMYFUNCTION("""COMPUTED_VALUE"""),100863.0)</f>
        <v>100863</v>
      </c>
      <c r="E47" s="3" t="str">
        <f>IFERROR(__xludf.DUMMYFUNCTION("""COMPUTED_VALUE"""),"0,10")</f>
        <v>0,10</v>
      </c>
      <c r="F47" s="3" t="str">
        <f>IFERROR(__xludf.DUMMYFUNCTION("""COMPUTED_VALUE"""),"1,97")</f>
        <v>1,97</v>
      </c>
      <c r="G47" s="3"/>
      <c r="H47" s="3" t="str">
        <f>IFERROR(__xludf.DUMMYFUNCTION("""COMPUTED_VALUE"""),"9,22%")</f>
        <v>9,22%</v>
      </c>
      <c r="I47" s="3" t="str">
        <f t="shared" si="1"/>
        <v>Costa Rica </v>
      </c>
      <c r="J47" s="3">
        <f t="shared" si="3"/>
        <v>8.573</v>
      </c>
      <c r="K47" s="3">
        <f t="shared" si="4"/>
        <v>0.06</v>
      </c>
      <c r="L47" s="4">
        <f t="shared" si="5"/>
        <v>0.0513</v>
      </c>
      <c r="M47" s="3">
        <f t="shared" si="6"/>
        <v>1.66</v>
      </c>
    </row>
    <row r="48">
      <c r="B48" s="3" t="str">
        <f t="shared" si="2"/>
        <v>Costa Rica </v>
      </c>
      <c r="C48" s="3" t="str">
        <f>IFERROR(__xludf.DUMMYFUNCTION("""COMPUTED_VALUE"""),"Costa Rica [+]")</f>
        <v>Costa Rica [+]</v>
      </c>
      <c r="D48" s="5">
        <f>IFERROR(__xludf.DUMMYFUNCTION("""COMPUTED_VALUE"""),8573.0)</f>
        <v>8573</v>
      </c>
      <c r="E48" s="3" t="str">
        <f>IFERROR(__xludf.DUMMYFUNCTION("""COMPUTED_VALUE"""),"0,06")</f>
        <v>0,06</v>
      </c>
      <c r="F48" s="3" t="str">
        <f>IFERROR(__xludf.DUMMYFUNCTION("""COMPUTED_VALUE"""),"1,66")</f>
        <v>1,66</v>
      </c>
      <c r="G48" s="3"/>
      <c r="H48" s="3" t="str">
        <f>IFERROR(__xludf.DUMMYFUNCTION("""COMPUTED_VALUE"""),"5,13%")</f>
        <v>5,13%</v>
      </c>
      <c r="I48" s="3" t="str">
        <f t="shared" si="1"/>
        <v>Cuba </v>
      </c>
      <c r="J48" s="3">
        <f t="shared" si="3"/>
        <v>22.067</v>
      </c>
      <c r="K48" s="3">
        <f t="shared" si="4"/>
        <v>0.07</v>
      </c>
      <c r="L48" s="4">
        <f t="shared" si="5"/>
        <v>0.0581</v>
      </c>
      <c r="M48" s="3">
        <f t="shared" si="6"/>
        <v>1.92</v>
      </c>
    </row>
    <row r="49">
      <c r="B49" s="3" t="str">
        <f t="shared" si="2"/>
        <v>Cuba </v>
      </c>
      <c r="C49" s="3" t="str">
        <f>IFERROR(__xludf.DUMMYFUNCTION("""COMPUTED_VALUE"""),"Cuba [+]")</f>
        <v>Cuba [+]</v>
      </c>
      <c r="D49" s="5">
        <f>IFERROR(__xludf.DUMMYFUNCTION("""COMPUTED_VALUE"""),22067.0)</f>
        <v>22067</v>
      </c>
      <c r="E49" s="3" t="str">
        <f>IFERROR(__xludf.DUMMYFUNCTION("""COMPUTED_VALUE"""),"0,07")</f>
        <v>0,07</v>
      </c>
      <c r="F49" s="3" t="str">
        <f>IFERROR(__xludf.DUMMYFUNCTION("""COMPUTED_VALUE"""),"1,92")</f>
        <v>1,92</v>
      </c>
      <c r="G49" s="3"/>
      <c r="H49" s="3" t="str">
        <f>IFERROR(__xludf.DUMMYFUNCTION("""COMPUTED_VALUE"""),"5,81%")</f>
        <v>5,81%</v>
      </c>
      <c r="I49" s="3" t="str">
        <f t="shared" si="1"/>
        <v>Cabo Verde </v>
      </c>
      <c r="J49" s="3">
        <f t="shared" si="3"/>
        <v>1.006</v>
      </c>
      <c r="K49" s="3">
        <f t="shared" si="4"/>
        <v>0.21</v>
      </c>
      <c r="L49" s="4">
        <f t="shared" si="5"/>
        <v>-0.0396</v>
      </c>
      <c r="M49" s="3">
        <f t="shared" si="6"/>
        <v>1.71</v>
      </c>
    </row>
    <row r="50">
      <c r="B50" s="3" t="str">
        <f t="shared" si="2"/>
        <v>Cabo Verde </v>
      </c>
      <c r="C50" s="3" t="str">
        <f>IFERROR(__xludf.DUMMYFUNCTION("""COMPUTED_VALUE"""),"Cabo Verde [+]")</f>
        <v>Cabo Verde [+]</v>
      </c>
      <c r="D50" s="5">
        <f>IFERROR(__xludf.DUMMYFUNCTION("""COMPUTED_VALUE"""),1006.0)</f>
        <v>1006</v>
      </c>
      <c r="E50" s="3" t="str">
        <f>IFERROR(__xludf.DUMMYFUNCTION("""COMPUTED_VALUE"""),"0,21")</f>
        <v>0,21</v>
      </c>
      <c r="F50" s="3" t="str">
        <f>IFERROR(__xludf.DUMMYFUNCTION("""COMPUTED_VALUE"""),"1,71")</f>
        <v>1,71</v>
      </c>
      <c r="G50" s="3"/>
      <c r="H50" s="3" t="str">
        <f>IFERROR(__xludf.DUMMYFUNCTION("""COMPUTED_VALUE"""),"-3,96%")</f>
        <v>-3,96%</v>
      </c>
      <c r="I50" s="3" t="str">
        <f t="shared" si="1"/>
        <v>Chipre </v>
      </c>
      <c r="J50" s="3">
        <f t="shared" si="3"/>
        <v>7.183</v>
      </c>
      <c r="K50" s="3">
        <f t="shared" si="4"/>
        <v>0.15</v>
      </c>
      <c r="L50" s="4">
        <f t="shared" si="5"/>
        <v>-0.0068</v>
      </c>
      <c r="M50" s="3">
        <f t="shared" si="6"/>
        <v>5.83</v>
      </c>
    </row>
    <row r="51">
      <c r="B51" s="3" t="str">
        <f t="shared" si="2"/>
        <v>Chipre </v>
      </c>
      <c r="C51" s="3" t="str">
        <f>IFERROR(__xludf.DUMMYFUNCTION("""COMPUTED_VALUE"""),"Chipre [+]")</f>
        <v>Chipre [+]</v>
      </c>
      <c r="D51" s="5">
        <f>IFERROR(__xludf.DUMMYFUNCTION("""COMPUTED_VALUE"""),7183.0)</f>
        <v>7183</v>
      </c>
      <c r="E51" s="3" t="str">
        <f>IFERROR(__xludf.DUMMYFUNCTION("""COMPUTED_VALUE"""),"0,15")</f>
        <v>0,15</v>
      </c>
      <c r="F51" s="3" t="str">
        <f>IFERROR(__xludf.DUMMYFUNCTION("""COMPUTED_VALUE"""),"5,83")</f>
        <v>5,83</v>
      </c>
      <c r="G51" s="3"/>
      <c r="H51" s="3" t="str">
        <f>IFERROR(__xludf.DUMMYFUNCTION("""COMPUTED_VALUE"""),"-0,68%")</f>
        <v>-0,68%</v>
      </c>
      <c r="I51" s="3" t="str">
        <f t="shared" si="1"/>
        <v>Chequia </v>
      </c>
      <c r="J51" s="3">
        <f t="shared" si="3"/>
        <v>90.513</v>
      </c>
      <c r="K51" s="3">
        <f t="shared" si="4"/>
        <v>0.17</v>
      </c>
      <c r="L51" s="4">
        <f t="shared" si="5"/>
        <v>-0.0894</v>
      </c>
      <c r="M51" s="3">
        <f t="shared" si="6"/>
        <v>8.52</v>
      </c>
    </row>
    <row r="52">
      <c r="B52" s="3" t="str">
        <f t="shared" si="2"/>
        <v>Chequia </v>
      </c>
      <c r="C52" s="3" t="str">
        <f>IFERROR(__xludf.DUMMYFUNCTION("""COMPUTED_VALUE"""),"Chequia [+]")</f>
        <v>Chequia [+]</v>
      </c>
      <c r="D52" s="5">
        <f>IFERROR(__xludf.DUMMYFUNCTION("""COMPUTED_VALUE"""),90513.0)</f>
        <v>90513</v>
      </c>
      <c r="E52" s="3" t="str">
        <f>IFERROR(__xludf.DUMMYFUNCTION("""COMPUTED_VALUE"""),"0,17")</f>
        <v>0,17</v>
      </c>
      <c r="F52" s="3" t="str">
        <f>IFERROR(__xludf.DUMMYFUNCTION("""COMPUTED_VALUE"""),"8,52")</f>
        <v>8,52</v>
      </c>
      <c r="G52" s="3"/>
      <c r="H52" s="3" t="str">
        <f>IFERROR(__xludf.DUMMYFUNCTION("""COMPUTED_VALUE"""),"-8,94%")</f>
        <v>-8,94%</v>
      </c>
      <c r="I52" s="3" t="str">
        <f t="shared" si="1"/>
        <v>Yibuti </v>
      </c>
      <c r="J52" s="3">
        <f t="shared" si="3"/>
        <v>749</v>
      </c>
      <c r="K52" s="3">
        <f t="shared" si="4"/>
        <v>0.1</v>
      </c>
      <c r="L52" s="4">
        <f t="shared" si="5"/>
        <v>-0.0115</v>
      </c>
      <c r="M52" s="3">
        <f t="shared" si="6"/>
        <v>0.72</v>
      </c>
    </row>
    <row r="53">
      <c r="B53" s="3" t="str">
        <f t="shared" si="2"/>
        <v>Yibuti </v>
      </c>
      <c r="C53" s="3" t="str">
        <f>IFERROR(__xludf.DUMMYFUNCTION("""COMPUTED_VALUE"""),"Yibuti [+]")</f>
        <v>Yibuti [+]</v>
      </c>
      <c r="D53" s="5">
        <f>IFERROR(__xludf.DUMMYFUNCTION("""COMPUTED_VALUE"""),749.0)</f>
        <v>749</v>
      </c>
      <c r="E53" s="3" t="str">
        <f>IFERROR(__xludf.DUMMYFUNCTION("""COMPUTED_VALUE"""),"0,10")</f>
        <v>0,10</v>
      </c>
      <c r="F53" s="3" t="str">
        <f>IFERROR(__xludf.DUMMYFUNCTION("""COMPUTED_VALUE"""),"0,72")</f>
        <v>0,72</v>
      </c>
      <c r="G53" s="3"/>
      <c r="H53" s="3" t="str">
        <f>IFERROR(__xludf.DUMMYFUNCTION("""COMPUTED_VALUE"""),"-1,15%")</f>
        <v>-1,15%</v>
      </c>
      <c r="I53" s="3" t="str">
        <f t="shared" si="1"/>
        <v>Dinamarca </v>
      </c>
      <c r="J53" s="3">
        <f t="shared" si="3"/>
        <v>26.773</v>
      </c>
      <c r="K53" s="3">
        <f t="shared" si="4"/>
        <v>0.06</v>
      </c>
      <c r="L53" s="4">
        <f t="shared" si="5"/>
        <v>-0.0524</v>
      </c>
      <c r="M53" s="3">
        <f t="shared" si="6"/>
        <v>4.56</v>
      </c>
    </row>
    <row r="54">
      <c r="B54" s="3" t="str">
        <f t="shared" si="2"/>
        <v>Dinamarca </v>
      </c>
      <c r="C54" s="3" t="str">
        <f>IFERROR(__xludf.DUMMYFUNCTION("""COMPUTED_VALUE"""),"Dinamarca [+]")</f>
        <v>Dinamarca [+]</v>
      </c>
      <c r="D54" s="5">
        <f>IFERROR(__xludf.DUMMYFUNCTION("""COMPUTED_VALUE"""),26773.0)</f>
        <v>26773</v>
      </c>
      <c r="E54" s="3" t="str">
        <f>IFERROR(__xludf.DUMMYFUNCTION("""COMPUTED_VALUE"""),"0,06")</f>
        <v>0,06</v>
      </c>
      <c r="F54" s="3" t="str">
        <f>IFERROR(__xludf.DUMMYFUNCTION("""COMPUTED_VALUE"""),"4,56")</f>
        <v>4,56</v>
      </c>
      <c r="G54" s="3"/>
      <c r="H54" s="3" t="str">
        <f>IFERROR(__xludf.DUMMYFUNCTION("""COMPUTED_VALUE"""),"-5,24%")</f>
        <v>-5,24%</v>
      </c>
      <c r="I54" s="3" t="str">
        <f t="shared" si="1"/>
        <v>Dominica </v>
      </c>
      <c r="J54" s="3">
        <f t="shared" si="3"/>
        <v>80</v>
      </c>
      <c r="K54" s="3">
        <f t="shared" si="4"/>
        <v>0.07</v>
      </c>
      <c r="L54" s="4">
        <f t="shared" si="5"/>
        <v>0.0396</v>
      </c>
      <c r="M54" s="3">
        <f t="shared" si="6"/>
        <v>1.05</v>
      </c>
    </row>
    <row r="55">
      <c r="B55" s="3" t="str">
        <f t="shared" si="2"/>
        <v>Dominica </v>
      </c>
      <c r="C55" s="3" t="str">
        <f>IFERROR(__xludf.DUMMYFUNCTION("""COMPUTED_VALUE"""),"Dominica [+]")</f>
        <v>Dominica [+]</v>
      </c>
      <c r="D55" s="5">
        <f>IFERROR(__xludf.DUMMYFUNCTION("""COMPUTED_VALUE"""),80.0)</f>
        <v>80</v>
      </c>
      <c r="E55" s="3" t="str">
        <f>IFERROR(__xludf.DUMMYFUNCTION("""COMPUTED_VALUE"""),"0,07")</f>
        <v>0,07</v>
      </c>
      <c r="F55" s="3" t="str">
        <f>IFERROR(__xludf.DUMMYFUNCTION("""COMPUTED_VALUE"""),"1,05")</f>
        <v>1,05</v>
      </c>
      <c r="G55" s="3"/>
      <c r="H55" s="3" t="str">
        <f>IFERROR(__xludf.DUMMYFUNCTION("""COMPUTED_VALUE"""),"3,96%")</f>
        <v>3,96%</v>
      </c>
      <c r="I55" s="3" t="str">
        <f t="shared" si="1"/>
        <v>República Dominicana </v>
      </c>
      <c r="J55" s="3">
        <f t="shared" si="3"/>
        <v>31.351</v>
      </c>
      <c r="K55" s="3">
        <f t="shared" si="4"/>
        <v>0.12</v>
      </c>
      <c r="L55" s="4">
        <f t="shared" si="5"/>
        <v>0.0478</v>
      </c>
      <c r="M55" s="3">
        <f t="shared" si="6"/>
        <v>2.74</v>
      </c>
    </row>
    <row r="56">
      <c r="B56" s="3" t="str">
        <f t="shared" si="2"/>
        <v>República Dominicana </v>
      </c>
      <c r="C56" s="3" t="str">
        <f>IFERROR(__xludf.DUMMYFUNCTION("""COMPUTED_VALUE"""),"República Dominicana [+]")</f>
        <v>República Dominicana [+]</v>
      </c>
      <c r="D56" s="5">
        <f>IFERROR(__xludf.DUMMYFUNCTION("""COMPUTED_VALUE"""),31351.0)</f>
        <v>31351</v>
      </c>
      <c r="E56" s="3" t="str">
        <f>IFERROR(__xludf.DUMMYFUNCTION("""COMPUTED_VALUE"""),"0,12")</f>
        <v>0,12</v>
      </c>
      <c r="F56" s="3" t="str">
        <f>IFERROR(__xludf.DUMMYFUNCTION("""COMPUTED_VALUE"""),"2,74")</f>
        <v>2,74</v>
      </c>
      <c r="G56" s="3"/>
      <c r="H56" s="3" t="str">
        <f>IFERROR(__xludf.DUMMYFUNCTION("""COMPUTED_VALUE"""),"4,78%")</f>
        <v>4,78%</v>
      </c>
      <c r="I56" s="3" t="str">
        <f t="shared" si="1"/>
        <v>Argelia </v>
      </c>
      <c r="J56" s="3">
        <f t="shared" si="3"/>
        <v>180.358</v>
      </c>
      <c r="K56" s="3">
        <f t="shared" si="4"/>
        <v>0.26</v>
      </c>
      <c r="L56" s="4">
        <f t="shared" si="5"/>
        <v>-0.0464</v>
      </c>
      <c r="M56" s="3">
        <f t="shared" si="6"/>
        <v>3.99</v>
      </c>
    </row>
    <row r="57">
      <c r="B57" s="3" t="str">
        <f t="shared" si="2"/>
        <v>Argelia </v>
      </c>
      <c r="C57" s="3" t="str">
        <f>IFERROR(__xludf.DUMMYFUNCTION("""COMPUTED_VALUE"""),"Argelia [+]")</f>
        <v>Argelia [+]</v>
      </c>
      <c r="D57" s="5">
        <f>IFERROR(__xludf.DUMMYFUNCTION("""COMPUTED_VALUE"""),180358.0)</f>
        <v>180358</v>
      </c>
      <c r="E57" s="3" t="str">
        <f>IFERROR(__xludf.DUMMYFUNCTION("""COMPUTED_VALUE"""),"0,26")</f>
        <v>0,26</v>
      </c>
      <c r="F57" s="3" t="str">
        <f>IFERROR(__xludf.DUMMYFUNCTION("""COMPUTED_VALUE"""),"3,99")</f>
        <v>3,99</v>
      </c>
      <c r="G57" s="3"/>
      <c r="H57" s="3" t="str">
        <f>IFERROR(__xludf.DUMMYFUNCTION("""COMPUTED_VALUE"""),"-4,64%")</f>
        <v>-4,64%</v>
      </c>
      <c r="I57" s="3" t="str">
        <f t="shared" si="1"/>
        <v>Ecuador </v>
      </c>
      <c r="J57" s="3">
        <f t="shared" si="3"/>
        <v>45.328</v>
      </c>
      <c r="K57" s="3">
        <f t="shared" si="4"/>
        <v>0.17</v>
      </c>
      <c r="L57" s="4">
        <f t="shared" si="5"/>
        <v>0.059</v>
      </c>
      <c r="M57" s="3">
        <f t="shared" si="6"/>
        <v>2.51</v>
      </c>
    </row>
    <row r="58">
      <c r="B58" s="3" t="str">
        <f t="shared" si="2"/>
        <v>Ecuador </v>
      </c>
      <c r="C58" s="3" t="str">
        <f>IFERROR(__xludf.DUMMYFUNCTION("""COMPUTED_VALUE"""),"Ecuador [+]")</f>
        <v>Ecuador [+]</v>
      </c>
      <c r="D58" s="5">
        <f>IFERROR(__xludf.DUMMYFUNCTION("""COMPUTED_VALUE"""),45328.0)</f>
        <v>45328</v>
      </c>
      <c r="E58" s="3" t="str">
        <f>IFERROR(__xludf.DUMMYFUNCTION("""COMPUTED_VALUE"""),"0,17")</f>
        <v>0,17</v>
      </c>
      <c r="F58" s="3" t="str">
        <f>IFERROR(__xludf.DUMMYFUNCTION("""COMPUTED_VALUE"""),"2,51")</f>
        <v>2,51</v>
      </c>
      <c r="G58" s="3"/>
      <c r="H58" s="3" t="str">
        <f>IFERROR(__xludf.DUMMYFUNCTION("""COMPUTED_VALUE"""),"5,90%")</f>
        <v>5,90%</v>
      </c>
      <c r="I58" s="3" t="str">
        <f t="shared" si="1"/>
        <v>Estonia </v>
      </c>
      <c r="J58" s="3">
        <f t="shared" si="3"/>
        <v>11.436</v>
      </c>
      <c r="K58" s="3">
        <f t="shared" si="4"/>
        <v>0.2</v>
      </c>
      <c r="L58" s="4">
        <f t="shared" si="5"/>
        <v>-0.0887</v>
      </c>
      <c r="M58" s="3">
        <f t="shared" si="6"/>
        <v>8.87</v>
      </c>
    </row>
    <row r="59">
      <c r="B59" s="3" t="str">
        <f t="shared" si="2"/>
        <v>Estonia </v>
      </c>
      <c r="C59" s="3" t="str">
        <f>IFERROR(__xludf.DUMMYFUNCTION("""COMPUTED_VALUE"""),"Estonia [+]")</f>
        <v>Estonia [+]</v>
      </c>
      <c r="D59" s="5">
        <f>IFERROR(__xludf.DUMMYFUNCTION("""COMPUTED_VALUE"""),11436.0)</f>
        <v>11436</v>
      </c>
      <c r="E59" s="3" t="str">
        <f>IFERROR(__xludf.DUMMYFUNCTION("""COMPUTED_VALUE"""),"0,20")</f>
        <v>0,20</v>
      </c>
      <c r="F59" s="3" t="str">
        <f>IFERROR(__xludf.DUMMYFUNCTION("""COMPUTED_VALUE"""),"8,87")</f>
        <v>8,87</v>
      </c>
      <c r="G59" s="3"/>
      <c r="H59" s="3" t="str">
        <f>IFERROR(__xludf.DUMMYFUNCTION("""COMPUTED_VALUE"""),"-8,87%")</f>
        <v>-8,87%</v>
      </c>
      <c r="I59" s="3" t="str">
        <f t="shared" si="1"/>
        <v>Egipto </v>
      </c>
      <c r="J59" s="3">
        <f t="shared" si="3"/>
        <v>249.332</v>
      </c>
      <c r="K59" s="3">
        <f t="shared" si="4"/>
        <v>0.13</v>
      </c>
      <c r="L59" s="4">
        <f t="shared" si="5"/>
        <v>-0.0071</v>
      </c>
      <c r="M59" s="3">
        <f t="shared" si="6"/>
        <v>2.31</v>
      </c>
    </row>
    <row r="60">
      <c r="B60" s="3" t="str">
        <f t="shared" si="2"/>
        <v>Egipto </v>
      </c>
      <c r="C60" s="3" t="str">
        <f>IFERROR(__xludf.DUMMYFUNCTION("""COMPUTED_VALUE"""),"Egipto [+]")</f>
        <v>Egipto [+]</v>
      </c>
      <c r="D60" s="5">
        <f>IFERROR(__xludf.DUMMYFUNCTION("""COMPUTED_VALUE"""),249332.0)</f>
        <v>249332</v>
      </c>
      <c r="E60" s="3" t="str">
        <f>IFERROR(__xludf.DUMMYFUNCTION("""COMPUTED_VALUE"""),"0,13")</f>
        <v>0,13</v>
      </c>
      <c r="F60" s="3" t="str">
        <f>IFERROR(__xludf.DUMMYFUNCTION("""COMPUTED_VALUE"""),"2,31")</f>
        <v>2,31</v>
      </c>
      <c r="G60" s="3"/>
      <c r="H60" s="3" t="str">
        <f>IFERROR(__xludf.DUMMYFUNCTION("""COMPUTED_VALUE"""),"-0,71%")</f>
        <v>-0,71%</v>
      </c>
      <c r="I60" s="3" t="str">
        <f t="shared" si="1"/>
        <v>Eritrea </v>
      </c>
      <c r="J60" s="3">
        <f t="shared" si="3"/>
        <v>669</v>
      </c>
      <c r="K60" s="3">
        <f t="shared" si="4"/>
        <v>0.09</v>
      </c>
      <c r="L60" s="4">
        <f t="shared" si="5"/>
        <v>-0.0197</v>
      </c>
      <c r="M60" s="3">
        <f t="shared" si="6"/>
        <v>0.12</v>
      </c>
    </row>
    <row r="61">
      <c r="B61" s="3" t="str">
        <f t="shared" si="2"/>
        <v>Eritrea </v>
      </c>
      <c r="C61" s="3" t="str">
        <f>IFERROR(__xludf.DUMMYFUNCTION("""COMPUTED_VALUE"""),"Eritrea [+]")</f>
        <v>Eritrea [+]</v>
      </c>
      <c r="D61" s="5">
        <f>IFERROR(__xludf.DUMMYFUNCTION("""COMPUTED_VALUE"""),669.0)</f>
        <v>669</v>
      </c>
      <c r="E61" s="3" t="str">
        <f>IFERROR(__xludf.DUMMYFUNCTION("""COMPUTED_VALUE"""),"0,09")</f>
        <v>0,09</v>
      </c>
      <c r="F61" s="3" t="str">
        <f>IFERROR(__xludf.DUMMYFUNCTION("""COMPUTED_VALUE"""),"0,12")</f>
        <v>0,12</v>
      </c>
      <c r="G61" s="3"/>
      <c r="H61" s="3" t="str">
        <f>IFERROR(__xludf.DUMMYFUNCTION("""COMPUTED_VALUE"""),"-1,97%")</f>
        <v>-1,97%</v>
      </c>
      <c r="I61" s="3" t="str">
        <f t="shared" si="1"/>
        <v>Etiopía </v>
      </c>
      <c r="J61" s="3">
        <f t="shared" si="3"/>
        <v>16.708</v>
      </c>
      <c r="K61" s="3">
        <f t="shared" si="4"/>
        <v>0.05</v>
      </c>
      <c r="L61" s="4">
        <f t="shared" si="5"/>
        <v>-0.0122</v>
      </c>
      <c r="M61" s="3">
        <f t="shared" si="6"/>
        <v>0.14</v>
      </c>
    </row>
    <row r="62">
      <c r="B62" s="3" t="str">
        <f t="shared" si="2"/>
        <v>Etiopía </v>
      </c>
      <c r="C62" s="3" t="str">
        <f>IFERROR(__xludf.DUMMYFUNCTION("""COMPUTED_VALUE"""),"Etiopía [+]")</f>
        <v>Etiopía [+]</v>
      </c>
      <c r="D62" s="5">
        <f>IFERROR(__xludf.DUMMYFUNCTION("""COMPUTED_VALUE"""),16708.0)</f>
        <v>16708</v>
      </c>
      <c r="E62" s="3" t="str">
        <f>IFERROR(__xludf.DUMMYFUNCTION("""COMPUTED_VALUE"""),"0,05")</f>
        <v>0,05</v>
      </c>
      <c r="F62" s="3" t="str">
        <f>IFERROR(__xludf.DUMMYFUNCTION("""COMPUTED_VALUE"""),"0,14")</f>
        <v>0,14</v>
      </c>
      <c r="G62" s="3"/>
      <c r="H62" s="3" t="str">
        <f>IFERROR(__xludf.DUMMYFUNCTION("""COMPUTED_VALUE"""),"-1,22%")</f>
        <v>-1,22%</v>
      </c>
      <c r="I62" s="3" t="str">
        <f t="shared" si="1"/>
        <v>Finlandia </v>
      </c>
      <c r="J62" s="3">
        <f t="shared" si="3"/>
        <v>32.269</v>
      </c>
      <c r="K62" s="3">
        <f t="shared" si="4"/>
        <v>0.1</v>
      </c>
      <c r="L62" s="4">
        <f t="shared" si="5"/>
        <v>-0.1103</v>
      </c>
      <c r="M62" s="3">
        <f t="shared" si="6"/>
        <v>5.73</v>
      </c>
    </row>
    <row r="63">
      <c r="B63" s="3" t="str">
        <f t="shared" si="2"/>
        <v>Finlandia </v>
      </c>
      <c r="C63" s="3" t="str">
        <f>IFERROR(__xludf.DUMMYFUNCTION("""COMPUTED_VALUE"""),"Finlandia [+]")</f>
        <v>Finlandia [+]</v>
      </c>
      <c r="D63" s="5">
        <f>IFERROR(__xludf.DUMMYFUNCTION("""COMPUTED_VALUE"""),32269.0)</f>
        <v>32269</v>
      </c>
      <c r="E63" s="3" t="str">
        <f>IFERROR(__xludf.DUMMYFUNCTION("""COMPUTED_VALUE"""),"0,10")</f>
        <v>0,10</v>
      </c>
      <c r="F63" s="3" t="str">
        <f>IFERROR(__xludf.DUMMYFUNCTION("""COMPUTED_VALUE"""),"5,73")</f>
        <v>5,73</v>
      </c>
      <c r="G63" s="3"/>
      <c r="H63" s="3" t="str">
        <f>IFERROR(__xludf.DUMMYFUNCTION("""COMPUTED_VALUE"""),"-11,03%")</f>
        <v>-11,03%</v>
      </c>
      <c r="I63" s="3" t="str">
        <f t="shared" si="1"/>
        <v>Fiyi </v>
      </c>
      <c r="J63" s="3">
        <f t="shared" si="3"/>
        <v>2.211</v>
      </c>
      <c r="K63" s="3">
        <f t="shared" si="4"/>
        <v>0.17</v>
      </c>
      <c r="L63" s="4">
        <f t="shared" si="5"/>
        <v>0.027</v>
      </c>
      <c r="M63" s="3">
        <f t="shared" si="6"/>
        <v>2.35</v>
      </c>
    </row>
    <row r="64">
      <c r="B64" s="3" t="str">
        <f t="shared" si="2"/>
        <v>Fiyi </v>
      </c>
      <c r="C64" s="3" t="str">
        <f>IFERROR(__xludf.DUMMYFUNCTION("""COMPUTED_VALUE"""),"Fiyi [+]")</f>
        <v>Fiyi [+]</v>
      </c>
      <c r="D64" s="5">
        <f>IFERROR(__xludf.DUMMYFUNCTION("""COMPUTED_VALUE"""),2211.0)</f>
        <v>2211</v>
      </c>
      <c r="E64" s="3" t="str">
        <f>IFERROR(__xludf.DUMMYFUNCTION("""COMPUTED_VALUE"""),"0,17")</f>
        <v>0,17</v>
      </c>
      <c r="F64" s="3" t="str">
        <f>IFERROR(__xludf.DUMMYFUNCTION("""COMPUTED_VALUE"""),"2,35")</f>
        <v>2,35</v>
      </c>
      <c r="G64" s="3"/>
      <c r="H64" s="3" t="str">
        <f>IFERROR(__xludf.DUMMYFUNCTION("""COMPUTED_VALUE"""),"2,70%")</f>
        <v>2,70%</v>
      </c>
      <c r="I64" s="3" t="str">
        <f t="shared" si="1"/>
        <v>Gabón </v>
      </c>
      <c r="J64" s="3">
        <f t="shared" si="3"/>
        <v>4.927</v>
      </c>
      <c r="K64" s="3">
        <f t="shared" si="4"/>
        <v>0.1</v>
      </c>
      <c r="L64" s="4">
        <f t="shared" si="5"/>
        <v>-0.1048</v>
      </c>
      <c r="M64" s="3">
        <f t="shared" si="6"/>
        <v>2.16</v>
      </c>
    </row>
    <row r="65">
      <c r="B65" s="3" t="str">
        <f t="shared" si="2"/>
        <v>Gabón </v>
      </c>
      <c r="C65" s="3" t="str">
        <f>IFERROR(__xludf.DUMMYFUNCTION("""COMPUTED_VALUE"""),"Gabón [+]")</f>
        <v>Gabón [+]</v>
      </c>
      <c r="D65" s="5">
        <f>IFERROR(__xludf.DUMMYFUNCTION("""COMPUTED_VALUE"""),4927.0)</f>
        <v>4927</v>
      </c>
      <c r="E65" s="3" t="str">
        <f>IFERROR(__xludf.DUMMYFUNCTION("""COMPUTED_VALUE"""),"0,10")</f>
        <v>0,10</v>
      </c>
      <c r="F65" s="3" t="str">
        <f>IFERROR(__xludf.DUMMYFUNCTION("""COMPUTED_VALUE"""),"2,16")</f>
        <v>2,16</v>
      </c>
      <c r="G65" s="3"/>
      <c r="H65" s="3" t="str">
        <f>IFERROR(__xludf.DUMMYFUNCTION("""COMPUTED_VALUE"""),"-10,48%")</f>
        <v>-10,48%</v>
      </c>
      <c r="I65" s="3" t="str">
        <f t="shared" si="1"/>
        <v>Granada </v>
      </c>
      <c r="J65" s="3">
        <f t="shared" si="3"/>
        <v>143</v>
      </c>
      <c r="K65" s="3">
        <f t="shared" si="4"/>
        <v>0.07</v>
      </c>
      <c r="L65" s="4">
        <f t="shared" si="5"/>
        <v>0.0543</v>
      </c>
      <c r="M65" s="3">
        <f t="shared" si="6"/>
        <v>1.29</v>
      </c>
    </row>
    <row r="66">
      <c r="B66" s="3" t="str">
        <f t="shared" si="2"/>
        <v>Granada </v>
      </c>
      <c r="C66" s="3" t="str">
        <f>IFERROR(__xludf.DUMMYFUNCTION("""COMPUTED_VALUE"""),"Granada [+]")</f>
        <v>Granada [+]</v>
      </c>
      <c r="D66" s="5">
        <f>IFERROR(__xludf.DUMMYFUNCTION("""COMPUTED_VALUE"""),143.0)</f>
        <v>143</v>
      </c>
      <c r="E66" s="3" t="str">
        <f>IFERROR(__xludf.DUMMYFUNCTION("""COMPUTED_VALUE"""),"0,07")</f>
        <v>0,07</v>
      </c>
      <c r="F66" s="3" t="str">
        <f>IFERROR(__xludf.DUMMYFUNCTION("""COMPUTED_VALUE"""),"1,29")</f>
        <v>1,29</v>
      </c>
      <c r="G66" s="3"/>
      <c r="H66" s="3" t="str">
        <f>IFERROR(__xludf.DUMMYFUNCTION("""COMPUTED_VALUE"""),"5,43%")</f>
        <v>5,43%</v>
      </c>
      <c r="I66" s="3" t="str">
        <f t="shared" si="1"/>
        <v>Georgia </v>
      </c>
      <c r="J66" s="3">
        <f t="shared" si="3"/>
        <v>12.864</v>
      </c>
      <c r="K66" s="3">
        <f t="shared" si="4"/>
        <v>0.15</v>
      </c>
      <c r="L66" s="4">
        <f t="shared" si="5"/>
        <v>0.0221</v>
      </c>
      <c r="M66" s="3">
        <f t="shared" si="6"/>
        <v>3.33</v>
      </c>
    </row>
    <row r="67">
      <c r="B67" s="3" t="str">
        <f t="shared" si="2"/>
        <v>Georgia </v>
      </c>
      <c r="C67" s="3" t="str">
        <f>IFERROR(__xludf.DUMMYFUNCTION("""COMPUTED_VALUE"""),"Georgia [+]")</f>
        <v>Georgia [+]</v>
      </c>
      <c r="D67" s="5">
        <f>IFERROR(__xludf.DUMMYFUNCTION("""COMPUTED_VALUE"""),12864.0)</f>
        <v>12864</v>
      </c>
      <c r="E67" s="3" t="str">
        <f>IFERROR(__xludf.DUMMYFUNCTION("""COMPUTED_VALUE"""),"0,15")</f>
        <v>0,15</v>
      </c>
      <c r="F67" s="3" t="str">
        <f>IFERROR(__xludf.DUMMYFUNCTION("""COMPUTED_VALUE"""),"3,33")</f>
        <v>3,33</v>
      </c>
      <c r="G67" s="3"/>
      <c r="H67" s="3" t="str">
        <f>IFERROR(__xludf.DUMMYFUNCTION("""COMPUTED_VALUE"""),"2,21%")</f>
        <v>2,21%</v>
      </c>
      <c r="I67" s="3" t="str">
        <f t="shared" si="1"/>
        <v>Ghana </v>
      </c>
      <c r="J67" s="3">
        <f t="shared" si="3"/>
        <v>24.164</v>
      </c>
      <c r="K67" s="3">
        <f t="shared" si="4"/>
        <v>0.11</v>
      </c>
      <c r="L67" s="4">
        <f t="shared" si="5"/>
        <v>-0.0445</v>
      </c>
      <c r="M67" s="3">
        <f t="shared" si="6"/>
        <v>0.74</v>
      </c>
    </row>
    <row r="68">
      <c r="B68" s="3" t="str">
        <f t="shared" si="2"/>
        <v>Ghana </v>
      </c>
      <c r="C68" s="3" t="str">
        <f>IFERROR(__xludf.DUMMYFUNCTION("""COMPUTED_VALUE"""),"Ghana [+]")</f>
        <v>Ghana [+]</v>
      </c>
      <c r="D68" s="5">
        <f>IFERROR(__xludf.DUMMYFUNCTION("""COMPUTED_VALUE"""),24164.0)</f>
        <v>24164</v>
      </c>
      <c r="E68" s="3" t="str">
        <f>IFERROR(__xludf.DUMMYFUNCTION("""COMPUTED_VALUE"""),"0,11")</f>
        <v>0,11</v>
      </c>
      <c r="F68" s="3" t="str">
        <f>IFERROR(__xludf.DUMMYFUNCTION("""COMPUTED_VALUE"""),"0,74")</f>
        <v>0,74</v>
      </c>
      <c r="G68" s="3"/>
      <c r="H68" s="3" t="str">
        <f>IFERROR(__xludf.DUMMYFUNCTION("""COMPUTED_VALUE"""),"-4,45%")</f>
        <v>-4,45%</v>
      </c>
      <c r="I68" s="3" t="str">
        <f t="shared" si="1"/>
        <v>Gambia </v>
      </c>
      <c r="J68" s="3">
        <f t="shared" si="3"/>
        <v>606</v>
      </c>
      <c r="K68" s="3">
        <f t="shared" si="4"/>
        <v>0.08</v>
      </c>
      <c r="L68" s="4">
        <f t="shared" si="5"/>
        <v>-0.0562</v>
      </c>
      <c r="M68" s="3">
        <f t="shared" si="6"/>
        <v>0.24</v>
      </c>
    </row>
    <row r="69">
      <c r="B69" s="3" t="str">
        <f t="shared" si="2"/>
        <v>Gambia </v>
      </c>
      <c r="C69" s="3" t="str">
        <f>IFERROR(__xludf.DUMMYFUNCTION("""COMPUTED_VALUE"""),"Gambia [+]")</f>
        <v>Gambia [+]</v>
      </c>
      <c r="D69" s="5">
        <f>IFERROR(__xludf.DUMMYFUNCTION("""COMPUTED_VALUE"""),606.0)</f>
        <v>606</v>
      </c>
      <c r="E69" s="3" t="str">
        <f>IFERROR(__xludf.DUMMYFUNCTION("""COMPUTED_VALUE"""),"0,08")</f>
        <v>0,08</v>
      </c>
      <c r="F69" s="3" t="str">
        <f>IFERROR(__xludf.DUMMYFUNCTION("""COMPUTED_VALUE"""),"0,24")</f>
        <v>0,24</v>
      </c>
      <c r="G69" s="3"/>
      <c r="H69" s="3" t="str">
        <f>IFERROR(__xludf.DUMMYFUNCTION("""COMPUTED_VALUE"""),"-5,62%")</f>
        <v>-5,62%</v>
      </c>
      <c r="I69" s="3" t="str">
        <f t="shared" si="1"/>
        <v>Guinea </v>
      </c>
      <c r="J69" s="3">
        <f t="shared" si="3"/>
        <v>3.715</v>
      </c>
      <c r="K69" s="3">
        <f t="shared" si="4"/>
        <v>0.07</v>
      </c>
      <c r="L69" s="4">
        <f t="shared" si="5"/>
        <v>-0.049</v>
      </c>
      <c r="M69" s="3">
        <f t="shared" si="6"/>
        <v>0.25</v>
      </c>
    </row>
    <row r="70">
      <c r="B70" s="3" t="str">
        <f t="shared" si="2"/>
        <v>Guinea </v>
      </c>
      <c r="C70" s="3" t="str">
        <f>IFERROR(__xludf.DUMMYFUNCTION("""COMPUTED_VALUE"""),"Guinea [+]")</f>
        <v>Guinea [+]</v>
      </c>
      <c r="D70" s="5">
        <f>IFERROR(__xludf.DUMMYFUNCTION("""COMPUTED_VALUE"""),3715.0)</f>
        <v>3715</v>
      </c>
      <c r="E70" s="3" t="str">
        <f>IFERROR(__xludf.DUMMYFUNCTION("""COMPUTED_VALUE"""),"0,07")</f>
        <v>0,07</v>
      </c>
      <c r="F70" s="3" t="str">
        <f>IFERROR(__xludf.DUMMYFUNCTION("""COMPUTED_VALUE"""),"0,25")</f>
        <v>0,25</v>
      </c>
      <c r="G70" s="3"/>
      <c r="H70" s="3" t="str">
        <f>IFERROR(__xludf.DUMMYFUNCTION("""COMPUTED_VALUE"""),"-4,90%")</f>
        <v>-4,90%</v>
      </c>
      <c r="I70" s="3" t="str">
        <f t="shared" si="1"/>
        <v>Guinea Ecuatorial </v>
      </c>
      <c r="J70" s="3">
        <f t="shared" si="3"/>
        <v>3.777</v>
      </c>
      <c r="K70" s="3">
        <f t="shared" si="4"/>
        <v>0.13</v>
      </c>
      <c r="L70" s="4">
        <f t="shared" si="5"/>
        <v>-0.12</v>
      </c>
      <c r="M70" s="3">
        <f t="shared" si="6"/>
        <v>2.44</v>
      </c>
    </row>
    <row r="71">
      <c r="B71" s="3" t="str">
        <f t="shared" si="2"/>
        <v>Guinea Ecuatorial </v>
      </c>
      <c r="C71" s="3" t="str">
        <f>IFERROR(__xludf.DUMMYFUNCTION("""COMPUTED_VALUE"""),"Guinea Ecuatorial [+]")</f>
        <v>Guinea Ecuatorial [+]</v>
      </c>
      <c r="D71" s="5">
        <f>IFERROR(__xludf.DUMMYFUNCTION("""COMPUTED_VALUE"""),3777.0)</f>
        <v>3777</v>
      </c>
      <c r="E71" s="3" t="str">
        <f>IFERROR(__xludf.DUMMYFUNCTION("""COMPUTED_VALUE"""),"0,13")</f>
        <v>0,13</v>
      </c>
      <c r="F71" s="3" t="str">
        <f>IFERROR(__xludf.DUMMYFUNCTION("""COMPUTED_VALUE"""),"2,44")</f>
        <v>2,44</v>
      </c>
      <c r="G71" s="3"/>
      <c r="H71" s="3" t="str">
        <f>IFERROR(__xludf.DUMMYFUNCTION("""COMPUTED_VALUE"""),"-12,00%")</f>
        <v>-12,00%</v>
      </c>
      <c r="I71" s="3" t="str">
        <f t="shared" si="1"/>
        <v>Grecia </v>
      </c>
      <c r="J71" s="3">
        <f t="shared" si="3"/>
        <v>51.674</v>
      </c>
      <c r="K71" s="3">
        <f t="shared" si="4"/>
        <v>0.14</v>
      </c>
      <c r="L71" s="4">
        <f t="shared" si="5"/>
        <v>-0.0565</v>
      </c>
      <c r="M71" s="3">
        <f t="shared" si="6"/>
        <v>4.69</v>
      </c>
    </row>
    <row r="72">
      <c r="B72" s="3" t="str">
        <f t="shared" si="2"/>
        <v>Grecia </v>
      </c>
      <c r="C72" s="3" t="str">
        <f>IFERROR(__xludf.DUMMYFUNCTION("""COMPUTED_VALUE"""),"Grecia [+]")</f>
        <v>Grecia [+]</v>
      </c>
      <c r="D72" s="5">
        <f>IFERROR(__xludf.DUMMYFUNCTION("""COMPUTED_VALUE"""),51674.0)</f>
        <v>51674</v>
      </c>
      <c r="E72" s="3" t="str">
        <f>IFERROR(__xludf.DUMMYFUNCTION("""COMPUTED_VALUE"""),"0,14")</f>
        <v>0,14</v>
      </c>
      <c r="F72" s="3" t="str">
        <f>IFERROR(__xludf.DUMMYFUNCTION("""COMPUTED_VALUE"""),"4,69")</f>
        <v>4,69</v>
      </c>
      <c r="G72" s="3"/>
      <c r="H72" s="3" t="str">
        <f>IFERROR(__xludf.DUMMYFUNCTION("""COMPUTED_VALUE"""),"-5,65%")</f>
        <v>-5,65%</v>
      </c>
      <c r="I72" s="3" t="str">
        <f t="shared" si="1"/>
        <v>Guatemala </v>
      </c>
      <c r="J72" s="3">
        <f t="shared" si="3"/>
        <v>21.349</v>
      </c>
      <c r="K72" s="3">
        <f t="shared" si="4"/>
        <v>0.1</v>
      </c>
      <c r="L72" s="4">
        <f t="shared" si="5"/>
        <v>0.0499</v>
      </c>
      <c r="M72" s="3">
        <f t="shared" si="6"/>
        <v>1.13</v>
      </c>
    </row>
    <row r="73">
      <c r="B73" s="3" t="str">
        <f t="shared" si="2"/>
        <v>Guatemala </v>
      </c>
      <c r="C73" s="3" t="str">
        <f>IFERROR(__xludf.DUMMYFUNCTION("""COMPUTED_VALUE"""),"Guatemala [+]")</f>
        <v>Guatemala [+]</v>
      </c>
      <c r="D73" s="5">
        <f>IFERROR(__xludf.DUMMYFUNCTION("""COMPUTED_VALUE"""),21349.0)</f>
        <v>21349</v>
      </c>
      <c r="E73" s="3" t="str">
        <f>IFERROR(__xludf.DUMMYFUNCTION("""COMPUTED_VALUE"""),"0,10")</f>
        <v>0,10</v>
      </c>
      <c r="F73" s="3" t="str">
        <f>IFERROR(__xludf.DUMMYFUNCTION("""COMPUTED_VALUE"""),"1,13")</f>
        <v>1,13</v>
      </c>
      <c r="G73" s="3"/>
      <c r="H73" s="3" t="str">
        <f>IFERROR(__xludf.DUMMYFUNCTION("""COMPUTED_VALUE"""),"4,99%")</f>
        <v>4,99%</v>
      </c>
      <c r="I73" s="3" t="str">
        <f t="shared" si="1"/>
        <v>Guinea-Bisáu </v>
      </c>
      <c r="J73" s="3">
        <f t="shared" si="3"/>
        <v>346</v>
      </c>
      <c r="K73" s="3">
        <f t="shared" si="4"/>
        <v>0.07</v>
      </c>
      <c r="L73" s="4">
        <f t="shared" si="5"/>
        <v>-0.051</v>
      </c>
      <c r="M73" s="3">
        <f t="shared" si="6"/>
        <v>0.16</v>
      </c>
    </row>
    <row r="74">
      <c r="B74" s="3" t="str">
        <f t="shared" si="2"/>
        <v>Guinea-Bisáu </v>
      </c>
      <c r="C74" s="3" t="str">
        <f>IFERROR(__xludf.DUMMYFUNCTION("""COMPUTED_VALUE"""),"Guinea-Bisáu [+]")</f>
        <v>Guinea-Bisáu [+]</v>
      </c>
      <c r="D74" s="5">
        <f>IFERROR(__xludf.DUMMYFUNCTION("""COMPUTED_VALUE"""),346.0)</f>
        <v>346</v>
      </c>
      <c r="E74" s="3" t="str">
        <f>IFERROR(__xludf.DUMMYFUNCTION("""COMPUTED_VALUE"""),"0,07")</f>
        <v>0,07</v>
      </c>
      <c r="F74" s="3" t="str">
        <f>IFERROR(__xludf.DUMMYFUNCTION("""COMPUTED_VALUE"""),"0,16")</f>
        <v>0,16</v>
      </c>
      <c r="G74" s="3"/>
      <c r="H74" s="3" t="str">
        <f>IFERROR(__xludf.DUMMYFUNCTION("""COMPUTED_VALUE"""),"-5,10%")</f>
        <v>-5,10%</v>
      </c>
      <c r="I74" s="3" t="str">
        <f t="shared" si="1"/>
        <v>Guyana </v>
      </c>
      <c r="J74" s="3">
        <f t="shared" si="3"/>
        <v>3.304</v>
      </c>
      <c r="K74" s="3">
        <f t="shared" si="4"/>
        <v>0.08</v>
      </c>
      <c r="L74" s="4">
        <f t="shared" si="5"/>
        <v>-0.0104</v>
      </c>
      <c r="M74" s="3">
        <f t="shared" si="6"/>
        <v>4.11</v>
      </c>
    </row>
    <row r="75">
      <c r="B75" s="3" t="str">
        <f t="shared" si="2"/>
        <v>Guyana </v>
      </c>
      <c r="C75" s="3" t="str">
        <f>IFERROR(__xludf.DUMMYFUNCTION("""COMPUTED_VALUE"""),"Guyana [+]")</f>
        <v>Guyana [+]</v>
      </c>
      <c r="D75" s="5">
        <f>IFERROR(__xludf.DUMMYFUNCTION("""COMPUTED_VALUE"""),3304.0)</f>
        <v>3304</v>
      </c>
      <c r="E75" s="3" t="str">
        <f>IFERROR(__xludf.DUMMYFUNCTION("""COMPUTED_VALUE"""),"0,08")</f>
        <v>0,08</v>
      </c>
      <c r="F75" s="3" t="str">
        <f>IFERROR(__xludf.DUMMYFUNCTION("""COMPUTED_VALUE"""),"4,11")</f>
        <v>4,11</v>
      </c>
      <c r="G75" s="3"/>
      <c r="H75" s="3" t="str">
        <f>IFERROR(__xludf.DUMMYFUNCTION("""COMPUTED_VALUE"""),"-1,04%")</f>
        <v>-1,04%</v>
      </c>
      <c r="I75" s="3" t="str">
        <f t="shared" si="1"/>
        <v>Hong Kong </v>
      </c>
      <c r="J75" s="3">
        <f t="shared" si="3"/>
        <v>34.673</v>
      </c>
      <c r="K75" s="3">
        <f t="shared" si="4"/>
        <v>0.07</v>
      </c>
      <c r="L75" s="4">
        <f t="shared" si="5"/>
        <v>0.0569</v>
      </c>
      <c r="M75" s="3">
        <f t="shared" si="6"/>
        <v>4.51</v>
      </c>
    </row>
    <row r="76">
      <c r="B76" s="3" t="str">
        <f t="shared" si="2"/>
        <v>Hong Kong </v>
      </c>
      <c r="C76" s="3" t="str">
        <f>IFERROR(__xludf.DUMMYFUNCTION("""COMPUTED_VALUE"""),"Hong Kong [+]")</f>
        <v>Hong Kong [+]</v>
      </c>
      <c r="D76" s="5">
        <f>IFERROR(__xludf.DUMMYFUNCTION("""COMPUTED_VALUE"""),34673.0)</f>
        <v>34673</v>
      </c>
      <c r="E76" s="3" t="str">
        <f>IFERROR(__xludf.DUMMYFUNCTION("""COMPUTED_VALUE"""),"0,07")</f>
        <v>0,07</v>
      </c>
      <c r="F76" s="3" t="str">
        <f>IFERROR(__xludf.DUMMYFUNCTION("""COMPUTED_VALUE"""),"4,51")</f>
        <v>4,51</v>
      </c>
      <c r="G76" s="3"/>
      <c r="H76" s="3" t="str">
        <f>IFERROR(__xludf.DUMMYFUNCTION("""COMPUTED_VALUE"""),"5,69%")</f>
        <v>5,69%</v>
      </c>
      <c r="I76" s="3" t="str">
        <f t="shared" si="1"/>
        <v>Honduras </v>
      </c>
      <c r="J76" s="3">
        <f t="shared" si="3"/>
        <v>10.946</v>
      </c>
      <c r="K76" s="3">
        <f t="shared" si="4"/>
        <v>0.16</v>
      </c>
      <c r="L76" s="4">
        <f t="shared" si="5"/>
        <v>0.0444</v>
      </c>
      <c r="M76" s="3">
        <f t="shared" si="6"/>
        <v>1.08</v>
      </c>
    </row>
    <row r="77">
      <c r="B77" s="3" t="str">
        <f t="shared" si="2"/>
        <v>Honduras </v>
      </c>
      <c r="C77" s="3" t="str">
        <f>IFERROR(__xludf.DUMMYFUNCTION("""COMPUTED_VALUE"""),"Honduras [+]")</f>
        <v>Honduras [+]</v>
      </c>
      <c r="D77" s="5">
        <f>IFERROR(__xludf.DUMMYFUNCTION("""COMPUTED_VALUE"""),10946.0)</f>
        <v>10946</v>
      </c>
      <c r="E77" s="3" t="str">
        <f>IFERROR(__xludf.DUMMYFUNCTION("""COMPUTED_VALUE"""),"0,16")</f>
        <v>0,16</v>
      </c>
      <c r="F77" s="3" t="str">
        <f>IFERROR(__xludf.DUMMYFUNCTION("""COMPUTED_VALUE"""),"1,08")</f>
        <v>1,08</v>
      </c>
      <c r="G77" s="3"/>
      <c r="H77" s="3" t="str">
        <f>IFERROR(__xludf.DUMMYFUNCTION("""COMPUTED_VALUE"""),"4,44%")</f>
        <v>4,44%</v>
      </c>
      <c r="I77" s="3" t="str">
        <f t="shared" si="1"/>
        <v>Croacia </v>
      </c>
      <c r="J77" s="3">
        <f t="shared" si="3"/>
        <v>17.457</v>
      </c>
      <c r="K77" s="3">
        <f t="shared" si="4"/>
        <v>0.11</v>
      </c>
      <c r="L77" s="4">
        <f t="shared" si="5"/>
        <v>0.0062</v>
      </c>
      <c r="M77" s="3">
        <f t="shared" si="6"/>
        <v>4.31</v>
      </c>
    </row>
    <row r="78">
      <c r="B78" s="3" t="str">
        <f t="shared" si="2"/>
        <v>Croacia </v>
      </c>
      <c r="C78" s="3" t="str">
        <f>IFERROR(__xludf.DUMMYFUNCTION("""COMPUTED_VALUE"""),"Croacia [+]")</f>
        <v>Croacia [+]</v>
      </c>
      <c r="D78" s="5">
        <f>IFERROR(__xludf.DUMMYFUNCTION("""COMPUTED_VALUE"""),17457.0)</f>
        <v>17457</v>
      </c>
      <c r="E78" s="3" t="str">
        <f>IFERROR(__xludf.DUMMYFUNCTION("""COMPUTED_VALUE"""),"0,11")</f>
        <v>0,11</v>
      </c>
      <c r="F78" s="3" t="str">
        <f>IFERROR(__xludf.DUMMYFUNCTION("""COMPUTED_VALUE"""),"4,31")</f>
        <v>4,31</v>
      </c>
      <c r="G78" s="3"/>
      <c r="H78" s="3" t="str">
        <f>IFERROR(__xludf.DUMMYFUNCTION("""COMPUTED_VALUE"""),"0,62%")</f>
        <v>0,62%</v>
      </c>
      <c r="I78" s="3" t="str">
        <f t="shared" si="1"/>
        <v>Haití </v>
      </c>
      <c r="J78" s="3">
        <f t="shared" si="3"/>
        <v>3.536</v>
      </c>
      <c r="K78" s="3">
        <f t="shared" si="4"/>
        <v>0.1</v>
      </c>
      <c r="L78" s="4">
        <f t="shared" si="5"/>
        <v>0.0317</v>
      </c>
      <c r="M78" s="3">
        <f t="shared" si="6"/>
        <v>0.3</v>
      </c>
    </row>
    <row r="79">
      <c r="B79" s="3" t="str">
        <f t="shared" si="2"/>
        <v>Haití </v>
      </c>
      <c r="C79" s="3" t="str">
        <f>IFERROR(__xludf.DUMMYFUNCTION("""COMPUTED_VALUE"""),"Haití [+]")</f>
        <v>Haití [+]</v>
      </c>
      <c r="D79" s="5">
        <f>IFERROR(__xludf.DUMMYFUNCTION("""COMPUTED_VALUE"""),3536.0)</f>
        <v>3536</v>
      </c>
      <c r="E79" s="3" t="str">
        <f>IFERROR(__xludf.DUMMYFUNCTION("""COMPUTED_VALUE"""),"0,10")</f>
        <v>0,10</v>
      </c>
      <c r="F79" s="3" t="str">
        <f>IFERROR(__xludf.DUMMYFUNCTION("""COMPUTED_VALUE"""),"0,30")</f>
        <v>0,30</v>
      </c>
      <c r="G79" s="3"/>
      <c r="H79" s="3" t="str">
        <f>IFERROR(__xludf.DUMMYFUNCTION("""COMPUTED_VALUE"""),"3,17%")</f>
        <v>3,17%</v>
      </c>
      <c r="I79" s="3" t="str">
        <f t="shared" si="1"/>
        <v>Hungría </v>
      </c>
      <c r="J79" s="3">
        <f t="shared" si="3"/>
        <v>43.825</v>
      </c>
      <c r="K79" s="3">
        <f t="shared" si="4"/>
        <v>0.11</v>
      </c>
      <c r="L79" s="4">
        <f t="shared" si="5"/>
        <v>-0.0758</v>
      </c>
      <c r="M79" s="3">
        <f t="shared" si="6"/>
        <v>4.61</v>
      </c>
    </row>
    <row r="80">
      <c r="B80" s="3" t="str">
        <f t="shared" si="2"/>
        <v>Hungría </v>
      </c>
      <c r="C80" s="3" t="str">
        <f>IFERROR(__xludf.DUMMYFUNCTION("""COMPUTED_VALUE"""),"Hungría [+]")</f>
        <v>Hungría [+]</v>
      </c>
      <c r="D80" s="5">
        <f>IFERROR(__xludf.DUMMYFUNCTION("""COMPUTED_VALUE"""),43825.0)</f>
        <v>43825</v>
      </c>
      <c r="E80" s="3" t="str">
        <f>IFERROR(__xludf.DUMMYFUNCTION("""COMPUTED_VALUE"""),"0,11")</f>
        <v>0,11</v>
      </c>
      <c r="F80" s="3" t="str">
        <f>IFERROR(__xludf.DUMMYFUNCTION("""COMPUTED_VALUE"""),"4,61")</f>
        <v>4,61</v>
      </c>
      <c r="G80" s="3"/>
      <c r="H80" s="3" t="str">
        <f>IFERROR(__xludf.DUMMYFUNCTION("""COMPUTED_VALUE"""),"-7,58%")</f>
        <v>-7,58%</v>
      </c>
      <c r="I80" s="3" t="str">
        <f t="shared" si="1"/>
        <v>Indonesia </v>
      </c>
      <c r="J80" s="3">
        <f t="shared" si="3"/>
        <v>674.536</v>
      </c>
      <c r="K80" s="3">
        <f t="shared" si="4"/>
        <v>0.17</v>
      </c>
      <c r="L80" s="4">
        <f t="shared" si="5"/>
        <v>0.018</v>
      </c>
      <c r="M80" s="3">
        <f t="shared" si="6"/>
        <v>2.41</v>
      </c>
    </row>
    <row r="81">
      <c r="B81" s="3" t="str">
        <f t="shared" si="2"/>
        <v>Indonesia </v>
      </c>
      <c r="C81" s="3" t="str">
        <f>IFERROR(__xludf.DUMMYFUNCTION("""COMPUTED_VALUE"""),"Indonesia [+]")</f>
        <v>Indonesia [+]</v>
      </c>
      <c r="D81" s="5">
        <f>IFERROR(__xludf.DUMMYFUNCTION("""COMPUTED_VALUE"""),674536.0)</f>
        <v>674536</v>
      </c>
      <c r="E81" s="3" t="str">
        <f>IFERROR(__xludf.DUMMYFUNCTION("""COMPUTED_VALUE"""),"0,17")</f>
        <v>0,17</v>
      </c>
      <c r="F81" s="3" t="str">
        <f>IFERROR(__xludf.DUMMYFUNCTION("""COMPUTED_VALUE"""),"2,41")</f>
        <v>2,41</v>
      </c>
      <c r="G81" s="3"/>
      <c r="H81" s="3" t="str">
        <f>IFERROR(__xludf.DUMMYFUNCTION("""COMPUTED_VALUE"""),"1,80%")</f>
        <v>1,80%</v>
      </c>
      <c r="I81" s="3" t="str">
        <f t="shared" si="1"/>
        <v>Irlanda </v>
      </c>
      <c r="J81" s="3">
        <f t="shared" si="3"/>
        <v>32.483</v>
      </c>
      <c r="K81" s="3">
        <f t="shared" si="4"/>
        <v>0.05</v>
      </c>
      <c r="L81" s="4">
        <f t="shared" si="5"/>
        <v>-0.0714</v>
      </c>
      <c r="M81" s="3">
        <f t="shared" si="6"/>
        <v>6.5</v>
      </c>
    </row>
    <row r="82">
      <c r="B82" s="3" t="str">
        <f t="shared" si="2"/>
        <v>Irlanda </v>
      </c>
      <c r="C82" s="3" t="str">
        <f>IFERROR(__xludf.DUMMYFUNCTION("""COMPUTED_VALUE"""),"Irlanda [+]")</f>
        <v>Irlanda [+]</v>
      </c>
      <c r="D82" s="5">
        <f>IFERROR(__xludf.DUMMYFUNCTION("""COMPUTED_VALUE"""),32483.0)</f>
        <v>32483</v>
      </c>
      <c r="E82" s="3" t="str">
        <f>IFERROR(__xludf.DUMMYFUNCTION("""COMPUTED_VALUE"""),"0,05")</f>
        <v>0,05</v>
      </c>
      <c r="F82" s="3" t="str">
        <f>IFERROR(__xludf.DUMMYFUNCTION("""COMPUTED_VALUE"""),"6,50")</f>
        <v>6,50</v>
      </c>
      <c r="G82" s="3"/>
      <c r="H82" s="3" t="str">
        <f>IFERROR(__xludf.DUMMYFUNCTION("""COMPUTED_VALUE"""),"-7,14%")</f>
        <v>-7,14%</v>
      </c>
      <c r="I82" s="3" t="str">
        <f t="shared" si="1"/>
        <v>Israel </v>
      </c>
      <c r="J82" s="3">
        <f t="shared" si="3"/>
        <v>61.255</v>
      </c>
      <c r="K82" s="3">
        <f t="shared" si="4"/>
        <v>0.12</v>
      </c>
      <c r="L82" s="4">
        <f t="shared" si="5"/>
        <v>-0.043</v>
      </c>
      <c r="M82" s="3">
        <f t="shared" si="6"/>
        <v>4.13</v>
      </c>
    </row>
    <row r="83">
      <c r="B83" s="3" t="str">
        <f t="shared" si="2"/>
        <v>Israel </v>
      </c>
      <c r="C83" s="3" t="str">
        <f>IFERROR(__xludf.DUMMYFUNCTION("""COMPUTED_VALUE"""),"Israel [+]")</f>
        <v>Israel [+]</v>
      </c>
      <c r="D83" s="5">
        <f>IFERROR(__xludf.DUMMYFUNCTION("""COMPUTED_VALUE"""),61255.0)</f>
        <v>61255</v>
      </c>
      <c r="E83" s="3" t="str">
        <f>IFERROR(__xludf.DUMMYFUNCTION("""COMPUTED_VALUE"""),"0,12")</f>
        <v>0,12</v>
      </c>
      <c r="F83" s="3" t="str">
        <f>IFERROR(__xludf.DUMMYFUNCTION("""COMPUTED_VALUE"""),"4,13")</f>
        <v>4,13</v>
      </c>
      <c r="G83" s="3"/>
      <c r="H83" s="3" t="str">
        <f>IFERROR(__xludf.DUMMYFUNCTION("""COMPUTED_VALUE"""),"-4,30%")</f>
        <v>-4,30%</v>
      </c>
      <c r="I83" s="3" t="str">
        <f t="shared" si="1"/>
        <v>India </v>
      </c>
      <c r="J83" s="3">
        <f t="shared" si="3"/>
        <v>2955.182</v>
      </c>
      <c r="K83" s="3">
        <f t="shared" si="4"/>
        <v>0.23</v>
      </c>
      <c r="L83" s="4">
        <f t="shared" si="5"/>
        <v>0.0678</v>
      </c>
      <c r="M83" s="3">
        <f t="shared" si="6"/>
        <v>2.07</v>
      </c>
    </row>
    <row r="84">
      <c r="B84" s="3" t="str">
        <f t="shared" si="2"/>
        <v>India </v>
      </c>
      <c r="C84" s="3" t="str">
        <f>IFERROR(__xludf.DUMMYFUNCTION("""COMPUTED_VALUE"""),"India [+]")</f>
        <v>India [+]</v>
      </c>
      <c r="D84" s="3" t="str">
        <f>IFERROR(__xludf.DUMMYFUNCTION("""COMPUTED_VALUE"""),"2.955,182")</f>
        <v>2.955,182</v>
      </c>
      <c r="E84" s="3" t="str">
        <f>IFERROR(__xludf.DUMMYFUNCTION("""COMPUTED_VALUE"""),"0,23")</f>
        <v>0,23</v>
      </c>
      <c r="F84" s="3" t="str">
        <f>IFERROR(__xludf.DUMMYFUNCTION("""COMPUTED_VALUE"""),"2,07")</f>
        <v>2,07</v>
      </c>
      <c r="G84" s="3"/>
      <c r="H84" s="3" t="str">
        <f>IFERROR(__xludf.DUMMYFUNCTION("""COMPUTED_VALUE"""),"6,78%")</f>
        <v>6,78%</v>
      </c>
      <c r="I84" s="3" t="str">
        <f t="shared" si="1"/>
        <v>Irak </v>
      </c>
      <c r="J84" s="3">
        <f t="shared" si="3"/>
        <v>192.908</v>
      </c>
      <c r="K84" s="3">
        <f t="shared" si="4"/>
        <v>0.34</v>
      </c>
      <c r="L84" s="4">
        <f t="shared" si="5"/>
        <v>-0.0129</v>
      </c>
      <c r="M84" s="3">
        <f t="shared" si="6"/>
        <v>4.3</v>
      </c>
    </row>
    <row r="85">
      <c r="B85" s="3" t="str">
        <f t="shared" si="2"/>
        <v>Irak </v>
      </c>
      <c r="C85" s="3" t="str">
        <f>IFERROR(__xludf.DUMMYFUNCTION("""COMPUTED_VALUE"""),"Irak [+]")</f>
        <v>Irak [+]</v>
      </c>
      <c r="D85" s="5">
        <f>IFERROR(__xludf.DUMMYFUNCTION("""COMPUTED_VALUE"""),192908.0)</f>
        <v>192908</v>
      </c>
      <c r="E85" s="3" t="str">
        <f>IFERROR(__xludf.DUMMYFUNCTION("""COMPUTED_VALUE"""),"0,34")</f>
        <v>0,34</v>
      </c>
      <c r="F85" s="3" t="str">
        <f>IFERROR(__xludf.DUMMYFUNCTION("""COMPUTED_VALUE"""),"4,30")</f>
        <v>4,30</v>
      </c>
      <c r="G85" s="3"/>
      <c r="H85" s="3" t="str">
        <f>IFERROR(__xludf.DUMMYFUNCTION("""COMPUTED_VALUE"""),"-1,29%")</f>
        <v>-1,29%</v>
      </c>
      <c r="I85" s="3" t="str">
        <f t="shared" si="1"/>
        <v>Irán </v>
      </c>
      <c r="J85" s="3">
        <f t="shared" si="3"/>
        <v>778.802</v>
      </c>
      <c r="K85" s="3">
        <f t="shared" si="4"/>
        <v>0.54</v>
      </c>
      <c r="L85" s="4">
        <f t="shared" si="5"/>
        <v>0.0165</v>
      </c>
      <c r="M85" s="3">
        <f t="shared" si="6"/>
        <v>9.1</v>
      </c>
    </row>
    <row r="86">
      <c r="B86" s="3" t="str">
        <f t="shared" si="2"/>
        <v>Irán </v>
      </c>
      <c r="C86" s="3" t="str">
        <f>IFERROR(__xludf.DUMMYFUNCTION("""COMPUTED_VALUE"""),"Irán [+]")</f>
        <v>Irán [+]</v>
      </c>
      <c r="D86" s="5">
        <f>IFERROR(__xludf.DUMMYFUNCTION("""COMPUTED_VALUE"""),778802.0)</f>
        <v>778802</v>
      </c>
      <c r="E86" s="3" t="str">
        <f>IFERROR(__xludf.DUMMYFUNCTION("""COMPUTED_VALUE"""),"0,54")</f>
        <v>0,54</v>
      </c>
      <c r="F86" s="3" t="str">
        <f>IFERROR(__xludf.DUMMYFUNCTION("""COMPUTED_VALUE"""),"9,10")</f>
        <v>9,10</v>
      </c>
      <c r="G86" s="3"/>
      <c r="H86" s="3" t="str">
        <f>IFERROR(__xludf.DUMMYFUNCTION("""COMPUTED_VALUE"""),"1,65%")</f>
        <v>1,65%</v>
      </c>
      <c r="I86" s="3" t="str">
        <f t="shared" si="1"/>
        <v>Islandia </v>
      </c>
      <c r="J86" s="3">
        <f t="shared" si="3"/>
        <v>3.086</v>
      </c>
      <c r="K86" s="3">
        <f t="shared" si="4"/>
        <v>0.12</v>
      </c>
      <c r="L86" s="4">
        <f t="shared" si="5"/>
        <v>-0.0585</v>
      </c>
      <c r="M86" s="3">
        <f t="shared" si="6"/>
        <v>8.79</v>
      </c>
    </row>
    <row r="87">
      <c r="B87" s="3" t="str">
        <f t="shared" si="2"/>
        <v>Islandia </v>
      </c>
      <c r="C87" s="3" t="str">
        <f>IFERROR(__xludf.DUMMYFUNCTION("""COMPUTED_VALUE"""),"Islandia [+]")</f>
        <v>Islandia [+]</v>
      </c>
      <c r="D87" s="5">
        <f>IFERROR(__xludf.DUMMYFUNCTION("""COMPUTED_VALUE"""),3086.0)</f>
        <v>3086</v>
      </c>
      <c r="E87" s="3" t="str">
        <f>IFERROR(__xludf.DUMMYFUNCTION("""COMPUTED_VALUE"""),"0,12")</f>
        <v>0,12</v>
      </c>
      <c r="F87" s="3" t="str">
        <f>IFERROR(__xludf.DUMMYFUNCTION("""COMPUTED_VALUE"""),"8,79")</f>
        <v>8,79</v>
      </c>
      <c r="G87" s="3"/>
      <c r="H87" s="3" t="str">
        <f>IFERROR(__xludf.DUMMYFUNCTION("""COMPUTED_VALUE"""),"-5,85%")</f>
        <v>-5,85%</v>
      </c>
      <c r="I87" s="3" t="str">
        <f t="shared" si="1"/>
        <v>Jamaica </v>
      </c>
      <c r="J87" s="3">
        <f t="shared" si="3"/>
        <v>6.865</v>
      </c>
      <c r="K87" s="3">
        <f t="shared" si="4"/>
        <v>0.23</v>
      </c>
      <c r="L87" s="4">
        <f t="shared" si="5"/>
        <v>0.0764</v>
      </c>
      <c r="M87" s="3">
        <f t="shared" si="6"/>
        <v>2.34</v>
      </c>
    </row>
    <row r="88">
      <c r="B88" s="3" t="str">
        <f t="shared" si="2"/>
        <v>Jamaica </v>
      </c>
      <c r="C88" s="3" t="str">
        <f>IFERROR(__xludf.DUMMYFUNCTION("""COMPUTED_VALUE"""),"Jamaica [+]")</f>
        <v>Jamaica [+]</v>
      </c>
      <c r="D88" s="5">
        <f>IFERROR(__xludf.DUMMYFUNCTION("""COMPUTED_VALUE"""),6865.0)</f>
        <v>6865</v>
      </c>
      <c r="E88" s="3" t="str">
        <f>IFERROR(__xludf.DUMMYFUNCTION("""COMPUTED_VALUE"""),"0,23")</f>
        <v>0,23</v>
      </c>
      <c r="F88" s="3" t="str">
        <f>IFERROR(__xludf.DUMMYFUNCTION("""COMPUTED_VALUE"""),"2,34")</f>
        <v>2,34</v>
      </c>
      <c r="G88" s="3"/>
      <c r="H88" s="3" t="str">
        <f>IFERROR(__xludf.DUMMYFUNCTION("""COMPUTED_VALUE"""),"7,64%")</f>
        <v>7,64%</v>
      </c>
      <c r="I88" s="3" t="str">
        <f t="shared" si="1"/>
        <v>Jordania </v>
      </c>
      <c r="J88" s="3">
        <f t="shared" si="3"/>
        <v>23.579</v>
      </c>
      <c r="K88" s="3">
        <f t="shared" si="4"/>
        <v>0.22</v>
      </c>
      <c r="L88" s="4">
        <f t="shared" si="5"/>
        <v>0.0487</v>
      </c>
      <c r="M88" s="3">
        <f t="shared" si="6"/>
        <v>2.25</v>
      </c>
    </row>
    <row r="89">
      <c r="B89" s="3" t="str">
        <f t="shared" si="2"/>
        <v>Jordania </v>
      </c>
      <c r="C89" s="3" t="str">
        <f>IFERROR(__xludf.DUMMYFUNCTION("""COMPUTED_VALUE"""),"Jordania [+]")</f>
        <v>Jordania [+]</v>
      </c>
      <c r="D89" s="5">
        <f>IFERROR(__xludf.DUMMYFUNCTION("""COMPUTED_VALUE"""),23579.0)</f>
        <v>23579</v>
      </c>
      <c r="E89" s="3" t="str">
        <f>IFERROR(__xludf.DUMMYFUNCTION("""COMPUTED_VALUE"""),"0,22")</f>
        <v>0,22</v>
      </c>
      <c r="F89" s="3" t="str">
        <f>IFERROR(__xludf.DUMMYFUNCTION("""COMPUTED_VALUE"""),"2,25")</f>
        <v>2,25</v>
      </c>
      <c r="G89" s="3"/>
      <c r="H89" s="3" t="str">
        <f>IFERROR(__xludf.DUMMYFUNCTION("""COMPUTED_VALUE"""),"4,87%")</f>
        <v>4,87%</v>
      </c>
      <c r="I89" s="3" t="str">
        <f t="shared" si="1"/>
        <v>Kenia </v>
      </c>
      <c r="J89" s="3">
        <f t="shared" si="3"/>
        <v>21.734</v>
      </c>
      <c r="K89" s="3">
        <f t="shared" si="4"/>
        <v>0.07</v>
      </c>
      <c r="L89" s="4">
        <f t="shared" si="5"/>
        <v>-0.0072</v>
      </c>
      <c r="M89" s="3">
        <f t="shared" si="6"/>
        <v>0.38</v>
      </c>
    </row>
    <row r="90">
      <c r="B90" s="3" t="str">
        <f t="shared" si="2"/>
        <v>Kenia </v>
      </c>
      <c r="C90" s="3" t="str">
        <f>IFERROR(__xludf.DUMMYFUNCTION("""COMPUTED_VALUE"""),"Kenia [+]")</f>
        <v>Kenia [+]</v>
      </c>
      <c r="D90" s="5">
        <f>IFERROR(__xludf.DUMMYFUNCTION("""COMPUTED_VALUE"""),21734.0)</f>
        <v>21734</v>
      </c>
      <c r="E90" s="3" t="str">
        <f>IFERROR(__xludf.DUMMYFUNCTION("""COMPUTED_VALUE"""),"0,07")</f>
        <v>0,07</v>
      </c>
      <c r="F90" s="3" t="str">
        <f>IFERROR(__xludf.DUMMYFUNCTION("""COMPUTED_VALUE"""),"0,38")</f>
        <v>0,38</v>
      </c>
      <c r="G90" s="3"/>
      <c r="H90" s="3" t="str">
        <f>IFERROR(__xludf.DUMMYFUNCTION("""COMPUTED_VALUE"""),"-0,72%")</f>
        <v>-0,72%</v>
      </c>
      <c r="I90" s="3" t="str">
        <f t="shared" si="1"/>
        <v>Kirguistán </v>
      </c>
      <c r="J90" s="3">
        <f t="shared" si="3"/>
        <v>10.464</v>
      </c>
      <c r="K90" s="3">
        <f t="shared" si="4"/>
        <v>0.23</v>
      </c>
      <c r="L90" s="4">
        <f t="shared" si="5"/>
        <v>0.0032</v>
      </c>
      <c r="M90" s="3">
        <f t="shared" si="6"/>
        <v>1.6</v>
      </c>
    </row>
    <row r="91">
      <c r="B91" s="3" t="str">
        <f t="shared" si="2"/>
        <v>Kirguistán </v>
      </c>
      <c r="C91" s="3" t="str">
        <f>IFERROR(__xludf.DUMMYFUNCTION("""COMPUTED_VALUE"""),"Kirguistán [+]")</f>
        <v>Kirguistán [+]</v>
      </c>
      <c r="D91" s="5">
        <f>IFERROR(__xludf.DUMMYFUNCTION("""COMPUTED_VALUE"""),10464.0)</f>
        <v>10464</v>
      </c>
      <c r="E91" s="3" t="str">
        <f>IFERROR(__xludf.DUMMYFUNCTION("""COMPUTED_VALUE"""),"0,23")</f>
        <v>0,23</v>
      </c>
      <c r="F91" s="3" t="str">
        <f>IFERROR(__xludf.DUMMYFUNCTION("""COMPUTED_VALUE"""),"1,60")</f>
        <v>1,60</v>
      </c>
      <c r="G91" s="3"/>
      <c r="H91" s="3" t="str">
        <f>IFERROR(__xludf.DUMMYFUNCTION("""COMPUTED_VALUE"""),"0,32%")</f>
        <v>0,32%</v>
      </c>
      <c r="I91" s="3" t="str">
        <f t="shared" si="1"/>
        <v>Camboya </v>
      </c>
      <c r="J91" s="3">
        <f t="shared" si="3"/>
        <v>17.97</v>
      </c>
      <c r="K91" s="3">
        <f t="shared" si="4"/>
        <v>0.21</v>
      </c>
      <c r="L91" s="4">
        <f t="shared" si="5"/>
        <v>0.0225</v>
      </c>
      <c r="M91" s="3">
        <f t="shared" si="6"/>
        <v>1.03</v>
      </c>
    </row>
    <row r="92">
      <c r="B92" s="3" t="str">
        <f t="shared" si="2"/>
        <v>Camboya </v>
      </c>
      <c r="C92" s="3" t="str">
        <f>IFERROR(__xludf.DUMMYFUNCTION("""COMPUTED_VALUE"""),"Camboya [+]")</f>
        <v>Camboya [+]</v>
      </c>
      <c r="D92" s="5">
        <f>IFERROR(__xludf.DUMMYFUNCTION("""COMPUTED_VALUE"""),17970.0)</f>
        <v>17970</v>
      </c>
      <c r="E92" s="3" t="str">
        <f>IFERROR(__xludf.DUMMYFUNCTION("""COMPUTED_VALUE"""),"0,21")</f>
        <v>0,21</v>
      </c>
      <c r="F92" s="3" t="str">
        <f>IFERROR(__xludf.DUMMYFUNCTION("""COMPUTED_VALUE"""),"1,03")</f>
        <v>1,03</v>
      </c>
      <c r="G92" s="3"/>
      <c r="H92" s="3" t="str">
        <f>IFERROR(__xludf.DUMMYFUNCTION("""COMPUTED_VALUE"""),"2,25%")</f>
        <v>2,25%</v>
      </c>
      <c r="I92" s="3" t="str">
        <f t="shared" si="1"/>
        <v>Kiribati </v>
      </c>
      <c r="J92" s="3">
        <f t="shared" si="3"/>
        <v>97</v>
      </c>
      <c r="K92" s="3">
        <f t="shared" si="4"/>
        <v>0.23</v>
      </c>
      <c r="L92" s="4">
        <f t="shared" si="5"/>
        <v>0.0181</v>
      </c>
      <c r="M92" s="3">
        <f t="shared" si="6"/>
        <v>0.76</v>
      </c>
    </row>
    <row r="93">
      <c r="B93" s="3" t="str">
        <f t="shared" si="2"/>
        <v>Kiribati </v>
      </c>
      <c r="C93" s="3" t="str">
        <f>IFERROR(__xludf.DUMMYFUNCTION("""COMPUTED_VALUE"""),"Kiribati [+]")</f>
        <v>Kiribati [+]</v>
      </c>
      <c r="D93" s="5">
        <f>IFERROR(__xludf.DUMMYFUNCTION("""COMPUTED_VALUE"""),97.0)</f>
        <v>97</v>
      </c>
      <c r="E93" s="3" t="str">
        <f>IFERROR(__xludf.DUMMYFUNCTION("""COMPUTED_VALUE"""),"0,23")</f>
        <v>0,23</v>
      </c>
      <c r="F93" s="3" t="str">
        <f>IFERROR(__xludf.DUMMYFUNCTION("""COMPUTED_VALUE"""),"0,76")</f>
        <v>0,76</v>
      </c>
      <c r="G93" s="3"/>
      <c r="H93" s="3" t="str">
        <f>IFERROR(__xludf.DUMMYFUNCTION("""COMPUTED_VALUE"""),"1,81%")</f>
        <v>1,81%</v>
      </c>
      <c r="I93" s="3" t="str">
        <f t="shared" si="1"/>
        <v>Comoras </v>
      </c>
      <c r="J93" s="3">
        <f t="shared" si="3"/>
        <v>318</v>
      </c>
      <c r="K93" s="3">
        <f t="shared" si="4"/>
        <v>0.11</v>
      </c>
      <c r="L93" s="4">
        <f t="shared" si="5"/>
        <v>-0.0191</v>
      </c>
      <c r="M93" s="3">
        <f t="shared" si="6"/>
        <v>0.34</v>
      </c>
    </row>
    <row r="94">
      <c r="B94" s="3" t="str">
        <f t="shared" si="2"/>
        <v>Comoras </v>
      </c>
      <c r="C94" s="3" t="str">
        <f>IFERROR(__xludf.DUMMYFUNCTION("""COMPUTED_VALUE"""),"Comoras [+]")</f>
        <v>Comoras [+]</v>
      </c>
      <c r="D94" s="5">
        <f>IFERROR(__xludf.DUMMYFUNCTION("""COMPUTED_VALUE"""),318.0)</f>
        <v>318</v>
      </c>
      <c r="E94" s="3" t="str">
        <f>IFERROR(__xludf.DUMMYFUNCTION("""COMPUTED_VALUE"""),"0,11")</f>
        <v>0,11</v>
      </c>
      <c r="F94" s="3" t="str">
        <f>IFERROR(__xludf.DUMMYFUNCTION("""COMPUTED_VALUE"""),"0,34")</f>
        <v>0,34</v>
      </c>
      <c r="G94" s="3"/>
      <c r="H94" s="3" t="str">
        <f>IFERROR(__xludf.DUMMYFUNCTION("""COMPUTED_VALUE"""),"-1,91%")</f>
        <v>-1,91%</v>
      </c>
      <c r="I94" s="3" t="str">
        <f t="shared" si="1"/>
        <v>San Cristóbal y Nieves </v>
      </c>
      <c r="J94" s="3">
        <f t="shared" si="3"/>
        <v>119</v>
      </c>
      <c r="K94" s="3">
        <f t="shared" si="4"/>
        <v>0.08</v>
      </c>
      <c r="L94" s="4">
        <f t="shared" si="5"/>
        <v>0.0543</v>
      </c>
      <c r="M94" s="3">
        <f t="shared" si="6"/>
        <v>2.05</v>
      </c>
    </row>
    <row r="95">
      <c r="B95" s="3" t="str">
        <f t="shared" si="2"/>
        <v>San Cristóbal y Nieves </v>
      </c>
      <c r="C95" s="3" t="str">
        <f>IFERROR(__xludf.DUMMYFUNCTION("""COMPUTED_VALUE"""),"San Cristóbal y Nieves [+]")</f>
        <v>San Cristóbal y Nieves [+]</v>
      </c>
      <c r="D95" s="5">
        <f>IFERROR(__xludf.DUMMYFUNCTION("""COMPUTED_VALUE"""),119.0)</f>
        <v>119</v>
      </c>
      <c r="E95" s="3" t="str">
        <f>IFERROR(__xludf.DUMMYFUNCTION("""COMPUTED_VALUE"""),"0,08")</f>
        <v>0,08</v>
      </c>
      <c r="F95" s="3" t="str">
        <f>IFERROR(__xludf.DUMMYFUNCTION("""COMPUTED_VALUE"""),"2,05")</f>
        <v>2,05</v>
      </c>
      <c r="G95" s="3"/>
      <c r="H95" s="3" t="str">
        <f>IFERROR(__xludf.DUMMYFUNCTION("""COMPUTED_VALUE"""),"5,43%")</f>
        <v>5,43%</v>
      </c>
      <c r="I95" s="3" t="str">
        <f t="shared" si="1"/>
        <v>Corea del Norte </v>
      </c>
      <c r="J95" s="3">
        <f t="shared" si="3"/>
        <v>64.275</v>
      </c>
      <c r="K95" s="3">
        <f t="shared" si="4"/>
        <v>0.55</v>
      </c>
      <c r="L95" s="4">
        <f t="shared" si="5"/>
        <v>0.0767</v>
      </c>
      <c r="M95" s="3">
        <f t="shared" si="6"/>
        <v>2.46</v>
      </c>
    </row>
    <row r="96">
      <c r="B96" s="3" t="str">
        <f t="shared" si="2"/>
        <v>Corea del Norte </v>
      </c>
      <c r="C96" s="3" t="str">
        <f>IFERROR(__xludf.DUMMYFUNCTION("""COMPUTED_VALUE"""),"Corea del Norte [+]")</f>
        <v>Corea del Norte [+]</v>
      </c>
      <c r="D96" s="5">
        <f>IFERROR(__xludf.DUMMYFUNCTION("""COMPUTED_VALUE"""),64275.0)</f>
        <v>64275</v>
      </c>
      <c r="E96" s="3" t="str">
        <f>IFERROR(__xludf.DUMMYFUNCTION("""COMPUTED_VALUE"""),"0,55")</f>
        <v>0,55</v>
      </c>
      <c r="F96" s="3" t="str">
        <f>IFERROR(__xludf.DUMMYFUNCTION("""COMPUTED_VALUE"""),"2,46")</f>
        <v>2,46</v>
      </c>
      <c r="G96" s="3"/>
      <c r="H96" s="3" t="str">
        <f>IFERROR(__xludf.DUMMYFUNCTION("""COMPUTED_VALUE"""),"7,67%")</f>
        <v>7,67%</v>
      </c>
      <c r="I96" s="3" t="str">
        <f t="shared" si="1"/>
        <v>Corea del Sur </v>
      </c>
      <c r="J96" s="3">
        <f t="shared" si="3"/>
        <v>573.536</v>
      </c>
      <c r="K96" s="3">
        <f t="shared" si="4"/>
        <v>0.22</v>
      </c>
      <c r="L96" s="4">
        <f t="shared" si="5"/>
        <v>-0.027</v>
      </c>
      <c r="M96" s="3">
        <f t="shared" si="6"/>
        <v>11.04</v>
      </c>
    </row>
    <row r="97">
      <c r="B97" s="3" t="str">
        <f t="shared" si="2"/>
        <v>Corea del Sur </v>
      </c>
      <c r="C97" s="3" t="str">
        <f>IFERROR(__xludf.DUMMYFUNCTION("""COMPUTED_VALUE"""),"Corea del Sur [+]")</f>
        <v>Corea del Sur [+]</v>
      </c>
      <c r="D97" s="5">
        <f>IFERROR(__xludf.DUMMYFUNCTION("""COMPUTED_VALUE"""),573536.0)</f>
        <v>573536</v>
      </c>
      <c r="E97" s="3" t="str">
        <f>IFERROR(__xludf.DUMMYFUNCTION("""COMPUTED_VALUE"""),"0,22")</f>
        <v>0,22</v>
      </c>
      <c r="F97" s="3" t="str">
        <f>IFERROR(__xludf.DUMMYFUNCTION("""COMPUTED_VALUE"""),"11,04")</f>
        <v>11,04</v>
      </c>
      <c r="G97" s="3"/>
      <c r="H97" s="3" t="str">
        <f>IFERROR(__xludf.DUMMYFUNCTION("""COMPUTED_VALUE"""),"-2,70%")</f>
        <v>-2,70%</v>
      </c>
      <c r="I97" s="3" t="str">
        <f t="shared" si="1"/>
        <v>Kuwait </v>
      </c>
      <c r="J97" s="3">
        <f t="shared" si="3"/>
        <v>111.634</v>
      </c>
      <c r="K97" s="3">
        <f t="shared" si="4"/>
        <v>0.51</v>
      </c>
      <c r="L97" s="4">
        <f t="shared" si="5"/>
        <v>0.0063</v>
      </c>
      <c r="M97" s="3">
        <f t="shared" si="6"/>
        <v>24.9</v>
      </c>
    </row>
    <row r="98">
      <c r="B98" s="3" t="str">
        <f t="shared" si="2"/>
        <v>Kuwait </v>
      </c>
      <c r="C98" s="3" t="str">
        <f>IFERROR(__xludf.DUMMYFUNCTION("""COMPUTED_VALUE"""),"Kuwait [+]")</f>
        <v>Kuwait [+]</v>
      </c>
      <c r="D98" s="5">
        <f>IFERROR(__xludf.DUMMYFUNCTION("""COMPUTED_VALUE"""),111634.0)</f>
        <v>111634</v>
      </c>
      <c r="E98" s="3" t="str">
        <f>IFERROR(__xludf.DUMMYFUNCTION("""COMPUTED_VALUE"""),"0,51")</f>
        <v>0,51</v>
      </c>
      <c r="F98" s="3" t="str">
        <f>IFERROR(__xludf.DUMMYFUNCTION("""COMPUTED_VALUE"""),"24,90")</f>
        <v>24,90</v>
      </c>
      <c r="G98" s="3"/>
      <c r="H98" s="3" t="str">
        <f>IFERROR(__xludf.DUMMYFUNCTION("""COMPUTED_VALUE"""),"0,63%")</f>
        <v>0,63%</v>
      </c>
      <c r="I98" s="3" t="str">
        <f t="shared" si="1"/>
        <v>Kazajistán </v>
      </c>
      <c r="J98" s="3">
        <f t="shared" si="3"/>
        <v>239.867</v>
      </c>
      <c r="K98" s="3">
        <f t="shared" si="4"/>
        <v>0.34</v>
      </c>
      <c r="L98" s="4">
        <f t="shared" si="5"/>
        <v>-0.0101</v>
      </c>
      <c r="M98" s="3">
        <f t="shared" si="6"/>
        <v>12.43</v>
      </c>
    </row>
    <row r="99">
      <c r="B99" s="3" t="str">
        <f t="shared" si="2"/>
        <v>Kazajistán </v>
      </c>
      <c r="C99" s="3" t="str">
        <f>IFERROR(__xludf.DUMMYFUNCTION("""COMPUTED_VALUE"""),"Kazajistán [+]")</f>
        <v>Kazajistán [+]</v>
      </c>
      <c r="D99" s="5">
        <f>IFERROR(__xludf.DUMMYFUNCTION("""COMPUTED_VALUE"""),239867.0)</f>
        <v>239867</v>
      </c>
      <c r="E99" s="3" t="str">
        <f>IFERROR(__xludf.DUMMYFUNCTION("""COMPUTED_VALUE"""),"0,34")</f>
        <v>0,34</v>
      </c>
      <c r="F99" s="3" t="str">
        <f>IFERROR(__xludf.DUMMYFUNCTION("""COMPUTED_VALUE"""),"12,43")</f>
        <v>12,43</v>
      </c>
      <c r="G99" s="3"/>
      <c r="H99" s="3" t="str">
        <f>IFERROR(__xludf.DUMMYFUNCTION("""COMPUTED_VALUE"""),"-1,01%")</f>
        <v>-1,01%</v>
      </c>
      <c r="I99" s="3" t="str">
        <f t="shared" si="1"/>
        <v>Laos </v>
      </c>
      <c r="J99" s="3">
        <f t="shared" si="3"/>
        <v>26.021</v>
      </c>
      <c r="K99" s="3">
        <f t="shared" si="4"/>
        <v>0.41</v>
      </c>
      <c r="L99" s="4">
        <f t="shared" si="5"/>
        <v>0.0469</v>
      </c>
      <c r="M99" s="3">
        <f t="shared" si="6"/>
        <v>3.49</v>
      </c>
    </row>
    <row r="100">
      <c r="B100" s="3" t="str">
        <f t="shared" si="2"/>
        <v>Laos </v>
      </c>
      <c r="C100" s="3" t="str">
        <f>IFERROR(__xludf.DUMMYFUNCTION("""COMPUTED_VALUE"""),"Laos [+]")</f>
        <v>Laos [+]</v>
      </c>
      <c r="D100" s="5">
        <f>IFERROR(__xludf.DUMMYFUNCTION("""COMPUTED_VALUE"""),26021.0)</f>
        <v>26021</v>
      </c>
      <c r="E100" s="3" t="str">
        <f>IFERROR(__xludf.DUMMYFUNCTION("""COMPUTED_VALUE"""),"0,41")</f>
        <v>0,41</v>
      </c>
      <c r="F100" s="3" t="str">
        <f>IFERROR(__xludf.DUMMYFUNCTION("""COMPUTED_VALUE"""),"3,49")</f>
        <v>3,49</v>
      </c>
      <c r="G100" s="3"/>
      <c r="H100" s="3" t="str">
        <f>IFERROR(__xludf.DUMMYFUNCTION("""COMPUTED_VALUE"""),"4,69%")</f>
        <v>4,69%</v>
      </c>
      <c r="I100" s="3" t="str">
        <f t="shared" si="1"/>
        <v>Líbano </v>
      </c>
      <c r="J100" s="3">
        <f t="shared" si="3"/>
        <v>17.332</v>
      </c>
      <c r="K100" s="3">
        <f t="shared" si="4"/>
        <v>0.26</v>
      </c>
      <c r="L100" s="4">
        <f t="shared" si="5"/>
        <v>0.0437</v>
      </c>
      <c r="M100" s="3">
        <f t="shared" si="6"/>
        <v>3</v>
      </c>
    </row>
    <row r="101">
      <c r="B101" s="3" t="str">
        <f t="shared" si="2"/>
        <v>Líbano </v>
      </c>
      <c r="C101" s="3" t="str">
        <f>IFERROR(__xludf.DUMMYFUNCTION("""COMPUTED_VALUE"""),"Líbano [+]")</f>
        <v>Líbano [+]</v>
      </c>
      <c r="D101" s="5">
        <f>IFERROR(__xludf.DUMMYFUNCTION("""COMPUTED_VALUE"""),17332.0)</f>
        <v>17332</v>
      </c>
      <c r="E101" s="3" t="str">
        <f>IFERROR(__xludf.DUMMYFUNCTION("""COMPUTED_VALUE"""),"0,26")</f>
        <v>0,26</v>
      </c>
      <c r="F101" s="3" t="str">
        <f>IFERROR(__xludf.DUMMYFUNCTION("""COMPUTED_VALUE"""),"3,00")</f>
        <v>3,00</v>
      </c>
      <c r="G101" s="3"/>
      <c r="H101" s="3" t="str">
        <f>IFERROR(__xludf.DUMMYFUNCTION("""COMPUTED_VALUE"""),"4,37%")</f>
        <v>4,37%</v>
      </c>
      <c r="I101" s="3" t="str">
        <f t="shared" si="1"/>
        <v>Santa Lucía </v>
      </c>
      <c r="J101" s="3">
        <f t="shared" si="3"/>
        <v>297</v>
      </c>
      <c r="K101" s="3">
        <f t="shared" si="4"/>
        <v>0.07</v>
      </c>
      <c r="L101" s="4">
        <f t="shared" si="5"/>
        <v>0.0545</v>
      </c>
      <c r="M101" s="3">
        <f t="shared" si="6"/>
        <v>1.62</v>
      </c>
    </row>
    <row r="102">
      <c r="B102" s="3" t="str">
        <f t="shared" si="2"/>
        <v>Santa Lucía </v>
      </c>
      <c r="C102" s="3" t="str">
        <f>IFERROR(__xludf.DUMMYFUNCTION("""COMPUTED_VALUE"""),"Santa Lucía [+]")</f>
        <v>Santa Lucía [+]</v>
      </c>
      <c r="D102" s="5">
        <f>IFERROR(__xludf.DUMMYFUNCTION("""COMPUTED_VALUE"""),297.0)</f>
        <v>297</v>
      </c>
      <c r="E102" s="3" t="str">
        <f>IFERROR(__xludf.DUMMYFUNCTION("""COMPUTED_VALUE"""),"0,07")</f>
        <v>0,07</v>
      </c>
      <c r="F102" s="3" t="str">
        <f>IFERROR(__xludf.DUMMYFUNCTION("""COMPUTED_VALUE"""),"1,62")</f>
        <v>1,62</v>
      </c>
      <c r="G102" s="3"/>
      <c r="H102" s="3" t="str">
        <f>IFERROR(__xludf.DUMMYFUNCTION("""COMPUTED_VALUE"""),"5,45%")</f>
        <v>5,45%</v>
      </c>
      <c r="I102" s="3" t="str">
        <f t="shared" si="1"/>
        <v>Sri Lanka </v>
      </c>
      <c r="J102" s="3">
        <f t="shared" si="3"/>
        <v>20.518</v>
      </c>
      <c r="K102" s="3">
        <f t="shared" si="4"/>
        <v>0.07</v>
      </c>
      <c r="L102" s="4">
        <f t="shared" si="5"/>
        <v>0.0243</v>
      </c>
      <c r="M102" s="3">
        <f t="shared" si="6"/>
        <v>0.97</v>
      </c>
    </row>
    <row r="103">
      <c r="B103" s="3" t="str">
        <f t="shared" si="2"/>
        <v>Sri Lanka </v>
      </c>
      <c r="C103" s="3" t="str">
        <f>IFERROR(__xludf.DUMMYFUNCTION("""COMPUTED_VALUE"""),"Sri Lanka [+]")</f>
        <v>Sri Lanka [+]</v>
      </c>
      <c r="D103" s="5">
        <f>IFERROR(__xludf.DUMMYFUNCTION("""COMPUTED_VALUE"""),20518.0)</f>
        <v>20518</v>
      </c>
      <c r="E103" s="3" t="str">
        <f>IFERROR(__xludf.DUMMYFUNCTION("""COMPUTED_VALUE"""),"0,07")</f>
        <v>0,07</v>
      </c>
      <c r="F103" s="3" t="str">
        <f>IFERROR(__xludf.DUMMYFUNCTION("""COMPUTED_VALUE"""),"0,97")</f>
        <v>0,97</v>
      </c>
      <c r="G103" s="3"/>
      <c r="H103" s="3" t="str">
        <f>IFERROR(__xludf.DUMMYFUNCTION("""COMPUTED_VALUE"""),"2,43%")</f>
        <v>2,43%</v>
      </c>
      <c r="I103" s="3" t="str">
        <f t="shared" si="1"/>
        <v>Liberia </v>
      </c>
      <c r="J103" s="3">
        <f t="shared" si="3"/>
        <v>1.637</v>
      </c>
      <c r="K103" s="3">
        <f t="shared" si="4"/>
        <v>0.18</v>
      </c>
      <c r="L103" s="4">
        <f t="shared" si="5"/>
        <v>-0.0492</v>
      </c>
      <c r="M103" s="3">
        <f t="shared" si="6"/>
        <v>0.3</v>
      </c>
    </row>
    <row r="104">
      <c r="B104" s="3" t="str">
        <f t="shared" si="2"/>
        <v>Liberia </v>
      </c>
      <c r="C104" s="3" t="str">
        <f>IFERROR(__xludf.DUMMYFUNCTION("""COMPUTED_VALUE"""),"Liberia [+]")</f>
        <v>Liberia [+]</v>
      </c>
      <c r="D104" s="5">
        <f>IFERROR(__xludf.DUMMYFUNCTION("""COMPUTED_VALUE"""),1637.0)</f>
        <v>1637</v>
      </c>
      <c r="E104" s="3" t="str">
        <f>IFERROR(__xludf.DUMMYFUNCTION("""COMPUTED_VALUE"""),"0,18")</f>
        <v>0,18</v>
      </c>
      <c r="F104" s="3" t="str">
        <f>IFERROR(__xludf.DUMMYFUNCTION("""COMPUTED_VALUE"""),"0,30")</f>
        <v>0,30</v>
      </c>
      <c r="G104" s="3"/>
      <c r="H104" s="3" t="str">
        <f>IFERROR(__xludf.DUMMYFUNCTION("""COMPUTED_VALUE"""),"-4,92%")</f>
        <v>-4,92%</v>
      </c>
      <c r="I104" s="3" t="str">
        <f t="shared" si="1"/>
        <v>Lesoto </v>
      </c>
      <c r="J104" s="3">
        <f t="shared" si="3"/>
        <v>878</v>
      </c>
      <c r="K104" s="3">
        <f t="shared" si="4"/>
        <v>0.15</v>
      </c>
      <c r="L104" s="4">
        <f t="shared" si="5"/>
        <v>0.0191</v>
      </c>
      <c r="M104" s="3">
        <f t="shared" si="6"/>
        <v>0.36</v>
      </c>
    </row>
    <row r="105">
      <c r="B105" s="3" t="str">
        <f t="shared" si="2"/>
        <v>Lesoto </v>
      </c>
      <c r="C105" s="3" t="str">
        <f>IFERROR(__xludf.DUMMYFUNCTION("""COMPUTED_VALUE"""),"Lesoto [+]")</f>
        <v>Lesoto [+]</v>
      </c>
      <c r="D105" s="5">
        <f>IFERROR(__xludf.DUMMYFUNCTION("""COMPUTED_VALUE"""),878.0)</f>
        <v>878</v>
      </c>
      <c r="E105" s="3" t="str">
        <f>IFERROR(__xludf.DUMMYFUNCTION("""COMPUTED_VALUE"""),"0,15")</f>
        <v>0,15</v>
      </c>
      <c r="F105" s="3" t="str">
        <f>IFERROR(__xludf.DUMMYFUNCTION("""COMPUTED_VALUE"""),"0,36")</f>
        <v>0,36</v>
      </c>
      <c r="G105" s="3"/>
      <c r="H105" s="3" t="str">
        <f>IFERROR(__xludf.DUMMYFUNCTION("""COMPUTED_VALUE"""),"1,91%")</f>
        <v>1,91%</v>
      </c>
      <c r="I105" s="3" t="str">
        <f t="shared" si="1"/>
        <v>Lituania </v>
      </c>
      <c r="J105" s="3">
        <f t="shared" si="3"/>
        <v>13.115</v>
      </c>
      <c r="K105" s="3">
        <f t="shared" si="4"/>
        <v>0.1</v>
      </c>
      <c r="L105" s="4">
        <f t="shared" si="5"/>
        <v>0.0023</v>
      </c>
      <c r="M105" s="3">
        <f t="shared" si="6"/>
        <v>4.66</v>
      </c>
    </row>
    <row r="106">
      <c r="B106" s="3" t="str">
        <f t="shared" si="2"/>
        <v>Lituania </v>
      </c>
      <c r="C106" s="3" t="str">
        <f>IFERROR(__xludf.DUMMYFUNCTION("""COMPUTED_VALUE"""),"Lituania [+]")</f>
        <v>Lituania [+]</v>
      </c>
      <c r="D106" s="5">
        <f>IFERROR(__xludf.DUMMYFUNCTION("""COMPUTED_VALUE"""),13115.0)</f>
        <v>13115</v>
      </c>
      <c r="E106" s="3" t="str">
        <f>IFERROR(__xludf.DUMMYFUNCTION("""COMPUTED_VALUE"""),"0,10")</f>
        <v>0,10</v>
      </c>
      <c r="F106" s="3" t="str">
        <f>IFERROR(__xludf.DUMMYFUNCTION("""COMPUTED_VALUE"""),"4,66")</f>
        <v>4,66</v>
      </c>
      <c r="G106" s="3"/>
      <c r="H106" s="3" t="str">
        <f>IFERROR(__xludf.DUMMYFUNCTION("""COMPUTED_VALUE"""),"0,23%")</f>
        <v>0,23%</v>
      </c>
      <c r="I106" s="3" t="str">
        <f t="shared" si="1"/>
        <v>Luxemburgo </v>
      </c>
      <c r="J106" s="3">
        <f t="shared" si="3"/>
        <v>7.007</v>
      </c>
      <c r="K106" s="3">
        <f t="shared" si="4"/>
        <v>0.08</v>
      </c>
      <c r="L106" s="4">
        <f t="shared" si="5"/>
        <v>-0.0475</v>
      </c>
      <c r="M106" s="3">
        <f t="shared" si="6"/>
        <v>11.18</v>
      </c>
    </row>
    <row r="107">
      <c r="B107" s="3" t="str">
        <f t="shared" si="2"/>
        <v>Luxemburgo </v>
      </c>
      <c r="C107" s="3" t="str">
        <f>IFERROR(__xludf.DUMMYFUNCTION("""COMPUTED_VALUE"""),"Luxemburgo [+]")</f>
        <v>Luxemburgo [+]</v>
      </c>
      <c r="D107" s="5">
        <f>IFERROR(__xludf.DUMMYFUNCTION("""COMPUTED_VALUE"""),7007.0)</f>
        <v>7007</v>
      </c>
      <c r="E107" s="3" t="str">
        <f>IFERROR(__xludf.DUMMYFUNCTION("""COMPUTED_VALUE"""),"0,08")</f>
        <v>0,08</v>
      </c>
      <c r="F107" s="3" t="str">
        <f>IFERROR(__xludf.DUMMYFUNCTION("""COMPUTED_VALUE"""),"11,18")</f>
        <v>11,18</v>
      </c>
      <c r="G107" s="3"/>
      <c r="H107" s="3" t="str">
        <f>IFERROR(__xludf.DUMMYFUNCTION("""COMPUTED_VALUE"""),"-4,75%")</f>
        <v>-4,75%</v>
      </c>
      <c r="I107" s="3" t="str">
        <f t="shared" si="1"/>
        <v>Letonia </v>
      </c>
      <c r="J107" s="3">
        <f t="shared" si="3"/>
        <v>6.551</v>
      </c>
      <c r="K107" s="3">
        <f t="shared" si="4"/>
        <v>0.09</v>
      </c>
      <c r="L107" s="4">
        <f t="shared" si="5"/>
        <v>-0.007</v>
      </c>
      <c r="M107" s="3">
        <f t="shared" si="6"/>
        <v>3.56</v>
      </c>
    </row>
    <row r="108">
      <c r="B108" s="3" t="str">
        <f t="shared" si="2"/>
        <v>Letonia </v>
      </c>
      <c r="C108" s="3" t="str">
        <f>IFERROR(__xludf.DUMMYFUNCTION("""COMPUTED_VALUE"""),"Letonia [+]")</f>
        <v>Letonia [+]</v>
      </c>
      <c r="D108" s="5">
        <f>IFERROR(__xludf.DUMMYFUNCTION("""COMPUTED_VALUE"""),6551.0)</f>
        <v>6551</v>
      </c>
      <c r="E108" s="3" t="str">
        <f>IFERROR(__xludf.DUMMYFUNCTION("""COMPUTED_VALUE"""),"0,09")</f>
        <v>0,09</v>
      </c>
      <c r="F108" s="3" t="str">
        <f>IFERROR(__xludf.DUMMYFUNCTION("""COMPUTED_VALUE"""),"3,56")</f>
        <v>3,56</v>
      </c>
      <c r="G108" s="3"/>
      <c r="H108" s="3" t="str">
        <f>IFERROR(__xludf.DUMMYFUNCTION("""COMPUTED_VALUE"""),"-0,70%")</f>
        <v>-0,70%</v>
      </c>
      <c r="I108" s="3" t="str">
        <f t="shared" si="1"/>
        <v>Libia </v>
      </c>
      <c r="J108" s="3">
        <f t="shared" si="3"/>
        <v>61.259</v>
      </c>
      <c r="K108" s="3">
        <f t="shared" si="4"/>
        <v>0.5</v>
      </c>
      <c r="L108" s="4">
        <f t="shared" si="5"/>
        <v>0.0626</v>
      </c>
      <c r="M108" s="3">
        <f t="shared" si="6"/>
        <v>8.88</v>
      </c>
    </row>
    <row r="109">
      <c r="B109" s="3" t="str">
        <f t="shared" si="2"/>
        <v>Libia </v>
      </c>
      <c r="C109" s="3" t="str">
        <f>IFERROR(__xludf.DUMMYFUNCTION("""COMPUTED_VALUE"""),"Libia [+]")</f>
        <v>Libia [+]</v>
      </c>
      <c r="D109" s="5">
        <f>IFERROR(__xludf.DUMMYFUNCTION("""COMPUTED_VALUE"""),61259.0)</f>
        <v>61259</v>
      </c>
      <c r="E109" s="3" t="str">
        <f>IFERROR(__xludf.DUMMYFUNCTION("""COMPUTED_VALUE"""),"0,50")</f>
        <v>0,50</v>
      </c>
      <c r="F109" s="3" t="str">
        <f>IFERROR(__xludf.DUMMYFUNCTION("""COMPUTED_VALUE"""),"8,88")</f>
        <v>8,88</v>
      </c>
      <c r="G109" s="3"/>
      <c r="H109" s="3" t="str">
        <f>IFERROR(__xludf.DUMMYFUNCTION("""COMPUTED_VALUE"""),"6,26%")</f>
        <v>6,26%</v>
      </c>
      <c r="I109" s="3" t="str">
        <f t="shared" si="1"/>
        <v>Marruecos </v>
      </c>
      <c r="J109" s="3">
        <f t="shared" si="3"/>
        <v>69.858</v>
      </c>
      <c r="K109" s="3">
        <f t="shared" si="4"/>
        <v>0.21</v>
      </c>
      <c r="L109" s="4">
        <f t="shared" si="5"/>
        <v>-0.0167</v>
      </c>
      <c r="M109" s="3">
        <f t="shared" si="6"/>
        <v>1.82</v>
      </c>
    </row>
    <row r="110">
      <c r="B110" s="3" t="str">
        <f t="shared" si="2"/>
        <v>Marruecos </v>
      </c>
      <c r="C110" s="3" t="str">
        <f>IFERROR(__xludf.DUMMYFUNCTION("""COMPUTED_VALUE"""),"Marruecos [+]")</f>
        <v>Marruecos [+]</v>
      </c>
      <c r="D110" s="5">
        <f>IFERROR(__xludf.DUMMYFUNCTION("""COMPUTED_VALUE"""),69858.0)</f>
        <v>69858</v>
      </c>
      <c r="E110" s="3" t="str">
        <f>IFERROR(__xludf.DUMMYFUNCTION("""COMPUTED_VALUE"""),"0,21")</f>
        <v>0,21</v>
      </c>
      <c r="F110" s="3" t="str">
        <f>IFERROR(__xludf.DUMMYFUNCTION("""COMPUTED_VALUE"""),"1,82")</f>
        <v>1,82</v>
      </c>
      <c r="G110" s="3"/>
      <c r="H110" s="3" t="str">
        <f>IFERROR(__xludf.DUMMYFUNCTION("""COMPUTED_VALUE"""),"-1,67%")</f>
        <v>-1,67%</v>
      </c>
      <c r="I110" s="3" t="str">
        <f t="shared" si="1"/>
        <v>Moldavia </v>
      </c>
      <c r="J110" s="3">
        <f t="shared" si="3"/>
        <v>9.928</v>
      </c>
      <c r="K110" s="3">
        <f t="shared" si="4"/>
        <v>0.25</v>
      </c>
      <c r="L110" s="4">
        <f t="shared" si="5"/>
        <v>0.0535</v>
      </c>
      <c r="M110" s="3">
        <f t="shared" si="6"/>
        <v>2.5</v>
      </c>
    </row>
    <row r="111">
      <c r="B111" s="3" t="str">
        <f t="shared" si="2"/>
        <v>Moldavia </v>
      </c>
      <c r="C111" s="3" t="str">
        <f>IFERROR(__xludf.DUMMYFUNCTION("""COMPUTED_VALUE"""),"Moldavia [+]")</f>
        <v>Moldavia [+]</v>
      </c>
      <c r="D111" s="5">
        <f>IFERROR(__xludf.DUMMYFUNCTION("""COMPUTED_VALUE"""),9928.0)</f>
        <v>9928</v>
      </c>
      <c r="E111" s="3" t="str">
        <f>IFERROR(__xludf.DUMMYFUNCTION("""COMPUTED_VALUE"""),"0,25")</f>
        <v>0,25</v>
      </c>
      <c r="F111" s="3" t="str">
        <f>IFERROR(__xludf.DUMMYFUNCTION("""COMPUTED_VALUE"""),"2,50")</f>
        <v>2,50</v>
      </c>
      <c r="G111" s="3"/>
      <c r="H111" s="3" t="str">
        <f>IFERROR(__xludf.DUMMYFUNCTION("""COMPUTED_VALUE"""),"5,35%")</f>
        <v>5,35%</v>
      </c>
      <c r="I111" s="3" t="str">
        <f t="shared" si="1"/>
        <v>Madagascar </v>
      </c>
      <c r="J111" s="3">
        <f t="shared" si="3"/>
        <v>4.099</v>
      </c>
      <c r="K111" s="3">
        <f t="shared" si="4"/>
        <v>0.08</v>
      </c>
      <c r="L111" s="4">
        <f t="shared" si="5"/>
        <v>0.0012</v>
      </c>
      <c r="M111" s="3">
        <f t="shared" si="6"/>
        <v>0.14</v>
      </c>
    </row>
    <row r="112">
      <c r="B112" s="3" t="str">
        <f t="shared" si="2"/>
        <v>Madagascar </v>
      </c>
      <c r="C112" s="3" t="str">
        <f>IFERROR(__xludf.DUMMYFUNCTION("""COMPUTED_VALUE"""),"Madagascar [+]")</f>
        <v>Madagascar [+]</v>
      </c>
      <c r="D112" s="5">
        <f>IFERROR(__xludf.DUMMYFUNCTION("""COMPUTED_VALUE"""),4099.0)</f>
        <v>4099</v>
      </c>
      <c r="E112" s="3" t="str">
        <f>IFERROR(__xludf.DUMMYFUNCTION("""COMPUTED_VALUE"""),"0,08")</f>
        <v>0,08</v>
      </c>
      <c r="F112" s="3" t="str">
        <f>IFERROR(__xludf.DUMMYFUNCTION("""COMPUTED_VALUE"""),"0,14")</f>
        <v>0,14</v>
      </c>
      <c r="G112" s="3"/>
      <c r="H112" s="3" t="str">
        <f>IFERROR(__xludf.DUMMYFUNCTION("""COMPUTED_VALUE"""),"0,12%")</f>
        <v>0,12%</v>
      </c>
      <c r="I112" s="3" t="str">
        <f t="shared" si="1"/>
        <v>Macedonia del Norte </v>
      </c>
      <c r="J112" s="3">
        <f t="shared" si="3"/>
        <v>8.764</v>
      </c>
      <c r="K112" s="3">
        <f t="shared" si="4"/>
        <v>0.21</v>
      </c>
      <c r="L112" s="4">
        <f t="shared" si="5"/>
        <v>0.0448</v>
      </c>
      <c r="M112" s="3">
        <f t="shared" si="6"/>
        <v>4.19</v>
      </c>
    </row>
    <row r="113">
      <c r="B113" s="3" t="str">
        <f t="shared" si="2"/>
        <v>Macedonia del Norte </v>
      </c>
      <c r="C113" s="3" t="str">
        <f>IFERROR(__xludf.DUMMYFUNCTION("""COMPUTED_VALUE"""),"Macedonia del Norte [+]")</f>
        <v>Macedonia del Norte [+]</v>
      </c>
      <c r="D113" s="5">
        <f>IFERROR(__xludf.DUMMYFUNCTION("""COMPUTED_VALUE"""),8764.0)</f>
        <v>8764</v>
      </c>
      <c r="E113" s="3" t="str">
        <f>IFERROR(__xludf.DUMMYFUNCTION("""COMPUTED_VALUE"""),"0,21")</f>
        <v>0,21</v>
      </c>
      <c r="F113" s="3" t="str">
        <f>IFERROR(__xludf.DUMMYFUNCTION("""COMPUTED_VALUE"""),"4,19")</f>
        <v>4,19</v>
      </c>
      <c r="G113" s="3"/>
      <c r="H113" s="3" t="str">
        <f>IFERROR(__xludf.DUMMYFUNCTION("""COMPUTED_VALUE"""),"4,48%")</f>
        <v>4,48%</v>
      </c>
      <c r="I113" s="3" t="str">
        <f t="shared" si="1"/>
        <v>Malí </v>
      </c>
      <c r="J113" s="3">
        <f t="shared" si="3"/>
        <v>6.661</v>
      </c>
      <c r="K113" s="3">
        <f t="shared" si="4"/>
        <v>0.12</v>
      </c>
      <c r="L113" s="4">
        <f t="shared" si="5"/>
        <v>-0.055</v>
      </c>
      <c r="M113" s="3">
        <f t="shared" si="6"/>
        <v>0.3</v>
      </c>
    </row>
    <row r="114">
      <c r="B114" s="3" t="str">
        <f t="shared" si="2"/>
        <v>Malí </v>
      </c>
      <c r="C114" s="3" t="str">
        <f>IFERROR(__xludf.DUMMYFUNCTION("""COMPUTED_VALUE"""),"Malí [+]")</f>
        <v>Malí [+]</v>
      </c>
      <c r="D114" s="5">
        <f>IFERROR(__xludf.DUMMYFUNCTION("""COMPUTED_VALUE"""),6661.0)</f>
        <v>6661</v>
      </c>
      <c r="E114" s="3" t="str">
        <f>IFERROR(__xludf.DUMMYFUNCTION("""COMPUTED_VALUE"""),"0,12")</f>
        <v>0,12</v>
      </c>
      <c r="F114" s="3" t="str">
        <f>IFERROR(__xludf.DUMMYFUNCTION("""COMPUTED_VALUE"""),"0,30")</f>
        <v>0,30</v>
      </c>
      <c r="G114" s="3"/>
      <c r="H114" s="3" t="str">
        <f>IFERROR(__xludf.DUMMYFUNCTION("""COMPUTED_VALUE"""),"-5,50%")</f>
        <v>-5,50%</v>
      </c>
      <c r="I114" s="3" t="str">
        <f t="shared" si="1"/>
        <v>Myanmar </v>
      </c>
      <c r="J114" s="3">
        <f t="shared" si="3"/>
        <v>33.368</v>
      </c>
      <c r="K114" s="3">
        <f t="shared" si="4"/>
        <v>0.11</v>
      </c>
      <c r="L114" s="4">
        <f t="shared" si="5"/>
        <v>0.0221</v>
      </c>
      <c r="M114" s="3">
        <f t="shared" si="6"/>
        <v>0.59</v>
      </c>
    </row>
    <row r="115">
      <c r="B115" s="3" t="str">
        <f t="shared" si="2"/>
        <v>Myanmar </v>
      </c>
      <c r="C115" s="3" t="str">
        <f>IFERROR(__xludf.DUMMYFUNCTION("""COMPUTED_VALUE"""),"Myanmar [+]")</f>
        <v>Myanmar [+]</v>
      </c>
      <c r="D115" s="5">
        <f>IFERROR(__xludf.DUMMYFUNCTION("""COMPUTED_VALUE"""),33368.0)</f>
        <v>33368</v>
      </c>
      <c r="E115" s="3" t="str">
        <f>IFERROR(__xludf.DUMMYFUNCTION("""COMPUTED_VALUE"""),"0,11")</f>
        <v>0,11</v>
      </c>
      <c r="F115" s="3" t="str">
        <f>IFERROR(__xludf.DUMMYFUNCTION("""COMPUTED_VALUE"""),"0,59")</f>
        <v>0,59</v>
      </c>
      <c r="G115" s="3"/>
      <c r="H115" s="3" t="str">
        <f>IFERROR(__xludf.DUMMYFUNCTION("""COMPUTED_VALUE"""),"2,21%")</f>
        <v>2,21%</v>
      </c>
      <c r="I115" s="3" t="str">
        <f t="shared" si="1"/>
        <v>Mongolia </v>
      </c>
      <c r="J115" s="3">
        <f t="shared" si="3"/>
        <v>28.117</v>
      </c>
      <c r="K115" s="3">
        <f t="shared" si="4"/>
        <v>0.5</v>
      </c>
      <c r="L115" s="4">
        <f t="shared" si="5"/>
        <v>0.0739</v>
      </c>
      <c r="M115" s="3">
        <f t="shared" si="6"/>
        <v>8.45</v>
      </c>
    </row>
    <row r="116">
      <c r="B116" s="3" t="str">
        <f t="shared" si="2"/>
        <v>Mongolia </v>
      </c>
      <c r="C116" s="3" t="str">
        <f>IFERROR(__xludf.DUMMYFUNCTION("""COMPUTED_VALUE"""),"Mongolia [+]")</f>
        <v>Mongolia [+]</v>
      </c>
      <c r="D116" s="5">
        <f>IFERROR(__xludf.DUMMYFUNCTION("""COMPUTED_VALUE"""),28117.0)</f>
        <v>28117</v>
      </c>
      <c r="E116" s="3" t="str">
        <f>IFERROR(__xludf.DUMMYFUNCTION("""COMPUTED_VALUE"""),"0,50")</f>
        <v>0,50</v>
      </c>
      <c r="F116" s="3" t="str">
        <f>IFERROR(__xludf.DUMMYFUNCTION("""COMPUTED_VALUE"""),"8,45")</f>
        <v>8,45</v>
      </c>
      <c r="G116" s="3"/>
      <c r="H116" s="3" t="str">
        <f>IFERROR(__xludf.DUMMYFUNCTION("""COMPUTED_VALUE"""),"7,39%")</f>
        <v>7,39%</v>
      </c>
      <c r="I116" s="3" t="str">
        <f t="shared" si="1"/>
        <v>Mauritania </v>
      </c>
      <c r="J116" s="3">
        <f t="shared" si="3"/>
        <v>4.65</v>
      </c>
      <c r="K116" s="3">
        <f t="shared" si="4"/>
        <v>0.15</v>
      </c>
      <c r="L116" s="4">
        <f t="shared" si="5"/>
        <v>-0.051</v>
      </c>
      <c r="M116" s="3">
        <f t="shared" si="6"/>
        <v>0.9</v>
      </c>
    </row>
    <row r="117">
      <c r="B117" s="3" t="str">
        <f t="shared" si="2"/>
        <v>Mauritania </v>
      </c>
      <c r="C117" s="3" t="str">
        <f>IFERROR(__xludf.DUMMYFUNCTION("""COMPUTED_VALUE"""),"Mauritania [+]")</f>
        <v>Mauritania [+]</v>
      </c>
      <c r="D117" s="5">
        <f>IFERROR(__xludf.DUMMYFUNCTION("""COMPUTED_VALUE"""),4650.0)</f>
        <v>4650</v>
      </c>
      <c r="E117" s="3" t="str">
        <f>IFERROR(__xludf.DUMMYFUNCTION("""COMPUTED_VALUE"""),"0,15")</f>
        <v>0,15</v>
      </c>
      <c r="F117" s="3" t="str">
        <f>IFERROR(__xludf.DUMMYFUNCTION("""COMPUTED_VALUE"""),"0,90")</f>
        <v>0,90</v>
      </c>
      <c r="G117" s="3"/>
      <c r="H117" s="3" t="str">
        <f>IFERROR(__xludf.DUMMYFUNCTION("""COMPUTED_VALUE"""),"-5,10%")</f>
        <v>-5,10%</v>
      </c>
      <c r="I117" s="3" t="str">
        <f t="shared" si="1"/>
        <v>Malta </v>
      </c>
      <c r="J117" s="3">
        <f t="shared" si="3"/>
        <v>1.685</v>
      </c>
      <c r="K117" s="3">
        <f t="shared" si="4"/>
        <v>0.05</v>
      </c>
      <c r="L117" s="4">
        <f t="shared" si="5"/>
        <v>-0.0448</v>
      </c>
      <c r="M117" s="3">
        <f t="shared" si="6"/>
        <v>3.85</v>
      </c>
    </row>
    <row r="118">
      <c r="B118" s="3" t="str">
        <f t="shared" si="2"/>
        <v>Malta </v>
      </c>
      <c r="C118" s="3" t="str">
        <f>IFERROR(__xludf.DUMMYFUNCTION("""COMPUTED_VALUE"""),"Malta [+]")</f>
        <v>Malta [+]</v>
      </c>
      <c r="D118" s="5">
        <f>IFERROR(__xludf.DUMMYFUNCTION("""COMPUTED_VALUE"""),1685.0)</f>
        <v>1685</v>
      </c>
      <c r="E118" s="3" t="str">
        <f>IFERROR(__xludf.DUMMYFUNCTION("""COMPUTED_VALUE"""),"0,05")</f>
        <v>0,05</v>
      </c>
      <c r="F118" s="3" t="str">
        <f>IFERROR(__xludf.DUMMYFUNCTION("""COMPUTED_VALUE"""),"3,85")</f>
        <v>3,85</v>
      </c>
      <c r="G118" s="3"/>
      <c r="H118" s="3" t="str">
        <f>IFERROR(__xludf.DUMMYFUNCTION("""COMPUTED_VALUE"""),"-4,48%")</f>
        <v>-4,48%</v>
      </c>
      <c r="I118" s="3" t="str">
        <f t="shared" si="1"/>
        <v>Mauricio </v>
      </c>
      <c r="J118" s="3">
        <f t="shared" si="3"/>
        <v>4.214</v>
      </c>
      <c r="K118" s="3">
        <f t="shared" si="4"/>
        <v>0.13</v>
      </c>
      <c r="L118" s="4">
        <f t="shared" si="5"/>
        <v>0.0398</v>
      </c>
      <c r="M118" s="3">
        <f t="shared" si="6"/>
        <v>3.29</v>
      </c>
    </row>
    <row r="119">
      <c r="B119" s="3" t="str">
        <f t="shared" si="2"/>
        <v>Mauricio </v>
      </c>
      <c r="C119" s="3" t="str">
        <f>IFERROR(__xludf.DUMMYFUNCTION("""COMPUTED_VALUE"""),"Mauricio [+]")</f>
        <v>Mauricio [+]</v>
      </c>
      <c r="D119" s="5">
        <f>IFERROR(__xludf.DUMMYFUNCTION("""COMPUTED_VALUE"""),4214.0)</f>
        <v>4214</v>
      </c>
      <c r="E119" s="3" t="str">
        <f>IFERROR(__xludf.DUMMYFUNCTION("""COMPUTED_VALUE"""),"0,13")</f>
        <v>0,13</v>
      </c>
      <c r="F119" s="3" t="str">
        <f>IFERROR(__xludf.DUMMYFUNCTION("""COMPUTED_VALUE"""),"3,29")</f>
        <v>3,29</v>
      </c>
      <c r="G119" s="3"/>
      <c r="H119" s="3" t="str">
        <f>IFERROR(__xludf.DUMMYFUNCTION("""COMPUTED_VALUE"""),"3,98%")</f>
        <v>3,98%</v>
      </c>
      <c r="I119" s="3" t="str">
        <f t="shared" si="1"/>
        <v>Maldivas </v>
      </c>
      <c r="J119" s="3">
        <f t="shared" si="3"/>
        <v>2.876</v>
      </c>
      <c r="K119" s="3">
        <f t="shared" si="4"/>
        <v>0.25</v>
      </c>
      <c r="L119" s="4">
        <f t="shared" si="5"/>
        <v>0.0192</v>
      </c>
      <c r="M119" s="3">
        <f t="shared" si="6"/>
        <v>6</v>
      </c>
    </row>
    <row r="120">
      <c r="B120" s="3" t="str">
        <f t="shared" si="2"/>
        <v>Maldivas </v>
      </c>
      <c r="C120" s="3" t="str">
        <f>IFERROR(__xludf.DUMMYFUNCTION("""COMPUTED_VALUE"""),"Maldivas [+]")</f>
        <v>Maldivas [+]</v>
      </c>
      <c r="D120" s="5">
        <f>IFERROR(__xludf.DUMMYFUNCTION("""COMPUTED_VALUE"""),2876.0)</f>
        <v>2876</v>
      </c>
      <c r="E120" s="3" t="str">
        <f>IFERROR(__xludf.DUMMYFUNCTION("""COMPUTED_VALUE"""),"0,25")</f>
        <v>0,25</v>
      </c>
      <c r="F120" s="3" t="str">
        <f>IFERROR(__xludf.DUMMYFUNCTION("""COMPUTED_VALUE"""),"6,00")</f>
        <v>6,00</v>
      </c>
      <c r="G120" s="3"/>
      <c r="H120" s="3" t="str">
        <f>IFERROR(__xludf.DUMMYFUNCTION("""COMPUTED_VALUE"""),"1,92%")</f>
        <v>1,92%</v>
      </c>
      <c r="I120" s="3" t="str">
        <f t="shared" si="1"/>
        <v>Malaui </v>
      </c>
      <c r="J120" s="3">
        <f t="shared" si="3"/>
        <v>6.448</v>
      </c>
      <c r="K120" s="3">
        <f t="shared" si="4"/>
        <v>0.18</v>
      </c>
      <c r="L120" s="4">
        <f t="shared" si="5"/>
        <v>0.0546</v>
      </c>
      <c r="M120" s="3">
        <f t="shared" si="6"/>
        <v>0.29</v>
      </c>
    </row>
    <row r="121">
      <c r="B121" s="3" t="str">
        <f t="shared" si="2"/>
        <v>Malaui </v>
      </c>
      <c r="C121" s="3" t="str">
        <f>IFERROR(__xludf.DUMMYFUNCTION("""COMPUTED_VALUE"""),"Malaui [+]")</f>
        <v>Malaui [+]</v>
      </c>
      <c r="D121" s="5">
        <f>IFERROR(__xludf.DUMMYFUNCTION("""COMPUTED_VALUE"""),6448.0)</f>
        <v>6448</v>
      </c>
      <c r="E121" s="3" t="str">
        <f>IFERROR(__xludf.DUMMYFUNCTION("""COMPUTED_VALUE"""),"0,18")</f>
        <v>0,18</v>
      </c>
      <c r="F121" s="3" t="str">
        <f>IFERROR(__xludf.DUMMYFUNCTION("""COMPUTED_VALUE"""),"0,29")</f>
        <v>0,29</v>
      </c>
      <c r="G121" s="3"/>
      <c r="H121" s="3" t="str">
        <f>IFERROR(__xludf.DUMMYFUNCTION("""COMPUTED_VALUE"""),"5,46%")</f>
        <v>5,46%</v>
      </c>
      <c r="I121" s="3" t="str">
        <f t="shared" si="1"/>
        <v>México </v>
      </c>
      <c r="J121" s="3">
        <f t="shared" si="3"/>
        <v>487.094</v>
      </c>
      <c r="K121" s="3">
        <f t="shared" si="4"/>
        <v>0.17</v>
      </c>
      <c r="L121" s="4">
        <f t="shared" si="5"/>
        <v>0.0344</v>
      </c>
      <c r="M121" s="3">
        <f t="shared" si="6"/>
        <v>3.52</v>
      </c>
    </row>
    <row r="122">
      <c r="B122" s="3" t="str">
        <f t="shared" si="2"/>
        <v>México </v>
      </c>
      <c r="C122" s="3" t="str">
        <f>IFERROR(__xludf.DUMMYFUNCTION("""COMPUTED_VALUE"""),"México [+]")</f>
        <v>México [+]</v>
      </c>
      <c r="D122" s="5">
        <f>IFERROR(__xludf.DUMMYFUNCTION("""COMPUTED_VALUE"""),487094.0)</f>
        <v>487094</v>
      </c>
      <c r="E122" s="3" t="str">
        <f>IFERROR(__xludf.DUMMYFUNCTION("""COMPUTED_VALUE"""),"0,17")</f>
        <v>0,17</v>
      </c>
      <c r="F122" s="3" t="str">
        <f>IFERROR(__xludf.DUMMYFUNCTION("""COMPUTED_VALUE"""),"3,52")</f>
        <v>3,52</v>
      </c>
      <c r="G122" s="3"/>
      <c r="H122" s="3" t="str">
        <f>IFERROR(__xludf.DUMMYFUNCTION("""COMPUTED_VALUE"""),"3,44%")</f>
        <v>3,44%</v>
      </c>
      <c r="I122" s="3" t="str">
        <f t="shared" si="1"/>
        <v>Malasia </v>
      </c>
      <c r="J122" s="3">
        <f t="shared" si="3"/>
        <v>283.324</v>
      </c>
      <c r="K122" s="3">
        <f t="shared" si="4"/>
        <v>0.25</v>
      </c>
      <c r="L122" s="4">
        <f t="shared" si="5"/>
        <v>0.02</v>
      </c>
      <c r="M122" s="3">
        <f t="shared" si="6"/>
        <v>8.3</v>
      </c>
    </row>
    <row r="123">
      <c r="B123" s="3" t="str">
        <f t="shared" si="2"/>
        <v>Malasia </v>
      </c>
      <c r="C123" s="3" t="str">
        <f>IFERROR(__xludf.DUMMYFUNCTION("""COMPUTED_VALUE"""),"Malasia [+]")</f>
        <v>Malasia [+]</v>
      </c>
      <c r="D123" s="5">
        <f>IFERROR(__xludf.DUMMYFUNCTION("""COMPUTED_VALUE"""),283324.0)</f>
        <v>283324</v>
      </c>
      <c r="E123" s="3" t="str">
        <f>IFERROR(__xludf.DUMMYFUNCTION("""COMPUTED_VALUE"""),"0,25")</f>
        <v>0,25</v>
      </c>
      <c r="F123" s="3" t="str">
        <f>IFERROR(__xludf.DUMMYFUNCTION("""COMPUTED_VALUE"""),"8,30")</f>
        <v>8,30</v>
      </c>
      <c r="G123" s="3"/>
      <c r="H123" s="3" t="str">
        <f>IFERROR(__xludf.DUMMYFUNCTION("""COMPUTED_VALUE"""),"2,00%")</f>
        <v>2,00%</v>
      </c>
      <c r="I123" s="3" t="str">
        <f t="shared" si="1"/>
        <v>Mozambique </v>
      </c>
      <c r="J123" s="3">
        <f t="shared" si="3"/>
        <v>9.74</v>
      </c>
      <c r="K123" s="3">
        <f t="shared" si="4"/>
        <v>0.19</v>
      </c>
      <c r="L123" s="4">
        <f t="shared" si="5"/>
        <v>-0.0553</v>
      </c>
      <c r="M123" s="3">
        <f t="shared" si="6"/>
        <v>0.28</v>
      </c>
    </row>
    <row r="124">
      <c r="B124" s="3" t="str">
        <f t="shared" si="2"/>
        <v>Mozambique </v>
      </c>
      <c r="C124" s="3" t="str">
        <f>IFERROR(__xludf.DUMMYFUNCTION("""COMPUTED_VALUE"""),"Mozambique [+]")</f>
        <v>Mozambique [+]</v>
      </c>
      <c r="D124" s="5">
        <f>IFERROR(__xludf.DUMMYFUNCTION("""COMPUTED_VALUE"""),9740.0)</f>
        <v>9740</v>
      </c>
      <c r="E124" s="3" t="str">
        <f>IFERROR(__xludf.DUMMYFUNCTION("""COMPUTED_VALUE"""),"0,19")</f>
        <v>0,19</v>
      </c>
      <c r="F124" s="3" t="str">
        <f>IFERROR(__xludf.DUMMYFUNCTION("""COMPUTED_VALUE"""),"0,28")</f>
        <v>0,28</v>
      </c>
      <c r="G124" s="3"/>
      <c r="H124" s="3" t="str">
        <f>IFERROR(__xludf.DUMMYFUNCTION("""COMPUTED_VALUE"""),"-5,53%")</f>
        <v>-5,53%</v>
      </c>
      <c r="I124" s="3" t="str">
        <f t="shared" si="1"/>
        <v>Namibia </v>
      </c>
      <c r="J124" s="3">
        <f t="shared" si="3"/>
        <v>4.365</v>
      </c>
      <c r="K124" s="3">
        <f t="shared" si="4"/>
        <v>0.15</v>
      </c>
      <c r="L124" s="4">
        <f t="shared" si="5"/>
        <v>0.0061</v>
      </c>
      <c r="M124" s="3">
        <f t="shared" si="6"/>
        <v>1.53</v>
      </c>
    </row>
    <row r="125">
      <c r="B125" s="3" t="str">
        <f t="shared" si="2"/>
        <v>Namibia </v>
      </c>
      <c r="C125" s="3" t="str">
        <f>IFERROR(__xludf.DUMMYFUNCTION("""COMPUTED_VALUE"""),"Namibia [+]")</f>
        <v>Namibia [+]</v>
      </c>
      <c r="D125" s="5">
        <f>IFERROR(__xludf.DUMMYFUNCTION("""COMPUTED_VALUE"""),4365.0)</f>
        <v>4365</v>
      </c>
      <c r="E125" s="3" t="str">
        <f>IFERROR(__xludf.DUMMYFUNCTION("""COMPUTED_VALUE"""),"0,15")</f>
        <v>0,15</v>
      </c>
      <c r="F125" s="3" t="str">
        <f>IFERROR(__xludf.DUMMYFUNCTION("""COMPUTED_VALUE"""),"1,53")</f>
        <v>1,53</v>
      </c>
      <c r="G125" s="3"/>
      <c r="H125" s="3" t="str">
        <f>IFERROR(__xludf.DUMMYFUNCTION("""COMPUTED_VALUE"""),"0,61%")</f>
        <v>0,61%</v>
      </c>
      <c r="I125" s="3" t="str">
        <f t="shared" si="1"/>
        <v>Níger </v>
      </c>
      <c r="J125" s="3">
        <f t="shared" si="3"/>
        <v>2.823</v>
      </c>
      <c r="K125" s="3">
        <f t="shared" si="4"/>
        <v>0.06</v>
      </c>
      <c r="L125" s="4">
        <f t="shared" si="5"/>
        <v>-0.0643</v>
      </c>
      <c r="M125" s="3">
        <f t="shared" si="6"/>
        <v>0.1</v>
      </c>
    </row>
    <row r="126">
      <c r="B126" s="3" t="str">
        <f t="shared" si="2"/>
        <v>Níger </v>
      </c>
      <c r="C126" s="3" t="str">
        <f>IFERROR(__xludf.DUMMYFUNCTION("""COMPUTED_VALUE"""),"Níger [+]")</f>
        <v>Níger [+]</v>
      </c>
      <c r="D126" s="5">
        <f>IFERROR(__xludf.DUMMYFUNCTION("""COMPUTED_VALUE"""),2823.0)</f>
        <v>2823</v>
      </c>
      <c r="E126" s="3" t="str">
        <f>IFERROR(__xludf.DUMMYFUNCTION("""COMPUTED_VALUE"""),"0,06")</f>
        <v>0,06</v>
      </c>
      <c r="F126" s="3" t="str">
        <f>IFERROR(__xludf.DUMMYFUNCTION("""COMPUTED_VALUE"""),"0,10")</f>
        <v>0,10</v>
      </c>
      <c r="G126" s="3"/>
      <c r="H126" s="3" t="str">
        <f>IFERROR(__xludf.DUMMYFUNCTION("""COMPUTED_VALUE"""),"-6,43%")</f>
        <v>-6,43%</v>
      </c>
      <c r="I126" s="3" t="str">
        <f t="shared" si="1"/>
        <v>Nigeria </v>
      </c>
      <c r="J126" s="3">
        <f t="shared" si="3"/>
        <v>127.942</v>
      </c>
      <c r="K126" s="3">
        <f t="shared" si="4"/>
        <v>0.1</v>
      </c>
      <c r="L126" s="4">
        <f t="shared" si="5"/>
        <v>-0.041</v>
      </c>
      <c r="M126" s="3">
        <f t="shared" si="6"/>
        <v>0.58</v>
      </c>
    </row>
    <row r="127">
      <c r="B127" s="3" t="str">
        <f t="shared" si="2"/>
        <v>Nigeria </v>
      </c>
      <c r="C127" s="3" t="str">
        <f>IFERROR(__xludf.DUMMYFUNCTION("""COMPUTED_VALUE"""),"Nigeria [+]")</f>
        <v>Nigeria [+]</v>
      </c>
      <c r="D127" s="5">
        <f>IFERROR(__xludf.DUMMYFUNCTION("""COMPUTED_VALUE"""),127942.0)</f>
        <v>127942</v>
      </c>
      <c r="E127" s="3" t="str">
        <f>IFERROR(__xludf.DUMMYFUNCTION("""COMPUTED_VALUE"""),"0,10")</f>
        <v>0,10</v>
      </c>
      <c r="F127" s="3" t="str">
        <f>IFERROR(__xludf.DUMMYFUNCTION("""COMPUTED_VALUE"""),"0,58")</f>
        <v>0,58</v>
      </c>
      <c r="G127" s="3"/>
      <c r="H127" s="3" t="str">
        <f>IFERROR(__xludf.DUMMYFUNCTION("""COMPUTED_VALUE"""),"-4,10%")</f>
        <v>-4,10%</v>
      </c>
      <c r="I127" s="3" t="str">
        <f t="shared" si="1"/>
        <v>Nicaragua </v>
      </c>
      <c r="J127" s="3">
        <f t="shared" si="3"/>
        <v>5.725</v>
      </c>
      <c r="K127" s="3">
        <f t="shared" si="4"/>
        <v>0.11</v>
      </c>
      <c r="L127" s="4">
        <f t="shared" si="5"/>
        <v>0.0493</v>
      </c>
      <c r="M127" s="3">
        <f t="shared" si="6"/>
        <v>0.87</v>
      </c>
    </row>
    <row r="128">
      <c r="B128" s="3" t="str">
        <f t="shared" si="2"/>
        <v>Nicaragua </v>
      </c>
      <c r="C128" s="3" t="str">
        <f>IFERROR(__xludf.DUMMYFUNCTION("""COMPUTED_VALUE"""),"Nicaragua [+]")</f>
        <v>Nicaragua [+]</v>
      </c>
      <c r="D128" s="5">
        <f>IFERROR(__xludf.DUMMYFUNCTION("""COMPUTED_VALUE"""),5725.0)</f>
        <v>5725</v>
      </c>
      <c r="E128" s="3" t="str">
        <f>IFERROR(__xludf.DUMMYFUNCTION("""COMPUTED_VALUE"""),"0,11")</f>
        <v>0,11</v>
      </c>
      <c r="F128" s="3" t="str">
        <f>IFERROR(__xludf.DUMMYFUNCTION("""COMPUTED_VALUE"""),"0,87")</f>
        <v>0,87</v>
      </c>
      <c r="G128" s="3"/>
      <c r="H128" s="3" t="str">
        <f>IFERROR(__xludf.DUMMYFUNCTION("""COMPUTED_VALUE"""),"4,93%")</f>
        <v>4,93%</v>
      </c>
      <c r="I128" s="3" t="str">
        <f t="shared" si="1"/>
        <v>Países Bajos </v>
      </c>
      <c r="J128" s="3">
        <f t="shared" si="3"/>
        <v>122.872</v>
      </c>
      <c r="K128" s="3">
        <f t="shared" si="4"/>
        <v>0.1</v>
      </c>
      <c r="L128" s="4">
        <f t="shared" si="5"/>
        <v>-0.0785</v>
      </c>
      <c r="M128" s="3">
        <f t="shared" si="6"/>
        <v>7.09</v>
      </c>
    </row>
    <row r="129">
      <c r="B129" s="3" t="str">
        <f t="shared" si="2"/>
        <v>Países Bajos </v>
      </c>
      <c r="C129" s="3" t="str">
        <f>IFERROR(__xludf.DUMMYFUNCTION("""COMPUTED_VALUE"""),"Países Bajos [+]")</f>
        <v>Países Bajos [+]</v>
      </c>
      <c r="D129" s="5">
        <f>IFERROR(__xludf.DUMMYFUNCTION("""COMPUTED_VALUE"""),122872.0)</f>
        <v>122872</v>
      </c>
      <c r="E129" s="3" t="str">
        <f>IFERROR(__xludf.DUMMYFUNCTION("""COMPUTED_VALUE"""),"0,10")</f>
        <v>0,10</v>
      </c>
      <c r="F129" s="3" t="str">
        <f>IFERROR(__xludf.DUMMYFUNCTION("""COMPUTED_VALUE"""),"7,09")</f>
        <v>7,09</v>
      </c>
      <c r="G129" s="3"/>
      <c r="H129" s="3" t="str">
        <f>IFERROR(__xludf.DUMMYFUNCTION("""COMPUTED_VALUE"""),"-7,85%")</f>
        <v>-7,85%</v>
      </c>
      <c r="I129" s="3" t="str">
        <f t="shared" si="1"/>
        <v>Noruega </v>
      </c>
      <c r="J129" s="3">
        <f t="shared" si="3"/>
        <v>44.065</v>
      </c>
      <c r="K129" s="3">
        <f t="shared" si="4"/>
        <v>0.09</v>
      </c>
      <c r="L129" s="4">
        <f t="shared" si="5"/>
        <v>-0.0202</v>
      </c>
      <c r="M129" s="3">
        <f t="shared" si="6"/>
        <v>7.86</v>
      </c>
    </row>
    <row r="130">
      <c r="B130" s="3" t="str">
        <f t="shared" si="2"/>
        <v>Noruega </v>
      </c>
      <c r="C130" s="3" t="str">
        <f>IFERROR(__xludf.DUMMYFUNCTION("""COMPUTED_VALUE"""),"Noruega [+]")</f>
        <v>Noruega [+]</v>
      </c>
      <c r="D130" s="5">
        <f>IFERROR(__xludf.DUMMYFUNCTION("""COMPUTED_VALUE"""),44065.0)</f>
        <v>44065</v>
      </c>
      <c r="E130" s="3" t="str">
        <f>IFERROR(__xludf.DUMMYFUNCTION("""COMPUTED_VALUE"""),"0,09")</f>
        <v>0,09</v>
      </c>
      <c r="F130" s="3" t="str">
        <f>IFERROR(__xludf.DUMMYFUNCTION("""COMPUTED_VALUE"""),"7,86")</f>
        <v>7,86</v>
      </c>
      <c r="G130" s="3"/>
      <c r="H130" s="3" t="str">
        <f>IFERROR(__xludf.DUMMYFUNCTION("""COMPUTED_VALUE"""),"-2,02%")</f>
        <v>-2,02%</v>
      </c>
      <c r="I130" s="3" t="str">
        <f t="shared" si="1"/>
        <v>Nepal </v>
      </c>
      <c r="J130" s="3">
        <f t="shared" si="3"/>
        <v>17.934</v>
      </c>
      <c r="K130" s="3">
        <f t="shared" si="4"/>
        <v>0.12</v>
      </c>
      <c r="L130" s="4">
        <f t="shared" si="5"/>
        <v>0.0309</v>
      </c>
      <c r="M130" s="3">
        <f t="shared" si="6"/>
        <v>0.57</v>
      </c>
    </row>
    <row r="131">
      <c r="B131" s="3" t="str">
        <f t="shared" si="2"/>
        <v>Nepal </v>
      </c>
      <c r="C131" s="3" t="str">
        <f>IFERROR(__xludf.DUMMYFUNCTION("""COMPUTED_VALUE"""),"Nepal [+]")</f>
        <v>Nepal [+]</v>
      </c>
      <c r="D131" s="5">
        <f>IFERROR(__xludf.DUMMYFUNCTION("""COMPUTED_VALUE"""),17934.0)</f>
        <v>17934</v>
      </c>
      <c r="E131" s="3" t="str">
        <f>IFERROR(__xludf.DUMMYFUNCTION("""COMPUTED_VALUE"""),"0,12")</f>
        <v>0,12</v>
      </c>
      <c r="F131" s="3" t="str">
        <f>IFERROR(__xludf.DUMMYFUNCTION("""COMPUTED_VALUE"""),"0,57")</f>
        <v>0,57</v>
      </c>
      <c r="G131" s="3"/>
      <c r="H131" s="3" t="str">
        <f>IFERROR(__xludf.DUMMYFUNCTION("""COMPUTED_VALUE"""),"3,09%")</f>
        <v>3,09%</v>
      </c>
      <c r="I131" s="3" t="str">
        <f t="shared" si="1"/>
        <v>Nueva Zelanda </v>
      </c>
      <c r="J131" s="3">
        <f t="shared" si="3"/>
        <v>35.795</v>
      </c>
      <c r="K131" s="3">
        <f t="shared" si="4"/>
        <v>0.14</v>
      </c>
      <c r="L131" s="4">
        <f t="shared" si="5"/>
        <v>0.0264</v>
      </c>
      <c r="M131" s="3">
        <f t="shared" si="6"/>
        <v>7.22</v>
      </c>
    </row>
    <row r="132">
      <c r="B132" s="3" t="str">
        <f t="shared" si="2"/>
        <v>Nueva Zelanda </v>
      </c>
      <c r="C132" s="3" t="str">
        <f>IFERROR(__xludf.DUMMYFUNCTION("""COMPUTED_VALUE"""),"Nueva Zelanda [+]")</f>
        <v>Nueva Zelanda [+]</v>
      </c>
      <c r="D132" s="5">
        <f>IFERROR(__xludf.DUMMYFUNCTION("""COMPUTED_VALUE"""),35795.0)</f>
        <v>35795</v>
      </c>
      <c r="E132" s="3" t="str">
        <f>IFERROR(__xludf.DUMMYFUNCTION("""COMPUTED_VALUE"""),"0,14")</f>
        <v>0,14</v>
      </c>
      <c r="F132" s="3" t="str">
        <f>IFERROR(__xludf.DUMMYFUNCTION("""COMPUTED_VALUE"""),"7,22")</f>
        <v>7,22</v>
      </c>
      <c r="G132" s="3"/>
      <c r="H132" s="3" t="str">
        <f>IFERROR(__xludf.DUMMYFUNCTION("""COMPUTED_VALUE"""),"2,64%")</f>
        <v>2,64%</v>
      </c>
      <c r="I132" s="3" t="str">
        <f t="shared" si="1"/>
        <v>Omán </v>
      </c>
      <c r="J132" s="3">
        <f t="shared" si="3"/>
        <v>93.094</v>
      </c>
      <c r="K132" s="3">
        <f t="shared" si="4"/>
        <v>0.5</v>
      </c>
      <c r="L132" s="4">
        <f t="shared" si="5"/>
        <v>0.009</v>
      </c>
      <c r="M132" s="3">
        <f t="shared" si="6"/>
        <v>17.11</v>
      </c>
    </row>
    <row r="133">
      <c r="B133" s="3" t="str">
        <f t="shared" si="2"/>
        <v>Omán </v>
      </c>
      <c r="C133" s="3" t="str">
        <f>IFERROR(__xludf.DUMMYFUNCTION("""COMPUTED_VALUE"""),"Omán [+]")</f>
        <v>Omán [+]</v>
      </c>
      <c r="D133" s="5">
        <f>IFERROR(__xludf.DUMMYFUNCTION("""COMPUTED_VALUE"""),93094.0)</f>
        <v>93094</v>
      </c>
      <c r="E133" s="3" t="str">
        <f>IFERROR(__xludf.DUMMYFUNCTION("""COMPUTED_VALUE"""),"0,50")</f>
        <v>0,50</v>
      </c>
      <c r="F133" s="3" t="str">
        <f>IFERROR(__xludf.DUMMYFUNCTION("""COMPUTED_VALUE"""),"17,11")</f>
        <v>17,11</v>
      </c>
      <c r="G133" s="3"/>
      <c r="H133" s="3" t="str">
        <f>IFERROR(__xludf.DUMMYFUNCTION("""COMPUTED_VALUE"""),"0,90%")</f>
        <v>0,90%</v>
      </c>
      <c r="I133" s="3" t="str">
        <f t="shared" si="1"/>
        <v>Panamá </v>
      </c>
      <c r="J133" s="3">
        <f t="shared" si="3"/>
        <v>14.721</v>
      </c>
      <c r="K133" s="3">
        <f t="shared" si="4"/>
        <v>0.09</v>
      </c>
      <c r="L133" s="4">
        <f t="shared" si="5"/>
        <v>0.2102</v>
      </c>
      <c r="M133" s="3">
        <f t="shared" si="6"/>
        <v>3.29</v>
      </c>
    </row>
    <row r="134">
      <c r="B134" s="3" t="str">
        <f t="shared" si="2"/>
        <v>Panamá </v>
      </c>
      <c r="C134" s="3" t="str">
        <f>IFERROR(__xludf.DUMMYFUNCTION("""COMPUTED_VALUE"""),"Panamá [+]")</f>
        <v>Panamá [+]</v>
      </c>
      <c r="D134" s="5">
        <f>IFERROR(__xludf.DUMMYFUNCTION("""COMPUTED_VALUE"""),14721.0)</f>
        <v>14721</v>
      </c>
      <c r="E134" s="3" t="str">
        <f>IFERROR(__xludf.DUMMYFUNCTION("""COMPUTED_VALUE"""),"0,09")</f>
        <v>0,09</v>
      </c>
      <c r="F134" s="3" t="str">
        <f>IFERROR(__xludf.DUMMYFUNCTION("""COMPUTED_VALUE"""),"3,29")</f>
        <v>3,29</v>
      </c>
      <c r="G134" s="3"/>
      <c r="H134" s="3" t="str">
        <f>IFERROR(__xludf.DUMMYFUNCTION("""COMPUTED_VALUE"""),"21,02%")</f>
        <v>21,02%</v>
      </c>
      <c r="I134" s="3" t="str">
        <f t="shared" si="1"/>
        <v>Perú </v>
      </c>
      <c r="J134" s="3">
        <f t="shared" si="3"/>
        <v>58.403</v>
      </c>
      <c r="K134" s="3">
        <f t="shared" si="4"/>
        <v>0.11</v>
      </c>
      <c r="L134" s="4">
        <f t="shared" si="5"/>
        <v>0.0136</v>
      </c>
      <c r="M134" s="3">
        <f t="shared" si="6"/>
        <v>1.7</v>
      </c>
    </row>
    <row r="135">
      <c r="B135" s="3" t="str">
        <f t="shared" si="2"/>
        <v>Perú </v>
      </c>
      <c r="C135" s="3" t="str">
        <f>IFERROR(__xludf.DUMMYFUNCTION("""COMPUTED_VALUE"""),"Perú [+]")</f>
        <v>Perú [+]</v>
      </c>
      <c r="D135" s="5">
        <f>IFERROR(__xludf.DUMMYFUNCTION("""COMPUTED_VALUE"""),58403.0)</f>
        <v>58403</v>
      </c>
      <c r="E135" s="3" t="str">
        <f>IFERROR(__xludf.DUMMYFUNCTION("""COMPUTED_VALUE"""),"0,11")</f>
        <v>0,11</v>
      </c>
      <c r="F135" s="3" t="str">
        <f>IFERROR(__xludf.DUMMYFUNCTION("""COMPUTED_VALUE"""),"1,70")</f>
        <v>1,70</v>
      </c>
      <c r="G135" s="3"/>
      <c r="H135" s="3" t="str">
        <f>IFERROR(__xludf.DUMMYFUNCTION("""COMPUTED_VALUE"""),"1,36%")</f>
        <v>1,36%</v>
      </c>
      <c r="I135" s="3" t="str">
        <f t="shared" si="1"/>
        <v>Papúa Nueva Guinea </v>
      </c>
      <c r="J135" s="3">
        <f t="shared" si="3"/>
        <v>5.952</v>
      </c>
      <c r="K135" s="3">
        <f t="shared" si="4"/>
        <v>0.14</v>
      </c>
      <c r="L135" s="4">
        <f t="shared" si="5"/>
        <v>0.0048</v>
      </c>
      <c r="M135" s="3">
        <f t="shared" si="6"/>
        <v>0.64</v>
      </c>
    </row>
    <row r="136">
      <c r="B136" s="3" t="str">
        <f t="shared" si="2"/>
        <v>Papúa Nueva Guinea </v>
      </c>
      <c r="C136" s="3" t="str">
        <f>IFERROR(__xludf.DUMMYFUNCTION("""COMPUTED_VALUE"""),"Papúa Nueva Guinea [+]")</f>
        <v>Papúa Nueva Guinea [+]</v>
      </c>
      <c r="D136" s="5">
        <f>IFERROR(__xludf.DUMMYFUNCTION("""COMPUTED_VALUE"""),5952.0)</f>
        <v>5952</v>
      </c>
      <c r="E136" s="3" t="str">
        <f>IFERROR(__xludf.DUMMYFUNCTION("""COMPUTED_VALUE"""),"0,14")</f>
        <v>0,14</v>
      </c>
      <c r="F136" s="3" t="str">
        <f>IFERROR(__xludf.DUMMYFUNCTION("""COMPUTED_VALUE"""),"0,64")</f>
        <v>0,64</v>
      </c>
      <c r="G136" s="3"/>
      <c r="H136" s="3" t="str">
        <f>IFERROR(__xludf.DUMMYFUNCTION("""COMPUTED_VALUE"""),"0,48%")</f>
        <v>0,48%</v>
      </c>
      <c r="I136" s="3" t="str">
        <f t="shared" si="1"/>
        <v>Filipinas </v>
      </c>
      <c r="J136" s="3">
        <f t="shared" si="3"/>
        <v>161.288</v>
      </c>
      <c r="K136" s="3">
        <f t="shared" si="4"/>
        <v>0.14</v>
      </c>
      <c r="L136" s="4">
        <f t="shared" si="5"/>
        <v>0.0558</v>
      </c>
      <c r="M136" s="3">
        <f t="shared" si="6"/>
        <v>1.41</v>
      </c>
    </row>
    <row r="137">
      <c r="B137" s="3" t="str">
        <f t="shared" si="2"/>
        <v>Filipinas </v>
      </c>
      <c r="C137" s="3" t="str">
        <f>IFERROR(__xludf.DUMMYFUNCTION("""COMPUTED_VALUE"""),"Filipinas [+]")</f>
        <v>Filipinas [+]</v>
      </c>
      <c r="D137" s="5">
        <f>IFERROR(__xludf.DUMMYFUNCTION("""COMPUTED_VALUE"""),161288.0)</f>
        <v>161288</v>
      </c>
      <c r="E137" s="3" t="str">
        <f>IFERROR(__xludf.DUMMYFUNCTION("""COMPUTED_VALUE"""),"0,14")</f>
        <v>0,14</v>
      </c>
      <c r="F137" s="3" t="str">
        <f>IFERROR(__xludf.DUMMYFUNCTION("""COMPUTED_VALUE"""),"1,41")</f>
        <v>1,41</v>
      </c>
      <c r="G137" s="3"/>
      <c r="H137" s="3" t="str">
        <f>IFERROR(__xludf.DUMMYFUNCTION("""COMPUTED_VALUE"""),"5,58%")</f>
        <v>5,58%</v>
      </c>
      <c r="I137" s="3" t="str">
        <f t="shared" si="1"/>
        <v>Pakistán </v>
      </c>
      <c r="J137" s="3">
        <f t="shared" si="3"/>
        <v>200.51</v>
      </c>
      <c r="K137" s="3">
        <f t="shared" si="4"/>
        <v>0.15</v>
      </c>
      <c r="L137" s="4">
        <f t="shared" si="5"/>
        <v>-0.0985</v>
      </c>
      <c r="M137" s="3">
        <f t="shared" si="6"/>
        <v>0.91</v>
      </c>
    </row>
    <row r="138">
      <c r="B138" s="3" t="str">
        <f t="shared" si="2"/>
        <v>Pakistán </v>
      </c>
      <c r="C138" s="3" t="str">
        <f>IFERROR(__xludf.DUMMYFUNCTION("""COMPUTED_VALUE"""),"Pakistán [+]")</f>
        <v>Pakistán [+]</v>
      </c>
      <c r="D138" s="5">
        <f>IFERROR(__xludf.DUMMYFUNCTION("""COMPUTED_VALUE"""),200510.0)</f>
        <v>200510</v>
      </c>
      <c r="E138" s="3" t="str">
        <f>IFERROR(__xludf.DUMMYFUNCTION("""COMPUTED_VALUE"""),"0,15")</f>
        <v>0,15</v>
      </c>
      <c r="F138" s="3" t="str">
        <f>IFERROR(__xludf.DUMMYFUNCTION("""COMPUTED_VALUE"""),"0,91")</f>
        <v>0,91</v>
      </c>
      <c r="G138" s="3"/>
      <c r="H138" s="3" t="str">
        <f>IFERROR(__xludf.DUMMYFUNCTION("""COMPUTED_VALUE"""),"-9,85%")</f>
        <v>-9,85%</v>
      </c>
      <c r="I138" s="3" t="str">
        <f t="shared" si="1"/>
        <v>Polonia </v>
      </c>
      <c r="J138" s="3">
        <f t="shared" si="3"/>
        <v>286.907</v>
      </c>
      <c r="K138" s="3">
        <f t="shared" si="4"/>
        <v>0.18</v>
      </c>
      <c r="L138" s="4">
        <f t="shared" si="5"/>
        <v>-0.093</v>
      </c>
      <c r="M138" s="3">
        <f t="shared" si="6"/>
        <v>7.63</v>
      </c>
    </row>
    <row r="139">
      <c r="B139" s="3" t="str">
        <f t="shared" si="2"/>
        <v>Polonia </v>
      </c>
      <c r="C139" s="3" t="str">
        <f>IFERROR(__xludf.DUMMYFUNCTION("""COMPUTED_VALUE"""),"Polonia [+]")</f>
        <v>Polonia [+]</v>
      </c>
      <c r="D139" s="5">
        <f>IFERROR(__xludf.DUMMYFUNCTION("""COMPUTED_VALUE"""),286907.0)</f>
        <v>286907</v>
      </c>
      <c r="E139" s="3" t="str">
        <f>IFERROR(__xludf.DUMMYFUNCTION("""COMPUTED_VALUE"""),"0,18")</f>
        <v>0,18</v>
      </c>
      <c r="F139" s="3" t="str">
        <f>IFERROR(__xludf.DUMMYFUNCTION("""COMPUTED_VALUE"""),"7,63")</f>
        <v>7,63</v>
      </c>
      <c r="G139" s="3"/>
      <c r="H139" s="3" t="str">
        <f>IFERROR(__xludf.DUMMYFUNCTION("""COMPUTED_VALUE"""),"-9,30%")</f>
        <v>-9,30%</v>
      </c>
      <c r="I139" s="3" t="str">
        <f t="shared" si="1"/>
        <v>Palaos </v>
      </c>
      <c r="J139" s="3">
        <f t="shared" si="3"/>
        <v>1.44</v>
      </c>
      <c r="K139" s="3">
        <f t="shared" si="4"/>
        <v>5.06</v>
      </c>
      <c r="L139" s="4">
        <f t="shared" si="5"/>
        <v>0.0297</v>
      </c>
      <c r="M139" s="3">
        <f t="shared" si="6"/>
        <v>62.59</v>
      </c>
    </row>
    <row r="140">
      <c r="B140" s="3" t="str">
        <f t="shared" si="2"/>
        <v>Palaos </v>
      </c>
      <c r="C140" s="3" t="str">
        <f>IFERROR(__xludf.DUMMYFUNCTION("""COMPUTED_VALUE"""),"Palaos [+]")</f>
        <v>Palaos [+]</v>
      </c>
      <c r="D140" s="5">
        <f>IFERROR(__xludf.DUMMYFUNCTION("""COMPUTED_VALUE"""),1440.0)</f>
        <v>1440</v>
      </c>
      <c r="E140" s="3" t="str">
        <f>IFERROR(__xludf.DUMMYFUNCTION("""COMPUTED_VALUE"""),"5,06")</f>
        <v>5,06</v>
      </c>
      <c r="F140" s="3" t="str">
        <f>IFERROR(__xludf.DUMMYFUNCTION("""COMPUTED_VALUE"""),"62,59")</f>
        <v>62,59</v>
      </c>
      <c r="G140" s="3"/>
      <c r="H140" s="3" t="str">
        <f>IFERROR(__xludf.DUMMYFUNCTION("""COMPUTED_VALUE"""),"2,97%")</f>
        <v>2,97%</v>
      </c>
      <c r="I140" s="3" t="str">
        <f t="shared" si="1"/>
        <v>Paraguay </v>
      </c>
      <c r="J140" s="3">
        <f t="shared" si="3"/>
        <v>8.254</v>
      </c>
      <c r="K140" s="3">
        <f t="shared" si="4"/>
        <v>0.08</v>
      </c>
      <c r="L140" s="4">
        <f t="shared" si="5"/>
        <v>-0.0021</v>
      </c>
      <c r="M140" s="3">
        <f t="shared" si="6"/>
        <v>1.13</v>
      </c>
    </row>
    <row r="141">
      <c r="B141" s="3" t="str">
        <f t="shared" si="2"/>
        <v>Paraguay </v>
      </c>
      <c r="C141" s="3" t="str">
        <f>IFERROR(__xludf.DUMMYFUNCTION("""COMPUTED_VALUE"""),"Paraguay [+]")</f>
        <v>Paraguay [+]</v>
      </c>
      <c r="D141" s="5">
        <f>IFERROR(__xludf.DUMMYFUNCTION("""COMPUTED_VALUE"""),8254.0)</f>
        <v>8254</v>
      </c>
      <c r="E141" s="3" t="str">
        <f>IFERROR(__xludf.DUMMYFUNCTION("""COMPUTED_VALUE"""),"0,08")</f>
        <v>0,08</v>
      </c>
      <c r="F141" s="3" t="str">
        <f>IFERROR(__xludf.DUMMYFUNCTION("""COMPUTED_VALUE"""),"1,13")</f>
        <v>1,13</v>
      </c>
      <c r="G141" s="3"/>
      <c r="H141" s="3" t="str">
        <f>IFERROR(__xludf.DUMMYFUNCTION("""COMPUTED_VALUE"""),"-0,21%")</f>
        <v>-0,21%</v>
      </c>
      <c r="I141" s="3" t="str">
        <f t="shared" si="1"/>
        <v>Catar </v>
      </c>
      <c r="J141" s="3">
        <f t="shared" si="3"/>
        <v>127.908</v>
      </c>
      <c r="K141" s="3">
        <f t="shared" si="4"/>
        <v>0.41</v>
      </c>
      <c r="L141" s="4">
        <f t="shared" si="5"/>
        <v>0.0597</v>
      </c>
      <c r="M141" s="3">
        <f t="shared" si="6"/>
        <v>43.55</v>
      </c>
    </row>
    <row r="142">
      <c r="B142" s="3" t="str">
        <f t="shared" si="2"/>
        <v>Catar </v>
      </c>
      <c r="C142" s="3" t="str">
        <f>IFERROR(__xludf.DUMMYFUNCTION("""COMPUTED_VALUE"""),"Catar [+]")</f>
        <v>Catar [+]</v>
      </c>
      <c r="D142" s="5">
        <f>IFERROR(__xludf.DUMMYFUNCTION("""COMPUTED_VALUE"""),127908.0)</f>
        <v>127908</v>
      </c>
      <c r="E142" s="3" t="str">
        <f>IFERROR(__xludf.DUMMYFUNCTION("""COMPUTED_VALUE"""),"0,41")</f>
        <v>0,41</v>
      </c>
      <c r="F142" s="3" t="str">
        <f>IFERROR(__xludf.DUMMYFUNCTION("""COMPUTED_VALUE"""),"43,55")</f>
        <v>43,55</v>
      </c>
      <c r="G142" s="3"/>
      <c r="H142" s="3" t="str">
        <f>IFERROR(__xludf.DUMMYFUNCTION("""COMPUTED_VALUE"""),"5,97%")</f>
        <v>5,97%</v>
      </c>
      <c r="I142" s="3" t="str">
        <f t="shared" si="1"/>
        <v>Rumanía </v>
      </c>
      <c r="J142" s="3">
        <f t="shared" si="3"/>
        <v>70.773</v>
      </c>
      <c r="K142" s="3">
        <f t="shared" si="4"/>
        <v>0.09</v>
      </c>
      <c r="L142" s="4">
        <f t="shared" si="5"/>
        <v>-0.0641</v>
      </c>
      <c r="M142" s="3">
        <f t="shared" si="6"/>
        <v>3.7</v>
      </c>
    </row>
    <row r="143">
      <c r="B143" s="3" t="str">
        <f t="shared" si="2"/>
        <v>Rumanía </v>
      </c>
      <c r="C143" s="3" t="str">
        <f>IFERROR(__xludf.DUMMYFUNCTION("""COMPUTED_VALUE"""),"Rumanía [+]")</f>
        <v>Rumanía [+]</v>
      </c>
      <c r="D143" s="5">
        <f>IFERROR(__xludf.DUMMYFUNCTION("""COMPUTED_VALUE"""),70773.0)</f>
        <v>70773</v>
      </c>
      <c r="E143" s="3" t="str">
        <f>IFERROR(__xludf.DUMMYFUNCTION("""COMPUTED_VALUE"""),"0,09")</f>
        <v>0,09</v>
      </c>
      <c r="F143" s="3" t="str">
        <f>IFERROR(__xludf.DUMMYFUNCTION("""COMPUTED_VALUE"""),"3,70")</f>
        <v>3,70</v>
      </c>
      <c r="G143" s="3"/>
      <c r="H143" s="3" t="str">
        <f>IFERROR(__xludf.DUMMYFUNCTION("""COMPUTED_VALUE"""),"-6,41%")</f>
        <v>-6,41%</v>
      </c>
      <c r="I143" s="3" t="str">
        <f t="shared" si="1"/>
        <v>Rusia </v>
      </c>
      <c r="J143" s="3">
        <f t="shared" si="3"/>
        <v>2069.502</v>
      </c>
      <c r="K143" s="3">
        <f t="shared" si="4"/>
        <v>0.36</v>
      </c>
      <c r="L143" s="4">
        <f t="shared" si="5"/>
        <v>0.0236</v>
      </c>
      <c r="M143" s="3">
        <f t="shared" si="6"/>
        <v>14.45</v>
      </c>
    </row>
    <row r="144">
      <c r="B144" s="3" t="str">
        <f t="shared" si="2"/>
        <v>Rusia </v>
      </c>
      <c r="C144" s="3" t="str">
        <f>IFERROR(__xludf.DUMMYFUNCTION("""COMPUTED_VALUE"""),"Rusia [+]")</f>
        <v>Rusia [+]</v>
      </c>
      <c r="D144" s="3" t="str">
        <f>IFERROR(__xludf.DUMMYFUNCTION("""COMPUTED_VALUE"""),"2.069,502")</f>
        <v>2.069,502</v>
      </c>
      <c r="E144" s="3" t="str">
        <f>IFERROR(__xludf.DUMMYFUNCTION("""COMPUTED_VALUE"""),"0,36")</f>
        <v>0,36</v>
      </c>
      <c r="F144" s="3" t="str">
        <f>IFERROR(__xludf.DUMMYFUNCTION("""COMPUTED_VALUE"""),"14,45")</f>
        <v>14,45</v>
      </c>
      <c r="G144" s="3"/>
      <c r="H144" s="3" t="str">
        <f>IFERROR(__xludf.DUMMYFUNCTION("""COMPUTED_VALUE"""),"2,36%")</f>
        <v>2,36%</v>
      </c>
      <c r="I144" s="3" t="str">
        <f t="shared" si="1"/>
        <v>Ruanda </v>
      </c>
      <c r="J144" s="3">
        <f t="shared" si="3"/>
        <v>1.646</v>
      </c>
      <c r="K144" s="3">
        <f t="shared" si="4"/>
        <v>0.04</v>
      </c>
      <c r="L144" s="4">
        <f t="shared" si="5"/>
        <v>-0.0066</v>
      </c>
      <c r="M144" s="3">
        <f t="shared" si="6"/>
        <v>0.12</v>
      </c>
    </row>
    <row r="145">
      <c r="B145" s="3" t="str">
        <f t="shared" si="2"/>
        <v>Ruanda </v>
      </c>
      <c r="C145" s="3" t="str">
        <f>IFERROR(__xludf.DUMMYFUNCTION("""COMPUTED_VALUE"""),"Ruanda [+]")</f>
        <v>Ruanda [+]</v>
      </c>
      <c r="D145" s="5">
        <f>IFERROR(__xludf.DUMMYFUNCTION("""COMPUTED_VALUE"""),1646.0)</f>
        <v>1646</v>
      </c>
      <c r="E145" s="3" t="str">
        <f>IFERROR(__xludf.DUMMYFUNCTION("""COMPUTED_VALUE"""),"0,04")</f>
        <v>0,04</v>
      </c>
      <c r="F145" s="3" t="str">
        <f>IFERROR(__xludf.DUMMYFUNCTION("""COMPUTED_VALUE"""),"0,12")</f>
        <v>0,12</v>
      </c>
      <c r="G145" s="3"/>
      <c r="H145" s="3" t="str">
        <f>IFERROR(__xludf.DUMMYFUNCTION("""COMPUTED_VALUE"""),"-0,66%")</f>
        <v>-0,66%</v>
      </c>
      <c r="I145" s="3" t="str">
        <f t="shared" si="1"/>
        <v>Arabia Saudita </v>
      </c>
      <c r="J145" s="3">
        <f t="shared" si="3"/>
        <v>622.914</v>
      </c>
      <c r="K145" s="3">
        <f t="shared" si="4"/>
        <v>0.34</v>
      </c>
      <c r="L145" s="4">
        <f t="shared" si="5"/>
        <v>0.0146</v>
      </c>
      <c r="M145" s="3">
        <f t="shared" si="6"/>
        <v>17.15</v>
      </c>
    </row>
    <row r="146">
      <c r="B146" s="3" t="str">
        <f t="shared" si="2"/>
        <v>Arabia Saudita </v>
      </c>
      <c r="C146" s="3" t="str">
        <f>IFERROR(__xludf.DUMMYFUNCTION("""COMPUTED_VALUE"""),"Arabia Saudita [+]")</f>
        <v>Arabia Saudita [+]</v>
      </c>
      <c r="D146" s="5">
        <f>IFERROR(__xludf.DUMMYFUNCTION("""COMPUTED_VALUE"""),622914.0)</f>
        <v>622914</v>
      </c>
      <c r="E146" s="3" t="str">
        <f>IFERROR(__xludf.DUMMYFUNCTION("""COMPUTED_VALUE"""),"0,34")</f>
        <v>0,34</v>
      </c>
      <c r="F146" s="3" t="str">
        <f>IFERROR(__xludf.DUMMYFUNCTION("""COMPUTED_VALUE"""),"17,15")</f>
        <v>17,15</v>
      </c>
      <c r="G146" s="3"/>
      <c r="H146" s="3" t="str">
        <f>IFERROR(__xludf.DUMMYFUNCTION("""COMPUTED_VALUE"""),"1,46%")</f>
        <v>1,46%</v>
      </c>
      <c r="I146" s="3" t="str">
        <f t="shared" si="1"/>
        <v>Islas Salomón </v>
      </c>
      <c r="J146" s="3">
        <f t="shared" si="3"/>
        <v>419</v>
      </c>
      <c r="K146" s="3">
        <f t="shared" si="4"/>
        <v>0.21</v>
      </c>
      <c r="L146" s="4">
        <f t="shared" si="5"/>
        <v>0.0161</v>
      </c>
      <c r="M146" s="3">
        <f t="shared" si="6"/>
        <v>0.61</v>
      </c>
    </row>
    <row r="147">
      <c r="B147" s="3" t="str">
        <f t="shared" si="2"/>
        <v>Islas Salomón </v>
      </c>
      <c r="C147" s="3" t="str">
        <f>IFERROR(__xludf.DUMMYFUNCTION("""COMPUTED_VALUE"""),"Islas Salomón [+]")</f>
        <v>Islas Salomón [+]</v>
      </c>
      <c r="D147" s="5">
        <f>IFERROR(__xludf.DUMMYFUNCTION("""COMPUTED_VALUE"""),419.0)</f>
        <v>419</v>
      </c>
      <c r="E147" s="3" t="str">
        <f>IFERROR(__xludf.DUMMYFUNCTION("""COMPUTED_VALUE"""),"0,21")</f>
        <v>0,21</v>
      </c>
      <c r="F147" s="3" t="str">
        <f>IFERROR(__xludf.DUMMYFUNCTION("""COMPUTED_VALUE"""),"0,61")</f>
        <v>0,61</v>
      </c>
      <c r="G147" s="3"/>
      <c r="H147" s="3" t="str">
        <f>IFERROR(__xludf.DUMMYFUNCTION("""COMPUTED_VALUE"""),"1,61%")</f>
        <v>1,61%</v>
      </c>
      <c r="I147" s="3" t="str">
        <f t="shared" si="1"/>
        <v>Seychelles </v>
      </c>
      <c r="J147" s="3">
        <f t="shared" si="3"/>
        <v>1.237</v>
      </c>
      <c r="K147" s="3">
        <f t="shared" si="4"/>
        <v>0.35</v>
      </c>
      <c r="L147" s="4">
        <f t="shared" si="5"/>
        <v>0.0289</v>
      </c>
      <c r="M147" s="3">
        <f t="shared" si="6"/>
        <v>12.76</v>
      </c>
    </row>
    <row r="148">
      <c r="B148" s="3" t="str">
        <f t="shared" si="2"/>
        <v>Seychelles </v>
      </c>
      <c r="C148" s="3" t="str">
        <f>IFERROR(__xludf.DUMMYFUNCTION("""COMPUTED_VALUE"""),"Seychelles [+]")</f>
        <v>Seychelles [+]</v>
      </c>
      <c r="D148" s="5">
        <f>IFERROR(__xludf.DUMMYFUNCTION("""COMPUTED_VALUE"""),1237.0)</f>
        <v>1237</v>
      </c>
      <c r="E148" s="3" t="str">
        <f>IFERROR(__xludf.DUMMYFUNCTION("""COMPUTED_VALUE"""),"0,35")</f>
        <v>0,35</v>
      </c>
      <c r="F148" s="3" t="str">
        <f>IFERROR(__xludf.DUMMYFUNCTION("""COMPUTED_VALUE"""),"12,76")</f>
        <v>12,76</v>
      </c>
      <c r="G148" s="3"/>
      <c r="H148" s="3" t="str">
        <f>IFERROR(__xludf.DUMMYFUNCTION("""COMPUTED_VALUE"""),"2,89%")</f>
        <v>2,89%</v>
      </c>
      <c r="I148" s="3" t="str">
        <f t="shared" si="1"/>
        <v>Sudán </v>
      </c>
      <c r="J148" s="3">
        <f t="shared" si="3"/>
        <v>21.273</v>
      </c>
      <c r="K148" s="3">
        <f t="shared" si="4"/>
        <v>0.14</v>
      </c>
      <c r="L148" s="4">
        <f t="shared" si="5"/>
        <v>-0.0291</v>
      </c>
      <c r="M148" s="3">
        <f t="shared" si="6"/>
        <v>0.34</v>
      </c>
    </row>
    <row r="149">
      <c r="B149" s="3" t="str">
        <f t="shared" si="2"/>
        <v>Sudán </v>
      </c>
      <c r="C149" s="3" t="str">
        <f>IFERROR(__xludf.DUMMYFUNCTION("""COMPUTED_VALUE"""),"Sudán [+]")</f>
        <v>Sudán [+]</v>
      </c>
      <c r="D149" s="5">
        <f>IFERROR(__xludf.DUMMYFUNCTION("""COMPUTED_VALUE"""),21273.0)</f>
        <v>21273</v>
      </c>
      <c r="E149" s="3" t="str">
        <f>IFERROR(__xludf.DUMMYFUNCTION("""COMPUTED_VALUE"""),"0,14")</f>
        <v>0,14</v>
      </c>
      <c r="F149" s="3" t="str">
        <f>IFERROR(__xludf.DUMMYFUNCTION("""COMPUTED_VALUE"""),"0,34")</f>
        <v>0,34</v>
      </c>
      <c r="G149" s="3"/>
      <c r="H149" s="3" t="str">
        <f>IFERROR(__xludf.DUMMYFUNCTION("""COMPUTED_VALUE"""),"-2,91%")</f>
        <v>-2,91%</v>
      </c>
      <c r="I149" s="3" t="str">
        <f t="shared" si="1"/>
        <v>Suecia </v>
      </c>
      <c r="J149" s="3">
        <f t="shared" si="3"/>
        <v>35.392</v>
      </c>
      <c r="K149" s="3">
        <f t="shared" si="4"/>
        <v>0.05</v>
      </c>
      <c r="L149" s="4">
        <f t="shared" si="5"/>
        <v>-0.0284</v>
      </c>
      <c r="M149" s="3">
        <f t="shared" si="6"/>
        <v>3.43</v>
      </c>
    </row>
    <row r="150">
      <c r="B150" s="3" t="str">
        <f t="shared" si="2"/>
        <v>Suecia </v>
      </c>
      <c r="C150" s="3" t="str">
        <f>IFERROR(__xludf.DUMMYFUNCTION("""COMPUTED_VALUE"""),"Suecia [+]")</f>
        <v>Suecia [+]</v>
      </c>
      <c r="D150" s="5">
        <f>IFERROR(__xludf.DUMMYFUNCTION("""COMPUTED_VALUE"""),35392.0)</f>
        <v>35392</v>
      </c>
      <c r="E150" s="3" t="str">
        <f>IFERROR(__xludf.DUMMYFUNCTION("""COMPUTED_VALUE"""),"0,05")</f>
        <v>0,05</v>
      </c>
      <c r="F150" s="3" t="str">
        <f>IFERROR(__xludf.DUMMYFUNCTION("""COMPUTED_VALUE"""),"3,43")</f>
        <v>3,43</v>
      </c>
      <c r="G150" s="3"/>
      <c r="H150" s="3" t="str">
        <f>IFERROR(__xludf.DUMMYFUNCTION("""COMPUTED_VALUE"""),"-2,84%")</f>
        <v>-2,84%</v>
      </c>
      <c r="I150" s="3" t="str">
        <f t="shared" si="1"/>
        <v>Singapur </v>
      </c>
      <c r="J150" s="3">
        <f t="shared" si="3"/>
        <v>57.068</v>
      </c>
      <c r="K150" s="3">
        <f t="shared" si="4"/>
        <v>0.08</v>
      </c>
      <c r="L150" s="4">
        <f t="shared" si="5"/>
        <v>0.0166</v>
      </c>
      <c r="M150" s="3">
        <f t="shared" si="6"/>
        <v>9.38</v>
      </c>
    </row>
    <row r="151">
      <c r="B151" s="3" t="str">
        <f t="shared" si="2"/>
        <v>Singapur </v>
      </c>
      <c r="C151" s="3" t="str">
        <f>IFERROR(__xludf.DUMMYFUNCTION("""COMPUTED_VALUE"""),"Singapur [+]")</f>
        <v>Singapur [+]</v>
      </c>
      <c r="D151" s="5">
        <f>IFERROR(__xludf.DUMMYFUNCTION("""COMPUTED_VALUE"""),57068.0)</f>
        <v>57068</v>
      </c>
      <c r="E151" s="3" t="str">
        <f>IFERROR(__xludf.DUMMYFUNCTION("""COMPUTED_VALUE"""),"0,08")</f>
        <v>0,08</v>
      </c>
      <c r="F151" s="3" t="str">
        <f>IFERROR(__xludf.DUMMYFUNCTION("""COMPUTED_VALUE"""),"9,38")</f>
        <v>9,38</v>
      </c>
      <c r="G151" s="3"/>
      <c r="H151" s="3" t="str">
        <f>IFERROR(__xludf.DUMMYFUNCTION("""COMPUTED_VALUE"""),"1,66%")</f>
        <v>1,66%</v>
      </c>
      <c r="I151" s="3" t="str">
        <f t="shared" si="1"/>
        <v>Eslovenia </v>
      </c>
      <c r="J151" s="3">
        <f t="shared" si="3"/>
        <v>12.076</v>
      </c>
      <c r="K151" s="3">
        <f t="shared" si="4"/>
        <v>0.12</v>
      </c>
      <c r="L151" s="4">
        <f t="shared" si="5"/>
        <v>-0.0799</v>
      </c>
      <c r="M151" s="3">
        <f t="shared" si="6"/>
        <v>5.81</v>
      </c>
    </row>
    <row r="152">
      <c r="B152" s="3" t="str">
        <f t="shared" si="2"/>
        <v>Eslovenia </v>
      </c>
      <c r="C152" s="3" t="str">
        <f>IFERROR(__xludf.DUMMYFUNCTION("""COMPUTED_VALUE"""),"Eslovenia [+]")</f>
        <v>Eslovenia [+]</v>
      </c>
      <c r="D152" s="5">
        <f>IFERROR(__xludf.DUMMYFUNCTION("""COMPUTED_VALUE"""),12076.0)</f>
        <v>12076</v>
      </c>
      <c r="E152" s="3" t="str">
        <f>IFERROR(__xludf.DUMMYFUNCTION("""COMPUTED_VALUE"""),"0,12")</f>
        <v>0,12</v>
      </c>
      <c r="F152" s="3" t="str">
        <f>IFERROR(__xludf.DUMMYFUNCTION("""COMPUTED_VALUE"""),"5,81")</f>
        <v>5,81</v>
      </c>
      <c r="G152" s="3"/>
      <c r="H152" s="3" t="str">
        <f>IFERROR(__xludf.DUMMYFUNCTION("""COMPUTED_VALUE"""),"-7,99%")</f>
        <v>-7,99%</v>
      </c>
      <c r="I152" s="3" t="str">
        <f t="shared" si="1"/>
        <v>Eslovaquia </v>
      </c>
      <c r="J152" s="3">
        <f t="shared" si="3"/>
        <v>34.862</v>
      </c>
      <c r="K152" s="3">
        <f t="shared" si="4"/>
        <v>0.16</v>
      </c>
      <c r="L152" s="4">
        <f t="shared" si="5"/>
        <v>-0.0189</v>
      </c>
      <c r="M152" s="3">
        <f t="shared" si="6"/>
        <v>6.4</v>
      </c>
    </row>
    <row r="153">
      <c r="B153" s="3" t="str">
        <f t="shared" si="2"/>
        <v>Eslovaquia </v>
      </c>
      <c r="C153" s="3" t="str">
        <f>IFERROR(__xludf.DUMMYFUNCTION("""COMPUTED_VALUE"""),"Eslovaquia [+]")</f>
        <v>Eslovaquia [+]</v>
      </c>
      <c r="D153" s="5">
        <f>IFERROR(__xludf.DUMMYFUNCTION("""COMPUTED_VALUE"""),34862.0)</f>
        <v>34862</v>
      </c>
      <c r="E153" s="3" t="str">
        <f>IFERROR(__xludf.DUMMYFUNCTION("""COMPUTED_VALUE"""),"0,16")</f>
        <v>0,16</v>
      </c>
      <c r="F153" s="3" t="str">
        <f>IFERROR(__xludf.DUMMYFUNCTION("""COMPUTED_VALUE"""),"6,40")</f>
        <v>6,40</v>
      </c>
      <c r="G153" s="3"/>
      <c r="H153" s="3" t="str">
        <f>IFERROR(__xludf.DUMMYFUNCTION("""COMPUTED_VALUE"""),"-1,89%")</f>
        <v>-1,89%</v>
      </c>
      <c r="I153" s="3" t="str">
        <f t="shared" si="1"/>
        <v>Sierra Leona </v>
      </c>
      <c r="J153" s="3">
        <f t="shared" si="3"/>
        <v>1.075</v>
      </c>
      <c r="K153" s="3">
        <f t="shared" si="4"/>
        <v>0.07</v>
      </c>
      <c r="L153" s="4">
        <f t="shared" si="5"/>
        <v>-0.0442</v>
      </c>
      <c r="M153" s="3">
        <f t="shared" si="6"/>
        <v>0.13</v>
      </c>
    </row>
    <row r="154">
      <c r="B154" s="3" t="str">
        <f t="shared" si="2"/>
        <v>Sierra Leona </v>
      </c>
      <c r="C154" s="3" t="str">
        <f>IFERROR(__xludf.DUMMYFUNCTION("""COMPUTED_VALUE"""),"Sierra Leona [+]")</f>
        <v>Sierra Leona [+]</v>
      </c>
      <c r="D154" s="5">
        <f>IFERROR(__xludf.DUMMYFUNCTION("""COMPUTED_VALUE"""),1075.0)</f>
        <v>1075</v>
      </c>
      <c r="E154" s="3" t="str">
        <f>IFERROR(__xludf.DUMMYFUNCTION("""COMPUTED_VALUE"""),"0,07")</f>
        <v>0,07</v>
      </c>
      <c r="F154" s="3" t="str">
        <f>IFERROR(__xludf.DUMMYFUNCTION("""COMPUTED_VALUE"""),"0,13")</f>
        <v>0,13</v>
      </c>
      <c r="G154" s="3"/>
      <c r="H154" s="3" t="str">
        <f>IFERROR(__xludf.DUMMYFUNCTION("""COMPUTED_VALUE"""),"-4,42%")</f>
        <v>-4,42%</v>
      </c>
      <c r="I154" s="3" t="str">
        <f t="shared" si="1"/>
        <v>Senegal </v>
      </c>
      <c r="J154" s="3">
        <f t="shared" si="3"/>
        <v>12.024</v>
      </c>
      <c r="K154" s="3">
        <f t="shared" si="4"/>
        <v>0.16</v>
      </c>
      <c r="L154" s="4">
        <f t="shared" si="5"/>
        <v>-0.0518</v>
      </c>
      <c r="M154" s="3">
        <f t="shared" si="6"/>
        <v>0.65</v>
      </c>
    </row>
    <row r="155">
      <c r="B155" s="3" t="str">
        <f t="shared" si="2"/>
        <v>Senegal </v>
      </c>
      <c r="C155" s="3" t="str">
        <f>IFERROR(__xludf.DUMMYFUNCTION("""COMPUTED_VALUE"""),"Senegal [+]")</f>
        <v>Senegal [+]</v>
      </c>
      <c r="D155" s="5">
        <f>IFERROR(__xludf.DUMMYFUNCTION("""COMPUTED_VALUE"""),12024.0)</f>
        <v>12024</v>
      </c>
      <c r="E155" s="3" t="str">
        <f>IFERROR(__xludf.DUMMYFUNCTION("""COMPUTED_VALUE"""),"0,16")</f>
        <v>0,16</v>
      </c>
      <c r="F155" s="3" t="str">
        <f>IFERROR(__xludf.DUMMYFUNCTION("""COMPUTED_VALUE"""),"0,65")</f>
        <v>0,65</v>
      </c>
      <c r="G155" s="3"/>
      <c r="H155" s="3" t="str">
        <f>IFERROR(__xludf.DUMMYFUNCTION("""COMPUTED_VALUE"""),"-5,18%")</f>
        <v>-5,18%</v>
      </c>
      <c r="I155" s="3" t="str">
        <f t="shared" si="1"/>
        <v>Somalia </v>
      </c>
      <c r="J155" s="3">
        <f t="shared" si="3"/>
        <v>868</v>
      </c>
      <c r="K155" s="3">
        <f t="shared" si="4"/>
        <v>0.03</v>
      </c>
      <c r="L155" s="4">
        <f t="shared" si="5"/>
        <v>-0.0271</v>
      </c>
      <c r="M155" s="3">
        <f t="shared" si="6"/>
        <v>0.05</v>
      </c>
    </row>
    <row r="156">
      <c r="B156" s="3" t="str">
        <f t="shared" si="2"/>
        <v>Somalia </v>
      </c>
      <c r="C156" s="3" t="str">
        <f>IFERROR(__xludf.DUMMYFUNCTION("""COMPUTED_VALUE"""),"Somalia [+]")</f>
        <v>Somalia [+]</v>
      </c>
      <c r="D156" s="5">
        <f>IFERROR(__xludf.DUMMYFUNCTION("""COMPUTED_VALUE"""),868.0)</f>
        <v>868</v>
      </c>
      <c r="E156" s="3" t="str">
        <f>IFERROR(__xludf.DUMMYFUNCTION("""COMPUTED_VALUE"""),"0,03")</f>
        <v>0,03</v>
      </c>
      <c r="F156" s="3" t="str">
        <f>IFERROR(__xludf.DUMMYFUNCTION("""COMPUTED_VALUE"""),"0,05")</f>
        <v>0,05</v>
      </c>
      <c r="G156" s="3"/>
      <c r="H156" s="3" t="str">
        <f>IFERROR(__xludf.DUMMYFUNCTION("""COMPUTED_VALUE"""),"-2,71%")</f>
        <v>-2,71%</v>
      </c>
      <c r="I156" s="3" t="str">
        <f t="shared" si="1"/>
        <v>Surinam </v>
      </c>
      <c r="J156" s="3">
        <f t="shared" si="3"/>
        <v>2.629</v>
      </c>
      <c r="K156" s="3">
        <f t="shared" si="4"/>
        <v>0.22</v>
      </c>
      <c r="L156" s="4">
        <f t="shared" si="5"/>
        <v>0.0282</v>
      </c>
      <c r="M156" s="3">
        <f t="shared" si="6"/>
        <v>4.45</v>
      </c>
    </row>
    <row r="157">
      <c r="B157" s="3" t="str">
        <f t="shared" si="2"/>
        <v>Surinam </v>
      </c>
      <c r="C157" s="3" t="str">
        <f>IFERROR(__xludf.DUMMYFUNCTION("""COMPUTED_VALUE"""),"Surinam [+]")</f>
        <v>Surinam [+]</v>
      </c>
      <c r="D157" s="5">
        <f>IFERROR(__xludf.DUMMYFUNCTION("""COMPUTED_VALUE"""),2629.0)</f>
        <v>2629</v>
      </c>
      <c r="E157" s="3" t="str">
        <f>IFERROR(__xludf.DUMMYFUNCTION("""COMPUTED_VALUE"""),"0,22")</f>
        <v>0,22</v>
      </c>
      <c r="F157" s="3" t="str">
        <f>IFERROR(__xludf.DUMMYFUNCTION("""COMPUTED_VALUE"""),"4,45")</f>
        <v>4,45</v>
      </c>
      <c r="G157" s="3"/>
      <c r="H157" s="3" t="str">
        <f>IFERROR(__xludf.DUMMYFUNCTION("""COMPUTED_VALUE"""),"2,82%")</f>
        <v>2,82%</v>
      </c>
      <c r="I157" s="3" t="str">
        <f t="shared" si="1"/>
        <v>Santo Tomé y Príncipe </v>
      </c>
      <c r="J157" s="3">
        <f t="shared" si="3"/>
        <v>214</v>
      </c>
      <c r="K157" s="3">
        <f t="shared" si="4"/>
        <v>0.17</v>
      </c>
      <c r="L157" s="4">
        <f t="shared" si="5"/>
        <v>0.0181</v>
      </c>
      <c r="M157" s="3">
        <f t="shared" si="6"/>
        <v>0.92</v>
      </c>
    </row>
    <row r="158">
      <c r="B158" s="3" t="str">
        <f t="shared" si="2"/>
        <v>Santo Tomé y Príncipe </v>
      </c>
      <c r="C158" s="3" t="str">
        <f>IFERROR(__xludf.DUMMYFUNCTION("""COMPUTED_VALUE"""),"Santo Tomé y Príncipe [+]")</f>
        <v>Santo Tomé y Príncipe [+]</v>
      </c>
      <c r="D158" s="5">
        <f>IFERROR(__xludf.DUMMYFUNCTION("""COMPUTED_VALUE"""),214.0)</f>
        <v>214</v>
      </c>
      <c r="E158" s="3" t="str">
        <f>IFERROR(__xludf.DUMMYFUNCTION("""COMPUTED_VALUE"""),"0,17")</f>
        <v>0,17</v>
      </c>
      <c r="F158" s="3" t="str">
        <f>IFERROR(__xludf.DUMMYFUNCTION("""COMPUTED_VALUE"""),"0,92")</f>
        <v>0,92</v>
      </c>
      <c r="G158" s="3"/>
      <c r="H158" s="3" t="str">
        <f>IFERROR(__xludf.DUMMYFUNCTION("""COMPUTED_VALUE"""),"1,81%")</f>
        <v>1,81%</v>
      </c>
      <c r="I158" s="3" t="str">
        <f t="shared" si="1"/>
        <v>El Salvador </v>
      </c>
      <c r="J158" s="3">
        <f t="shared" si="3"/>
        <v>8.38</v>
      </c>
      <c r="K158" s="3">
        <f t="shared" si="4"/>
        <v>0.12</v>
      </c>
      <c r="L158" s="4">
        <f t="shared" si="5"/>
        <v>0.0531</v>
      </c>
      <c r="M158" s="3">
        <f t="shared" si="6"/>
        <v>1.27</v>
      </c>
    </row>
    <row r="159">
      <c r="B159" s="3" t="str">
        <f t="shared" si="2"/>
        <v>El Salvador </v>
      </c>
      <c r="C159" s="3" t="str">
        <f>IFERROR(__xludf.DUMMYFUNCTION("""COMPUTED_VALUE"""),"El Salvador [+]")</f>
        <v>El Salvador [+]</v>
      </c>
      <c r="D159" s="5">
        <f>IFERROR(__xludf.DUMMYFUNCTION("""COMPUTED_VALUE"""),8380.0)</f>
        <v>8380</v>
      </c>
      <c r="E159" s="3" t="str">
        <f>IFERROR(__xludf.DUMMYFUNCTION("""COMPUTED_VALUE"""),"0,12")</f>
        <v>0,12</v>
      </c>
      <c r="F159" s="3" t="str">
        <f>IFERROR(__xludf.DUMMYFUNCTION("""COMPUTED_VALUE"""),"1,27")</f>
        <v>1,27</v>
      </c>
      <c r="G159" s="3"/>
      <c r="H159" s="3" t="str">
        <f>IFERROR(__xludf.DUMMYFUNCTION("""COMPUTED_VALUE"""),"5,31%")</f>
        <v>5,31%</v>
      </c>
      <c r="I159" s="3" t="str">
        <f t="shared" si="1"/>
        <v>Siria </v>
      </c>
      <c r="J159" s="3">
        <f t="shared" si="3"/>
        <v>25.595</v>
      </c>
      <c r="K159" s="3">
        <f t="shared" si="4"/>
        <v>0.41</v>
      </c>
      <c r="L159" s="4">
        <f t="shared" si="5"/>
        <v>-0.0356</v>
      </c>
      <c r="M159" s="3">
        <f t="shared" si="6"/>
        <v>1.19</v>
      </c>
    </row>
    <row r="160">
      <c r="B160" s="3" t="str">
        <f t="shared" si="2"/>
        <v>Siria </v>
      </c>
      <c r="C160" s="3" t="str">
        <f>IFERROR(__xludf.DUMMYFUNCTION("""COMPUTED_VALUE"""),"Siria [+]")</f>
        <v>Siria [+]</v>
      </c>
      <c r="D160" s="5">
        <f>IFERROR(__xludf.DUMMYFUNCTION("""COMPUTED_VALUE"""),25595.0)</f>
        <v>25595</v>
      </c>
      <c r="E160" s="3" t="str">
        <f>IFERROR(__xludf.DUMMYFUNCTION("""COMPUTED_VALUE"""),"0,41")</f>
        <v>0,41</v>
      </c>
      <c r="F160" s="3" t="str">
        <f>IFERROR(__xludf.DUMMYFUNCTION("""COMPUTED_VALUE"""),"1,19")</f>
        <v>1,19</v>
      </c>
      <c r="G160" s="3"/>
      <c r="H160" s="3" t="str">
        <f>IFERROR(__xludf.DUMMYFUNCTION("""COMPUTED_VALUE"""),"-3,56%")</f>
        <v>-3,56%</v>
      </c>
      <c r="I160" s="3" t="str">
        <f t="shared" si="1"/>
        <v>Eswatini </v>
      </c>
      <c r="J160" s="3">
        <f t="shared" si="3"/>
        <v>1.39</v>
      </c>
      <c r="K160" s="3">
        <f t="shared" si="4"/>
        <v>0.11</v>
      </c>
      <c r="L160" s="4">
        <f t="shared" si="5"/>
        <v>0.0121</v>
      </c>
      <c r="M160" s="3">
        <f t="shared" si="6"/>
        <v>0.92</v>
      </c>
    </row>
    <row r="161">
      <c r="B161" s="3" t="str">
        <f t="shared" si="2"/>
        <v>Eswatini </v>
      </c>
      <c r="C161" s="3" t="str">
        <f>IFERROR(__xludf.DUMMYFUNCTION("""COMPUTED_VALUE"""),"Eswatini [+]")</f>
        <v>Eswatini [+]</v>
      </c>
      <c r="D161" s="5">
        <f>IFERROR(__xludf.DUMMYFUNCTION("""COMPUTED_VALUE"""),1390.0)</f>
        <v>1390</v>
      </c>
      <c r="E161" s="3" t="str">
        <f>IFERROR(__xludf.DUMMYFUNCTION("""COMPUTED_VALUE"""),"0,11")</f>
        <v>0,11</v>
      </c>
      <c r="F161" s="3" t="str">
        <f>IFERROR(__xludf.DUMMYFUNCTION("""COMPUTED_VALUE"""),"0,92")</f>
        <v>0,92</v>
      </c>
      <c r="G161" s="3"/>
      <c r="H161" s="3" t="str">
        <f>IFERROR(__xludf.DUMMYFUNCTION("""COMPUTED_VALUE"""),"1,21%")</f>
        <v>1,21%</v>
      </c>
      <c r="I161" s="3" t="str">
        <f t="shared" si="1"/>
        <v>Chad </v>
      </c>
      <c r="J161" s="3">
        <f t="shared" si="3"/>
        <v>2.571</v>
      </c>
      <c r="K161" s="3">
        <f t="shared" si="4"/>
        <v>0.08</v>
      </c>
      <c r="L161" s="4">
        <f t="shared" si="5"/>
        <v>-0.0031</v>
      </c>
      <c r="M161" s="3">
        <f t="shared" si="6"/>
        <v>0.14</v>
      </c>
    </row>
    <row r="162">
      <c r="B162" s="3" t="str">
        <f t="shared" si="2"/>
        <v>Chad </v>
      </c>
      <c r="C162" s="3" t="str">
        <f>IFERROR(__xludf.DUMMYFUNCTION("""COMPUTED_VALUE"""),"Chad [+]")</f>
        <v>Chad [+]</v>
      </c>
      <c r="D162" s="5">
        <f>IFERROR(__xludf.DUMMYFUNCTION("""COMPUTED_VALUE"""),2571.0)</f>
        <v>2571</v>
      </c>
      <c r="E162" s="3" t="str">
        <f>IFERROR(__xludf.DUMMYFUNCTION("""COMPUTED_VALUE"""),"0,08")</f>
        <v>0,08</v>
      </c>
      <c r="F162" s="3" t="str">
        <f>IFERROR(__xludf.DUMMYFUNCTION("""COMPUTED_VALUE"""),"0,14")</f>
        <v>0,14</v>
      </c>
      <c r="G162" s="3"/>
      <c r="H162" s="3" t="str">
        <f>IFERROR(__xludf.DUMMYFUNCTION("""COMPUTED_VALUE"""),"-0,31%")</f>
        <v>-0,31%</v>
      </c>
      <c r="I162" s="3" t="str">
        <f t="shared" si="1"/>
        <v>Togo </v>
      </c>
      <c r="J162" s="3">
        <f t="shared" si="3"/>
        <v>2.493</v>
      </c>
      <c r="K162" s="3">
        <f t="shared" si="4"/>
        <v>0.1</v>
      </c>
      <c r="L162" s="4">
        <f t="shared" si="5"/>
        <v>-0.0374</v>
      </c>
      <c r="M162" s="3">
        <f t="shared" si="6"/>
        <v>0.28</v>
      </c>
    </row>
    <row r="163">
      <c r="B163" s="3" t="str">
        <f t="shared" si="2"/>
        <v>Togo </v>
      </c>
      <c r="C163" s="3" t="str">
        <f>IFERROR(__xludf.DUMMYFUNCTION("""COMPUTED_VALUE"""),"Togo [+]")</f>
        <v>Togo [+]</v>
      </c>
      <c r="D163" s="5">
        <f>IFERROR(__xludf.DUMMYFUNCTION("""COMPUTED_VALUE"""),2493.0)</f>
        <v>2493</v>
      </c>
      <c r="E163" s="3" t="str">
        <f>IFERROR(__xludf.DUMMYFUNCTION("""COMPUTED_VALUE"""),"0,10")</f>
        <v>0,10</v>
      </c>
      <c r="F163" s="3" t="str">
        <f>IFERROR(__xludf.DUMMYFUNCTION("""COMPUTED_VALUE"""),"0,28")</f>
        <v>0,28</v>
      </c>
      <c r="G163" s="3"/>
      <c r="H163" s="3" t="str">
        <f>IFERROR(__xludf.DUMMYFUNCTION("""COMPUTED_VALUE"""),"-3,74%")</f>
        <v>-3,74%</v>
      </c>
      <c r="I163" s="3" t="str">
        <f t="shared" si="1"/>
        <v>Tailandia </v>
      </c>
      <c r="J163" s="3">
        <f t="shared" si="3"/>
        <v>274.16</v>
      </c>
      <c r="K163" s="3">
        <f t="shared" si="4"/>
        <v>0.18</v>
      </c>
      <c r="L163" s="4">
        <f t="shared" si="5"/>
        <v>-0.007</v>
      </c>
      <c r="M163" s="3">
        <f t="shared" si="6"/>
        <v>3.94</v>
      </c>
    </row>
    <row r="164">
      <c r="B164" s="3" t="str">
        <f t="shared" si="2"/>
        <v>Tailandia </v>
      </c>
      <c r="C164" s="3" t="str">
        <f>IFERROR(__xludf.DUMMYFUNCTION("""COMPUTED_VALUE"""),"Tailandia [+]")</f>
        <v>Tailandia [+]</v>
      </c>
      <c r="D164" s="5">
        <f>IFERROR(__xludf.DUMMYFUNCTION("""COMPUTED_VALUE"""),274160.0)</f>
        <v>274160</v>
      </c>
      <c r="E164" s="3" t="str">
        <f>IFERROR(__xludf.DUMMYFUNCTION("""COMPUTED_VALUE"""),"0,18")</f>
        <v>0,18</v>
      </c>
      <c r="F164" s="3" t="str">
        <f>IFERROR(__xludf.DUMMYFUNCTION("""COMPUTED_VALUE"""),"3,94")</f>
        <v>3,94</v>
      </c>
      <c r="G164" s="3"/>
      <c r="H164" s="3" t="str">
        <f>IFERROR(__xludf.DUMMYFUNCTION("""COMPUTED_VALUE"""),"-0,70%")</f>
        <v>-0,70%</v>
      </c>
      <c r="I164" s="3" t="str">
        <f t="shared" si="1"/>
        <v>Tayikistán </v>
      </c>
      <c r="J164" s="3">
        <f t="shared" si="3"/>
        <v>9.308</v>
      </c>
      <c r="K164" s="3">
        <f t="shared" si="4"/>
        <v>0.2</v>
      </c>
      <c r="L164" s="4">
        <f t="shared" si="5"/>
        <v>-0.0044</v>
      </c>
      <c r="M164" s="3">
        <f t="shared" si="6"/>
        <v>0.93</v>
      </c>
    </row>
    <row r="165">
      <c r="B165" s="3" t="str">
        <f t="shared" si="2"/>
        <v>Tayikistán </v>
      </c>
      <c r="C165" s="3" t="str">
        <f>IFERROR(__xludf.DUMMYFUNCTION("""COMPUTED_VALUE"""),"Tayikistán [+]")</f>
        <v>Tayikistán [+]</v>
      </c>
      <c r="D165" s="5">
        <f>IFERROR(__xludf.DUMMYFUNCTION("""COMPUTED_VALUE"""),9308.0)</f>
        <v>9308</v>
      </c>
      <c r="E165" s="3" t="str">
        <f>IFERROR(__xludf.DUMMYFUNCTION("""COMPUTED_VALUE"""),"0,20")</f>
        <v>0,20</v>
      </c>
      <c r="F165" s="3" t="str">
        <f>IFERROR(__xludf.DUMMYFUNCTION("""COMPUTED_VALUE"""),"0,93")</f>
        <v>0,93</v>
      </c>
      <c r="G165" s="3"/>
      <c r="H165" s="3" t="str">
        <f>IFERROR(__xludf.DUMMYFUNCTION("""COMPUTED_VALUE"""),"-0,44%")</f>
        <v>-0,44%</v>
      </c>
      <c r="I165" s="3" t="str">
        <f t="shared" si="1"/>
        <v>Timor Oriental </v>
      </c>
      <c r="J165" s="3">
        <f t="shared" si="3"/>
        <v>703</v>
      </c>
      <c r="K165" s="3">
        <f t="shared" si="4"/>
        <v>0.11</v>
      </c>
      <c r="L165" s="4">
        <f t="shared" si="5"/>
        <v>-0.0344</v>
      </c>
      <c r="M165" s="3">
        <f t="shared" si="6"/>
        <v>0.48</v>
      </c>
    </row>
    <row r="166">
      <c r="B166" s="3" t="str">
        <f t="shared" si="2"/>
        <v>Timor Oriental </v>
      </c>
      <c r="C166" s="3" t="str">
        <f>IFERROR(__xludf.DUMMYFUNCTION("""COMPUTED_VALUE"""),"Timor Oriental [+]")</f>
        <v>Timor Oriental [+]</v>
      </c>
      <c r="D166" s="5">
        <f>IFERROR(__xludf.DUMMYFUNCTION("""COMPUTED_VALUE"""),703.0)</f>
        <v>703</v>
      </c>
      <c r="E166" s="3" t="str">
        <f>IFERROR(__xludf.DUMMYFUNCTION("""COMPUTED_VALUE"""),"0,11")</f>
        <v>0,11</v>
      </c>
      <c r="F166" s="3" t="str">
        <f>IFERROR(__xludf.DUMMYFUNCTION("""COMPUTED_VALUE"""),"0,48")</f>
        <v>0,48</v>
      </c>
      <c r="G166" s="3"/>
      <c r="H166" s="3" t="str">
        <f>IFERROR(__xludf.DUMMYFUNCTION("""COMPUTED_VALUE"""),"-3,44%")</f>
        <v>-3,44%</v>
      </c>
      <c r="I166" s="3" t="str">
        <f t="shared" si="1"/>
        <v>Turkmenistán </v>
      </c>
      <c r="J166" s="3">
        <f t="shared" si="3"/>
        <v>65.988</v>
      </c>
      <c r="K166" s="3">
        <f t="shared" si="4"/>
        <v>0.58</v>
      </c>
      <c r="L166" s="4">
        <f t="shared" si="5"/>
        <v>-0.0221</v>
      </c>
      <c r="M166" s="3">
        <f t="shared" si="6"/>
        <v>10.51</v>
      </c>
    </row>
    <row r="167">
      <c r="B167" s="3" t="str">
        <f t="shared" si="2"/>
        <v>Turkmenistán </v>
      </c>
      <c r="C167" s="3" t="str">
        <f>IFERROR(__xludf.DUMMYFUNCTION("""COMPUTED_VALUE"""),"Turkmenistán [+]")</f>
        <v>Turkmenistán [+]</v>
      </c>
      <c r="D167" s="5">
        <f>IFERROR(__xludf.DUMMYFUNCTION("""COMPUTED_VALUE"""),65988.0)</f>
        <v>65988</v>
      </c>
      <c r="E167" s="3" t="str">
        <f>IFERROR(__xludf.DUMMYFUNCTION("""COMPUTED_VALUE"""),"0,58")</f>
        <v>0,58</v>
      </c>
      <c r="F167" s="3" t="str">
        <f>IFERROR(__xludf.DUMMYFUNCTION("""COMPUTED_VALUE"""),"10,51")</f>
        <v>10,51</v>
      </c>
      <c r="G167" s="3"/>
      <c r="H167" s="3" t="str">
        <f>IFERROR(__xludf.DUMMYFUNCTION("""COMPUTED_VALUE"""),"-2,21%")</f>
        <v>-2,21%</v>
      </c>
      <c r="I167" s="3" t="str">
        <f t="shared" si="1"/>
        <v>Túnez </v>
      </c>
      <c r="J167" s="3">
        <f t="shared" si="3"/>
        <v>31.497</v>
      </c>
      <c r="K167" s="3">
        <f t="shared" si="4"/>
        <v>0.21</v>
      </c>
      <c r="L167" s="4">
        <f t="shared" si="5"/>
        <v>0.0252</v>
      </c>
      <c r="M167" s="3">
        <f t="shared" si="6"/>
        <v>2.57</v>
      </c>
    </row>
    <row r="168">
      <c r="B168" s="3" t="str">
        <f t="shared" si="2"/>
        <v>Túnez </v>
      </c>
      <c r="C168" s="3" t="str">
        <f>IFERROR(__xludf.DUMMYFUNCTION("""COMPUTED_VALUE"""),"Túnez [+]")</f>
        <v>Túnez [+]</v>
      </c>
      <c r="D168" s="5">
        <f>IFERROR(__xludf.DUMMYFUNCTION("""COMPUTED_VALUE"""),31497.0)</f>
        <v>31497</v>
      </c>
      <c r="E168" s="3" t="str">
        <f>IFERROR(__xludf.DUMMYFUNCTION("""COMPUTED_VALUE"""),"0,21")</f>
        <v>0,21</v>
      </c>
      <c r="F168" s="3" t="str">
        <f>IFERROR(__xludf.DUMMYFUNCTION("""COMPUTED_VALUE"""),"2,57")</f>
        <v>2,57</v>
      </c>
      <c r="G168" s="3"/>
      <c r="H168" s="3" t="str">
        <f>IFERROR(__xludf.DUMMYFUNCTION("""COMPUTED_VALUE"""),"2,52%")</f>
        <v>2,52%</v>
      </c>
      <c r="I168" s="3" t="str">
        <f t="shared" si="1"/>
        <v>Tonga </v>
      </c>
      <c r="J168" s="3">
        <f t="shared" si="3"/>
        <v>220</v>
      </c>
      <c r="K168" s="3">
        <f t="shared" si="4"/>
        <v>0.31</v>
      </c>
      <c r="L168" s="4">
        <f t="shared" si="5"/>
        <v>0.0343</v>
      </c>
      <c r="M168" s="3">
        <f t="shared" si="6"/>
        <v>1.95</v>
      </c>
    </row>
    <row r="169">
      <c r="B169" s="3" t="str">
        <f t="shared" si="2"/>
        <v>Tonga </v>
      </c>
      <c r="C169" s="3" t="str">
        <f>IFERROR(__xludf.DUMMYFUNCTION("""COMPUTED_VALUE"""),"Tonga [+]")</f>
        <v>Tonga [+]</v>
      </c>
      <c r="D169" s="5">
        <f>IFERROR(__xludf.DUMMYFUNCTION("""COMPUTED_VALUE"""),220.0)</f>
        <v>220</v>
      </c>
      <c r="E169" s="3" t="str">
        <f>IFERROR(__xludf.DUMMYFUNCTION("""COMPUTED_VALUE"""),"0,31")</f>
        <v>0,31</v>
      </c>
      <c r="F169" s="3" t="str">
        <f>IFERROR(__xludf.DUMMYFUNCTION("""COMPUTED_VALUE"""),"1,95")</f>
        <v>1,95</v>
      </c>
      <c r="G169" s="3"/>
      <c r="H169" s="3" t="str">
        <f>IFERROR(__xludf.DUMMYFUNCTION("""COMPUTED_VALUE"""),"3,43%")</f>
        <v>3,43%</v>
      </c>
      <c r="I169" s="3" t="str">
        <f t="shared" si="1"/>
        <v>Türkiye </v>
      </c>
      <c r="J169" s="3">
        <f t="shared" si="3"/>
        <v>438.316</v>
      </c>
      <c r="K169" s="3">
        <f t="shared" si="4"/>
        <v>0.15</v>
      </c>
      <c r="L169" s="4">
        <f t="shared" si="5"/>
        <v>0.006</v>
      </c>
      <c r="M169" s="3">
        <f t="shared" si="6"/>
        <v>5.13</v>
      </c>
    </row>
    <row r="170">
      <c r="B170" s="3" t="str">
        <f t="shared" si="2"/>
        <v>Türkiye </v>
      </c>
      <c r="C170" s="3" t="str">
        <f>IFERROR(__xludf.DUMMYFUNCTION("""COMPUTED_VALUE"""),"Türkiye [+]")</f>
        <v>Türkiye [+]</v>
      </c>
      <c r="D170" s="5">
        <f>IFERROR(__xludf.DUMMYFUNCTION("""COMPUTED_VALUE"""),438316.0)</f>
        <v>438316</v>
      </c>
      <c r="E170" s="3" t="str">
        <f>IFERROR(__xludf.DUMMYFUNCTION("""COMPUTED_VALUE"""),"0,15")</f>
        <v>0,15</v>
      </c>
      <c r="F170" s="3" t="str">
        <f>IFERROR(__xludf.DUMMYFUNCTION("""COMPUTED_VALUE"""),"5,13")</f>
        <v>5,13</v>
      </c>
      <c r="G170" s="3"/>
      <c r="H170" s="3" t="str">
        <f>IFERROR(__xludf.DUMMYFUNCTION("""COMPUTED_VALUE"""),"0,60%")</f>
        <v>0,60%</v>
      </c>
      <c r="I170" s="3" t="str">
        <f t="shared" si="1"/>
        <v>Trinidad y Tobago </v>
      </c>
      <c r="J170" s="3">
        <f t="shared" si="3"/>
        <v>27.216</v>
      </c>
      <c r="K170" s="3">
        <f t="shared" si="4"/>
        <v>0.62</v>
      </c>
      <c r="L170" s="4">
        <f t="shared" si="5"/>
        <v>-0.026</v>
      </c>
      <c r="M170" s="3">
        <f t="shared" si="6"/>
        <v>19.71</v>
      </c>
    </row>
    <row r="171">
      <c r="B171" s="3" t="str">
        <f t="shared" si="2"/>
        <v>Trinidad y Tobago </v>
      </c>
      <c r="C171" s="3" t="str">
        <f>IFERROR(__xludf.DUMMYFUNCTION("""COMPUTED_VALUE"""),"Trinidad y Tobago [+]")</f>
        <v>Trinidad y Tobago [+]</v>
      </c>
      <c r="D171" s="5">
        <f>IFERROR(__xludf.DUMMYFUNCTION("""COMPUTED_VALUE"""),27216.0)</f>
        <v>27216</v>
      </c>
      <c r="E171" s="3" t="str">
        <f>IFERROR(__xludf.DUMMYFUNCTION("""COMPUTED_VALUE"""),"0,62")</f>
        <v>0,62</v>
      </c>
      <c r="F171" s="3" t="str">
        <f>IFERROR(__xludf.DUMMYFUNCTION("""COMPUTED_VALUE"""),"19,71")</f>
        <v>19,71</v>
      </c>
      <c r="G171" s="3"/>
      <c r="H171" s="3" t="str">
        <f>IFERROR(__xludf.DUMMYFUNCTION("""COMPUTED_VALUE"""),"-2,60%")</f>
        <v>-2,60%</v>
      </c>
      <c r="I171" s="3" t="str">
        <f t="shared" si="1"/>
        <v>Taiwan </v>
      </c>
      <c r="J171" s="3">
        <f t="shared" si="3"/>
        <v>279.847</v>
      </c>
      <c r="K171" s="3">
        <f t="shared" si="4"/>
        <v>0.18</v>
      </c>
      <c r="L171" s="4">
        <f t="shared" si="5"/>
        <v>-0.0288</v>
      </c>
      <c r="M171" s="3">
        <f t="shared" si="6"/>
        <v>11.68</v>
      </c>
    </row>
    <row r="172">
      <c r="B172" s="3" t="str">
        <f t="shared" si="2"/>
        <v>Taiwan </v>
      </c>
      <c r="C172" s="3" t="str">
        <f>IFERROR(__xludf.DUMMYFUNCTION("""COMPUTED_VALUE"""),"Taiwan [+]")</f>
        <v>Taiwan [+]</v>
      </c>
      <c r="D172" s="5">
        <f>IFERROR(__xludf.DUMMYFUNCTION("""COMPUTED_VALUE"""),279847.0)</f>
        <v>279847</v>
      </c>
      <c r="E172" s="3" t="str">
        <f>IFERROR(__xludf.DUMMYFUNCTION("""COMPUTED_VALUE"""),"0,18")</f>
        <v>0,18</v>
      </c>
      <c r="F172" s="3" t="str">
        <f>IFERROR(__xludf.DUMMYFUNCTION("""COMPUTED_VALUE"""),"11,68")</f>
        <v>11,68</v>
      </c>
      <c r="G172" s="3"/>
      <c r="H172" s="3" t="str">
        <f>IFERROR(__xludf.DUMMYFUNCTION("""COMPUTED_VALUE"""),"-2,88%")</f>
        <v>-2,88%</v>
      </c>
      <c r="I172" s="3" t="str">
        <f t="shared" si="1"/>
        <v>Tanzania </v>
      </c>
      <c r="J172" s="3">
        <f t="shared" si="3"/>
        <v>19.373</v>
      </c>
      <c r="K172" s="3">
        <f t="shared" si="4"/>
        <v>0.08</v>
      </c>
      <c r="L172" s="4">
        <f t="shared" si="5"/>
        <v>-0.0088</v>
      </c>
      <c r="M172" s="3">
        <f t="shared" si="6"/>
        <v>0.28</v>
      </c>
    </row>
    <row r="173">
      <c r="B173" s="3" t="str">
        <f t="shared" si="2"/>
        <v>Tanzania </v>
      </c>
      <c r="C173" s="3" t="str">
        <f>IFERROR(__xludf.DUMMYFUNCTION("""COMPUTED_VALUE"""),"Tanzania [+]")</f>
        <v>Tanzania [+]</v>
      </c>
      <c r="D173" s="5">
        <f>IFERROR(__xludf.DUMMYFUNCTION("""COMPUTED_VALUE"""),19373.0)</f>
        <v>19373</v>
      </c>
      <c r="E173" s="3" t="str">
        <f>IFERROR(__xludf.DUMMYFUNCTION("""COMPUTED_VALUE"""),"0,08")</f>
        <v>0,08</v>
      </c>
      <c r="F173" s="3" t="str">
        <f>IFERROR(__xludf.DUMMYFUNCTION("""COMPUTED_VALUE"""),"0,28")</f>
        <v>0,28</v>
      </c>
      <c r="G173" s="3"/>
      <c r="H173" s="3" t="str">
        <f>IFERROR(__xludf.DUMMYFUNCTION("""COMPUTED_VALUE"""),"-0,88%")</f>
        <v>-0,88%</v>
      </c>
      <c r="I173" s="3" t="str">
        <f t="shared" si="1"/>
        <v>Ucrania </v>
      </c>
      <c r="J173" s="3">
        <f t="shared" si="3"/>
        <v>136.198</v>
      </c>
      <c r="K173" s="3">
        <f t="shared" si="4"/>
        <v>0.24</v>
      </c>
      <c r="L173" s="4">
        <f t="shared" si="5"/>
        <v>-0.0103</v>
      </c>
      <c r="M173" s="3">
        <f t="shared" si="6"/>
        <v>3.17</v>
      </c>
    </row>
    <row r="174">
      <c r="B174" s="3" t="str">
        <f t="shared" si="2"/>
        <v>Ucrania </v>
      </c>
      <c r="C174" s="3" t="str">
        <f>IFERROR(__xludf.DUMMYFUNCTION("""COMPUTED_VALUE"""),"Ucrania [+]")</f>
        <v>Ucrania [+]</v>
      </c>
      <c r="D174" s="5">
        <f>IFERROR(__xludf.DUMMYFUNCTION("""COMPUTED_VALUE"""),136198.0)</f>
        <v>136198</v>
      </c>
      <c r="E174" s="3" t="str">
        <f>IFERROR(__xludf.DUMMYFUNCTION("""COMPUTED_VALUE"""),"0,24")</f>
        <v>0,24</v>
      </c>
      <c r="F174" s="3" t="str">
        <f>IFERROR(__xludf.DUMMYFUNCTION("""COMPUTED_VALUE"""),"3,17")</f>
        <v>3,17</v>
      </c>
      <c r="G174" s="3"/>
      <c r="H174" s="3" t="str">
        <f>IFERROR(__xludf.DUMMYFUNCTION("""COMPUTED_VALUE"""),"-1,03%")</f>
        <v>-1,03%</v>
      </c>
      <c r="I174" s="3" t="str">
        <f t="shared" si="1"/>
        <v>Uganda </v>
      </c>
      <c r="J174" s="3">
        <f t="shared" si="3"/>
        <v>7.217</v>
      </c>
      <c r="K174" s="3">
        <f t="shared" si="4"/>
        <v>0.05</v>
      </c>
      <c r="L174" s="4">
        <f t="shared" si="5"/>
        <v>-0.031</v>
      </c>
      <c r="M174" s="3">
        <f t="shared" si="6"/>
        <v>0.14</v>
      </c>
    </row>
    <row r="175">
      <c r="B175" s="3" t="str">
        <f t="shared" si="2"/>
        <v>Uganda </v>
      </c>
      <c r="C175" s="3" t="str">
        <f>IFERROR(__xludf.DUMMYFUNCTION("""COMPUTED_VALUE"""),"Uganda [+]")</f>
        <v>Uganda [+]</v>
      </c>
      <c r="D175" s="5">
        <f>IFERROR(__xludf.DUMMYFUNCTION("""COMPUTED_VALUE"""),7217.0)</f>
        <v>7217</v>
      </c>
      <c r="E175" s="3" t="str">
        <f>IFERROR(__xludf.DUMMYFUNCTION("""COMPUTED_VALUE"""),"0,05")</f>
        <v>0,05</v>
      </c>
      <c r="F175" s="3" t="str">
        <f>IFERROR(__xludf.DUMMYFUNCTION("""COMPUTED_VALUE"""),"0,14")</f>
        <v>0,14</v>
      </c>
      <c r="G175" s="3"/>
      <c r="H175" s="3" t="str">
        <f>IFERROR(__xludf.DUMMYFUNCTION("""COMPUTED_VALUE"""),"-3,10%")</f>
        <v>-3,10%</v>
      </c>
      <c r="I175" s="3" t="str">
        <f t="shared" si="1"/>
        <v>Uruguay </v>
      </c>
      <c r="J175" s="3">
        <f t="shared" si="3"/>
        <v>8.817</v>
      </c>
      <c r="K175" s="3">
        <f t="shared" si="4"/>
        <v>0.08</v>
      </c>
      <c r="L175" s="4">
        <f t="shared" si="5"/>
        <v>0.0094</v>
      </c>
      <c r="M175" s="3">
        <f t="shared" si="6"/>
        <v>2.5</v>
      </c>
    </row>
    <row r="176">
      <c r="B176" s="3" t="str">
        <f t="shared" si="2"/>
        <v>Uruguay </v>
      </c>
      <c r="C176" s="3" t="str">
        <f>IFERROR(__xludf.DUMMYFUNCTION("""COMPUTED_VALUE"""),"Uruguay [+]")</f>
        <v>Uruguay [+]</v>
      </c>
      <c r="D176" s="5">
        <f>IFERROR(__xludf.DUMMYFUNCTION("""COMPUTED_VALUE"""),8817.0)</f>
        <v>8817</v>
      </c>
      <c r="E176" s="3" t="str">
        <f>IFERROR(__xludf.DUMMYFUNCTION("""COMPUTED_VALUE"""),"0,08")</f>
        <v>0,08</v>
      </c>
      <c r="F176" s="3" t="str">
        <f>IFERROR(__xludf.DUMMYFUNCTION("""COMPUTED_VALUE"""),"2,50")</f>
        <v>2,50</v>
      </c>
      <c r="G176" s="3"/>
      <c r="H176" s="3" t="str">
        <f>IFERROR(__xludf.DUMMYFUNCTION("""COMPUTED_VALUE"""),"0,94%")</f>
        <v>0,94%</v>
      </c>
      <c r="I176" s="3" t="str">
        <f t="shared" si="1"/>
        <v>Uzbekistán </v>
      </c>
      <c r="J176" s="3">
        <f t="shared" si="3"/>
        <v>137.9</v>
      </c>
      <c r="K176" s="3">
        <f t="shared" si="4"/>
        <v>0.43</v>
      </c>
      <c r="L176" s="4">
        <f t="shared" si="5"/>
        <v>-0.0183</v>
      </c>
      <c r="M176" s="3">
        <f t="shared" si="6"/>
        <v>4.01</v>
      </c>
    </row>
    <row r="177">
      <c r="B177" s="3" t="str">
        <f t="shared" si="2"/>
        <v>Uzbekistán </v>
      </c>
      <c r="C177" s="3" t="str">
        <f>IFERROR(__xludf.DUMMYFUNCTION("""COMPUTED_VALUE"""),"Uzbekistán [+]")</f>
        <v>Uzbekistán [+]</v>
      </c>
      <c r="D177" s="5">
        <f>IFERROR(__xludf.DUMMYFUNCTION("""COMPUTED_VALUE"""),137900.0)</f>
        <v>137900</v>
      </c>
      <c r="E177" s="3" t="str">
        <f>IFERROR(__xludf.DUMMYFUNCTION("""COMPUTED_VALUE"""),"0,43")</f>
        <v>0,43</v>
      </c>
      <c r="F177" s="3" t="str">
        <f>IFERROR(__xludf.DUMMYFUNCTION("""COMPUTED_VALUE"""),"4,01")</f>
        <v>4,01</v>
      </c>
      <c r="G177" s="3"/>
      <c r="H177" s="3" t="str">
        <f>IFERROR(__xludf.DUMMYFUNCTION("""COMPUTED_VALUE"""),"-1,83%")</f>
        <v>-1,83%</v>
      </c>
      <c r="I177" s="3" t="str">
        <f t="shared" si="1"/>
        <v>San Vicente y las Granadinas </v>
      </c>
      <c r="J177" s="3">
        <f t="shared" si="3"/>
        <v>96</v>
      </c>
      <c r="K177" s="3">
        <f t="shared" si="4"/>
        <v>0.05</v>
      </c>
      <c r="L177" s="4">
        <f t="shared" si="5"/>
        <v>0.0542</v>
      </c>
      <c r="M177" s="3">
        <f t="shared" si="6"/>
        <v>0.87</v>
      </c>
    </row>
    <row r="178">
      <c r="B178" s="3" t="str">
        <f t="shared" si="2"/>
        <v>San Vicente y las Granadinas </v>
      </c>
      <c r="C178" s="3" t="str">
        <f>IFERROR(__xludf.DUMMYFUNCTION("""COMPUTED_VALUE"""),"San Vicente y las Granadinas [+]")</f>
        <v>San Vicente y las Granadinas [+]</v>
      </c>
      <c r="D178" s="5">
        <f>IFERROR(__xludf.DUMMYFUNCTION("""COMPUTED_VALUE"""),96.0)</f>
        <v>96</v>
      </c>
      <c r="E178" s="3" t="str">
        <f>IFERROR(__xludf.DUMMYFUNCTION("""COMPUTED_VALUE"""),"0,05")</f>
        <v>0,05</v>
      </c>
      <c r="F178" s="3" t="str">
        <f>IFERROR(__xludf.DUMMYFUNCTION("""COMPUTED_VALUE"""),"0,87")</f>
        <v>0,87</v>
      </c>
      <c r="G178" s="3"/>
      <c r="H178" s="3" t="str">
        <f>IFERROR(__xludf.DUMMYFUNCTION("""COMPUTED_VALUE"""),"5,42%")</f>
        <v>5,42%</v>
      </c>
      <c r="I178" s="3" t="str">
        <f t="shared" si="1"/>
        <v>Venezuela </v>
      </c>
      <c r="J178" s="3">
        <f t="shared" si="3"/>
        <v>84.595</v>
      </c>
      <c r="K178" s="3">
        <f t="shared" si="4"/>
        <v>0.32</v>
      </c>
      <c r="L178" s="4">
        <f t="shared" si="5"/>
        <v>0.0749</v>
      </c>
      <c r="M178" s="3">
        <f t="shared" si="6"/>
        <v>2.47</v>
      </c>
    </row>
    <row r="179">
      <c r="B179" s="3" t="str">
        <f t="shared" si="2"/>
        <v>Venezuela </v>
      </c>
      <c r="C179" s="3" t="str">
        <f>IFERROR(__xludf.DUMMYFUNCTION("""COMPUTED_VALUE"""),"Venezuela [+]")</f>
        <v>Venezuela [+]</v>
      </c>
      <c r="D179" s="5">
        <f>IFERROR(__xludf.DUMMYFUNCTION("""COMPUTED_VALUE"""),84595.0)</f>
        <v>84595</v>
      </c>
      <c r="E179" s="3" t="str">
        <f>IFERROR(__xludf.DUMMYFUNCTION("""COMPUTED_VALUE"""),"0,32")</f>
        <v>0,32</v>
      </c>
      <c r="F179" s="3" t="str">
        <f>IFERROR(__xludf.DUMMYFUNCTION("""COMPUTED_VALUE"""),"2,47")</f>
        <v>2,47</v>
      </c>
      <c r="G179" s="3"/>
      <c r="H179" s="3" t="str">
        <f>IFERROR(__xludf.DUMMYFUNCTION("""COMPUTED_VALUE"""),"7,49%")</f>
        <v>7,49%</v>
      </c>
      <c r="I179" s="3" t="str">
        <f t="shared" si="1"/>
        <v>Viet Nam </v>
      </c>
      <c r="J179" s="3">
        <f t="shared" si="3"/>
        <v>372.949</v>
      </c>
      <c r="K179" s="3">
        <f t="shared" si="4"/>
        <v>0.28</v>
      </c>
      <c r="L179" s="4">
        <f t="shared" si="5"/>
        <v>0.1378</v>
      </c>
      <c r="M179" s="3">
        <f t="shared" si="6"/>
        <v>3.69</v>
      </c>
    </row>
    <row r="180">
      <c r="B180" s="3" t="str">
        <f t="shared" si="2"/>
        <v>Viet Nam </v>
      </c>
      <c r="C180" s="3" t="str">
        <f>IFERROR(__xludf.DUMMYFUNCTION("""COMPUTED_VALUE"""),"Viet Nam [+]")</f>
        <v>Viet Nam [+]</v>
      </c>
      <c r="D180" s="5">
        <f>IFERROR(__xludf.DUMMYFUNCTION("""COMPUTED_VALUE"""),372949.0)</f>
        <v>372949</v>
      </c>
      <c r="E180" s="3" t="str">
        <f>IFERROR(__xludf.DUMMYFUNCTION("""COMPUTED_VALUE"""),"0,28")</f>
        <v>0,28</v>
      </c>
      <c r="F180" s="3" t="str">
        <f>IFERROR(__xludf.DUMMYFUNCTION("""COMPUTED_VALUE"""),"3,69")</f>
        <v>3,69</v>
      </c>
      <c r="G180" s="3"/>
      <c r="H180" s="3" t="str">
        <f>IFERROR(__xludf.DUMMYFUNCTION("""COMPUTED_VALUE"""),"13,78%")</f>
        <v>13,78%</v>
      </c>
      <c r="I180" s="3" t="str">
        <f t="shared" si="1"/>
        <v>Vanuatu </v>
      </c>
      <c r="J180" s="3">
        <f t="shared" si="3"/>
        <v>287</v>
      </c>
      <c r="K180" s="3">
        <f t="shared" si="4"/>
        <v>0.29</v>
      </c>
      <c r="L180" s="4">
        <f t="shared" si="5"/>
        <v>0.0145</v>
      </c>
      <c r="M180" s="3">
        <f t="shared" si="6"/>
        <v>0.92</v>
      </c>
    </row>
    <row r="181">
      <c r="B181" s="3" t="str">
        <f t="shared" si="2"/>
        <v>Vanuatu </v>
      </c>
      <c r="C181" s="3" t="str">
        <f>IFERROR(__xludf.DUMMYFUNCTION("""COMPUTED_VALUE"""),"Vanuatu [+]")</f>
        <v>Vanuatu [+]</v>
      </c>
      <c r="D181" s="5">
        <f>IFERROR(__xludf.DUMMYFUNCTION("""COMPUTED_VALUE"""),287.0)</f>
        <v>287</v>
      </c>
      <c r="E181" s="3" t="str">
        <f>IFERROR(__xludf.DUMMYFUNCTION("""COMPUTED_VALUE"""),"0,29")</f>
        <v>0,29</v>
      </c>
      <c r="F181" s="3" t="str">
        <f>IFERROR(__xludf.DUMMYFUNCTION("""COMPUTED_VALUE"""),"0,92")</f>
        <v>0,92</v>
      </c>
      <c r="G181" s="3"/>
      <c r="H181" s="3" t="str">
        <f>IFERROR(__xludf.DUMMYFUNCTION("""COMPUTED_VALUE"""),"1,45%")</f>
        <v>1,45%</v>
      </c>
      <c r="I181" s="3" t="str">
        <f t="shared" si="1"/>
        <v>Samoa </v>
      </c>
      <c r="J181" s="3">
        <f t="shared" si="3"/>
        <v>468</v>
      </c>
      <c r="K181" s="3">
        <f t="shared" si="4"/>
        <v>0.34</v>
      </c>
      <c r="L181" s="4">
        <f t="shared" si="5"/>
        <v>0.0292</v>
      </c>
      <c r="M181" s="3">
        <f t="shared" si="6"/>
        <v>2.3</v>
      </c>
    </row>
    <row r="182">
      <c r="B182" s="3" t="str">
        <f t="shared" si="2"/>
        <v>Samoa </v>
      </c>
      <c r="C182" s="3" t="str">
        <f>IFERROR(__xludf.DUMMYFUNCTION("""COMPUTED_VALUE"""),"Samoa [+]")</f>
        <v>Samoa [+]</v>
      </c>
      <c r="D182" s="5">
        <f>IFERROR(__xludf.DUMMYFUNCTION("""COMPUTED_VALUE"""),468.0)</f>
        <v>468</v>
      </c>
      <c r="E182" s="3" t="str">
        <f>IFERROR(__xludf.DUMMYFUNCTION("""COMPUTED_VALUE"""),"0,34")</f>
        <v>0,34</v>
      </c>
      <c r="F182" s="3" t="str">
        <f>IFERROR(__xludf.DUMMYFUNCTION("""COMPUTED_VALUE"""),"2,30")</f>
        <v>2,30</v>
      </c>
      <c r="G182" s="3"/>
      <c r="H182" s="3" t="str">
        <f>IFERROR(__xludf.DUMMYFUNCTION("""COMPUTED_VALUE"""),"2,92%")</f>
        <v>2,92%</v>
      </c>
      <c r="I182" s="3" t="str">
        <f t="shared" si="1"/>
        <v>Yemen </v>
      </c>
      <c r="J182" s="3">
        <f t="shared" si="3"/>
        <v>10.899</v>
      </c>
      <c r="K182" s="3">
        <f t="shared" si="4"/>
        <v>0.18</v>
      </c>
      <c r="L182" s="4">
        <f t="shared" si="5"/>
        <v>-0.0461</v>
      </c>
      <c r="M182" s="3">
        <f t="shared" si="6"/>
        <v>0.34</v>
      </c>
    </row>
    <row r="183">
      <c r="B183" s="3" t="str">
        <f t="shared" si="2"/>
        <v>Yemen </v>
      </c>
      <c r="C183" s="3" t="str">
        <f>IFERROR(__xludf.DUMMYFUNCTION("""COMPUTED_VALUE"""),"Yemen [+]")</f>
        <v>Yemen [+]</v>
      </c>
      <c r="D183" s="5">
        <f>IFERROR(__xludf.DUMMYFUNCTION("""COMPUTED_VALUE"""),10899.0)</f>
        <v>10899</v>
      </c>
      <c r="E183" s="3" t="str">
        <f>IFERROR(__xludf.DUMMYFUNCTION("""COMPUTED_VALUE"""),"0,18")</f>
        <v>0,18</v>
      </c>
      <c r="F183" s="3" t="str">
        <f>IFERROR(__xludf.DUMMYFUNCTION("""COMPUTED_VALUE"""),"0,34")</f>
        <v>0,34</v>
      </c>
      <c r="G183" s="3"/>
      <c r="H183" s="3" t="str">
        <f>IFERROR(__xludf.DUMMYFUNCTION("""COMPUTED_VALUE"""),"-4,61%")</f>
        <v>-4,61%</v>
      </c>
      <c r="I183" s="3" t="str">
        <f t="shared" si="1"/>
        <v>Sudáfrica </v>
      </c>
      <c r="J183" s="3">
        <f t="shared" si="3"/>
        <v>397.373</v>
      </c>
      <c r="K183" s="3">
        <f t="shared" si="4"/>
        <v>0.46</v>
      </c>
      <c r="L183" s="4">
        <f t="shared" si="5"/>
        <v>-0.0392</v>
      </c>
      <c r="M183" s="3">
        <f t="shared" si="6"/>
        <v>6.56</v>
      </c>
    </row>
    <row r="184">
      <c r="B184" s="3" t="str">
        <f t="shared" si="2"/>
        <v>Sudáfrica </v>
      </c>
      <c r="C184" s="3" t="str">
        <f>IFERROR(__xludf.DUMMYFUNCTION("""COMPUTED_VALUE"""),"Sudáfrica [+]")</f>
        <v>Sudáfrica [+]</v>
      </c>
      <c r="D184" s="5">
        <f>IFERROR(__xludf.DUMMYFUNCTION("""COMPUTED_VALUE"""),397373.0)</f>
        <v>397373</v>
      </c>
      <c r="E184" s="3" t="str">
        <f>IFERROR(__xludf.DUMMYFUNCTION("""COMPUTED_VALUE"""),"0,46")</f>
        <v>0,46</v>
      </c>
      <c r="F184" s="3" t="str">
        <f>IFERROR(__xludf.DUMMYFUNCTION("""COMPUTED_VALUE"""),"6,56")</f>
        <v>6,56</v>
      </c>
      <c r="G184" s="3"/>
      <c r="H184" s="3" t="str">
        <f>IFERROR(__xludf.DUMMYFUNCTION("""COMPUTED_VALUE"""),"-3,92%")</f>
        <v>-3,92%</v>
      </c>
      <c r="I184" s="3" t="str">
        <f t="shared" si="1"/>
        <v>Zambia </v>
      </c>
      <c r="J184" s="3">
        <f t="shared" si="3"/>
        <v>8.059</v>
      </c>
      <c r="K184" s="3">
        <f t="shared" si="4"/>
        <v>0.11</v>
      </c>
      <c r="L184" s="4">
        <f t="shared" si="5"/>
        <v>0.0028</v>
      </c>
      <c r="M184" s="3">
        <f t="shared" si="6"/>
        <v>0.4</v>
      </c>
    </row>
    <row r="185">
      <c r="B185" s="3" t="str">
        <f t="shared" si="2"/>
        <v>Zambia </v>
      </c>
      <c r="C185" s="3" t="str">
        <f>IFERROR(__xludf.DUMMYFUNCTION("""COMPUTED_VALUE"""),"Zambia [+]")</f>
        <v>Zambia [+]</v>
      </c>
      <c r="D185" s="5">
        <f>IFERROR(__xludf.DUMMYFUNCTION("""COMPUTED_VALUE"""),8059.0)</f>
        <v>8059</v>
      </c>
      <c r="E185" s="3" t="str">
        <f>IFERROR(__xludf.DUMMYFUNCTION("""COMPUTED_VALUE"""),"0,11")</f>
        <v>0,11</v>
      </c>
      <c r="F185" s="3" t="str">
        <f>IFERROR(__xludf.DUMMYFUNCTION("""COMPUTED_VALUE"""),"0,40")</f>
        <v>0,40</v>
      </c>
      <c r="G185" s="3"/>
      <c r="H185" s="3" t="str">
        <f>IFERROR(__xludf.DUMMYFUNCTION("""COMPUTED_VALUE"""),"0,28%")</f>
        <v>0,28%</v>
      </c>
      <c r="I185" s="3" t="str">
        <f t="shared" si="1"/>
        <v>Zimbabue </v>
      </c>
      <c r="J185" s="3">
        <f t="shared" si="3"/>
        <v>11.744</v>
      </c>
      <c r="K185" s="3">
        <f t="shared" si="4"/>
        <v>0.2</v>
      </c>
      <c r="L185" s="4">
        <f t="shared" si="5"/>
        <v>0.0498</v>
      </c>
      <c r="M185" s="3">
        <f t="shared" si="6"/>
        <v>0.62</v>
      </c>
    </row>
    <row r="186">
      <c r="B186" s="3" t="str">
        <f t="shared" si="2"/>
        <v>Zimbabue </v>
      </c>
      <c r="C186" s="3" t="str">
        <f>IFERROR(__xludf.DUMMYFUNCTION("""COMPUTED_VALUE"""),"Zimbabue [+]")</f>
        <v>Zimbabue [+]</v>
      </c>
      <c r="D186" s="5">
        <f>IFERROR(__xludf.DUMMYFUNCTION("""COMPUTED_VALUE"""),11744.0)</f>
        <v>11744</v>
      </c>
      <c r="E186" s="3" t="str">
        <f>IFERROR(__xludf.DUMMYFUNCTION("""COMPUTED_VALUE"""),"0,20")</f>
        <v>0,20</v>
      </c>
      <c r="F186" s="3" t="str">
        <f>IFERROR(__xludf.DUMMYFUNCTION("""COMPUTED_VALUE"""),"0,62")</f>
        <v>0,62</v>
      </c>
      <c r="G186" s="3"/>
      <c r="H186" s="3" t="str">
        <f>IFERROR(__xludf.DUMMYFUNCTION("""COMPUTED_VALUE"""),"4,98%")</f>
        <v>4,98%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16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27</v>
      </c>
      <c r="B2" s="3">
        <v>217.262</v>
      </c>
      <c r="C2" s="3">
        <v>0.1</v>
      </c>
      <c r="D2" s="4">
        <v>-0.0766</v>
      </c>
      <c r="E2" s="3">
        <v>4.68</v>
      </c>
    </row>
    <row r="3">
      <c r="A3" s="3" t="s">
        <v>28</v>
      </c>
      <c r="B3" s="3">
        <v>582.951</v>
      </c>
      <c r="C3" s="3">
        <v>0.11</v>
      </c>
      <c r="D3" s="4">
        <v>-0.1157</v>
      </c>
      <c r="E3" s="3">
        <v>7.06</v>
      </c>
    </row>
    <row r="4">
      <c r="A4" s="3" t="s">
        <v>29</v>
      </c>
      <c r="B4" s="3">
        <v>302.103</v>
      </c>
      <c r="C4" s="3">
        <v>0.08</v>
      </c>
      <c r="D4" s="4">
        <v>-0.0821</v>
      </c>
      <c r="E4" s="3">
        <v>4.42</v>
      </c>
    </row>
    <row r="5">
      <c r="A5" s="3" t="s">
        <v>30</v>
      </c>
      <c r="B5" s="3">
        <v>282.427</v>
      </c>
      <c r="C5" s="3">
        <v>0.08</v>
      </c>
      <c r="D5" s="4">
        <v>-0.0933</v>
      </c>
      <c r="E5" s="3">
        <v>4.25</v>
      </c>
    </row>
    <row r="6">
      <c r="A6" s="3" t="s">
        <v>31</v>
      </c>
      <c r="B6" s="3">
        <v>305.49</v>
      </c>
      <c r="C6" s="3">
        <v>0.1</v>
      </c>
      <c r="D6" s="4">
        <v>-0.0803</v>
      </c>
      <c r="E6" s="3">
        <v>5.19</v>
      </c>
    </row>
    <row r="7">
      <c r="A7" s="3" t="s">
        <v>32</v>
      </c>
      <c r="B7" s="3">
        <v>36.171</v>
      </c>
      <c r="C7" s="3">
        <v>0.08</v>
      </c>
      <c r="D7" s="4">
        <v>-0.0812</v>
      </c>
      <c r="E7" s="3">
        <v>3.58</v>
      </c>
    </row>
    <row r="8">
      <c r="A8" s="3" t="s">
        <v>6</v>
      </c>
      <c r="B8" s="3">
        <v>4682.039</v>
      </c>
      <c r="C8" s="3">
        <v>0.19</v>
      </c>
      <c r="D8" s="4">
        <v>-0.0287</v>
      </c>
      <c r="E8" s="3">
        <v>13.83</v>
      </c>
    </row>
    <row r="9">
      <c r="A9" s="3" t="s">
        <v>9</v>
      </c>
      <c r="B9" s="3">
        <v>944.759</v>
      </c>
      <c r="C9" s="3">
        <v>0.16</v>
      </c>
      <c r="D9" s="4">
        <v>-0.0613</v>
      </c>
      <c r="E9" s="3">
        <v>7.54</v>
      </c>
    </row>
    <row r="10">
      <c r="A10" s="3" t="s">
        <v>5</v>
      </c>
      <c r="B10" s="3">
        <v>13259.639</v>
      </c>
      <c r="C10" s="3">
        <v>0.42</v>
      </c>
      <c r="D10" s="4">
        <v>0.0564</v>
      </c>
      <c r="E10" s="3">
        <v>9.24</v>
      </c>
    </row>
    <row r="11">
      <c r="A11" s="3" t="s">
        <v>22</v>
      </c>
      <c r="B11" s="3">
        <v>205.991</v>
      </c>
      <c r="C11" s="3">
        <v>0.29</v>
      </c>
      <c r="D11" s="4">
        <v>-0.0167</v>
      </c>
      <c r="E11" s="3">
        <v>20.22</v>
      </c>
    </row>
    <row r="12">
      <c r="A12" s="3" t="s">
        <v>33</v>
      </c>
      <c r="B12" s="3">
        <v>8.707</v>
      </c>
      <c r="C12" s="3">
        <v>0.11</v>
      </c>
      <c r="D12" s="4">
        <v>0.0316</v>
      </c>
      <c r="E12" s="3">
        <v>0.21</v>
      </c>
    </row>
    <row r="13">
      <c r="A13" s="3" t="s">
        <v>34</v>
      </c>
      <c r="B13" s="3">
        <v>323.0</v>
      </c>
      <c r="C13" s="3">
        <v>0.12</v>
      </c>
      <c r="D13" s="4">
        <v>0.0446</v>
      </c>
      <c r="E13" s="3">
        <v>2.99</v>
      </c>
    </row>
    <row r="14">
      <c r="A14" s="3" t="s">
        <v>35</v>
      </c>
      <c r="B14" s="3">
        <v>4.592</v>
      </c>
      <c r="C14" s="3">
        <v>0.09</v>
      </c>
      <c r="D14" s="4">
        <v>-0.0037</v>
      </c>
      <c r="E14" s="3">
        <v>1.56</v>
      </c>
    </row>
    <row r="15">
      <c r="A15" s="3" t="s">
        <v>36</v>
      </c>
      <c r="B15" s="3">
        <v>7.725</v>
      </c>
      <c r="C15" s="3">
        <v>0.13</v>
      </c>
      <c r="D15" s="4">
        <v>0.0602</v>
      </c>
      <c r="E15" s="3">
        <v>2.63</v>
      </c>
    </row>
    <row r="16">
      <c r="A16" s="3" t="s">
        <v>37</v>
      </c>
      <c r="B16" s="3">
        <v>28.23</v>
      </c>
      <c r="C16" s="3">
        <v>0.11</v>
      </c>
      <c r="D16" s="4">
        <v>0.0</v>
      </c>
      <c r="E16" s="3">
        <v>0.78</v>
      </c>
    </row>
    <row r="17">
      <c r="A17" s="3" t="s">
        <v>38</v>
      </c>
      <c r="B17" s="3">
        <v>183.778</v>
      </c>
      <c r="C17" s="3">
        <v>0.15</v>
      </c>
      <c r="D17" s="4">
        <v>-0.0581</v>
      </c>
      <c r="E17" s="3">
        <v>3.93</v>
      </c>
    </row>
    <row r="18">
      <c r="A18" s="3" t="s">
        <v>39</v>
      </c>
      <c r="B18" s="3">
        <v>58.815</v>
      </c>
      <c r="C18" s="3">
        <v>0.1</v>
      </c>
      <c r="D18" s="4">
        <v>-0.0415</v>
      </c>
      <c r="E18" s="3">
        <v>6.65</v>
      </c>
    </row>
    <row r="19">
      <c r="A19" s="3" t="s">
        <v>40</v>
      </c>
      <c r="B19" s="3">
        <v>373.616</v>
      </c>
      <c r="C19" s="3">
        <v>0.24</v>
      </c>
      <c r="D19" s="4">
        <v>-0.0144</v>
      </c>
      <c r="E19" s="3">
        <v>14.21</v>
      </c>
    </row>
    <row r="20">
      <c r="A20" s="3" t="s">
        <v>41</v>
      </c>
      <c r="B20" s="3">
        <v>42.766</v>
      </c>
      <c r="C20" s="3">
        <v>0.2</v>
      </c>
      <c r="D20" s="4">
        <v>0.0776</v>
      </c>
      <c r="E20" s="3">
        <v>4.14</v>
      </c>
    </row>
    <row r="21">
      <c r="A21" s="3" t="s">
        <v>42</v>
      </c>
      <c r="B21" s="3">
        <v>21.997</v>
      </c>
      <c r="C21" s="3">
        <v>0.34</v>
      </c>
      <c r="D21" s="4">
        <v>-0.0287</v>
      </c>
      <c r="E21" s="3">
        <v>6.33</v>
      </c>
    </row>
    <row r="22">
      <c r="A22" s="3" t="s">
        <v>13</v>
      </c>
      <c r="B22" s="3">
        <v>796.0</v>
      </c>
      <c r="C22" s="3">
        <v>0.16</v>
      </c>
      <c r="D22" s="4">
        <v>0.0442</v>
      </c>
      <c r="E22" s="3">
        <v>2.76</v>
      </c>
    </row>
    <row r="23">
      <c r="A23" s="3" t="s">
        <v>43</v>
      </c>
      <c r="B23" s="3">
        <v>124.793</v>
      </c>
      <c r="C23" s="3">
        <v>0.09</v>
      </c>
      <c r="D23" s="4">
        <v>-0.0041</v>
      </c>
      <c r="E23" s="3">
        <v>0.71</v>
      </c>
    </row>
    <row r="24">
      <c r="A24" s="3" t="s">
        <v>44</v>
      </c>
      <c r="B24" s="3">
        <v>84.306</v>
      </c>
      <c r="C24" s="3">
        <v>0.11</v>
      </c>
      <c r="D24" s="4">
        <v>-0.0636</v>
      </c>
      <c r="E24" s="3">
        <v>7.18</v>
      </c>
    </row>
    <row r="25">
      <c r="A25" s="3" t="s">
        <v>45</v>
      </c>
      <c r="B25" s="3">
        <v>5.999</v>
      </c>
      <c r="C25" s="3">
        <v>0.1</v>
      </c>
      <c r="D25" s="4">
        <v>-0.05</v>
      </c>
      <c r="E25" s="3">
        <v>0.26</v>
      </c>
    </row>
    <row r="26">
      <c r="A26" s="3" t="s">
        <v>46</v>
      </c>
      <c r="B26" s="3">
        <v>39.793</v>
      </c>
      <c r="C26" s="3">
        <v>0.19</v>
      </c>
      <c r="D26" s="4">
        <v>-0.1994</v>
      </c>
      <c r="E26" s="3">
        <v>5.86</v>
      </c>
    </row>
    <row r="27">
      <c r="A27" s="3" t="s">
        <v>21</v>
      </c>
      <c r="B27" s="3">
        <v>37.426</v>
      </c>
      <c r="C27" s="3">
        <v>0.44</v>
      </c>
      <c r="D27" s="4">
        <v>0.0159</v>
      </c>
      <c r="E27" s="3">
        <v>20.7</v>
      </c>
    </row>
    <row r="28">
      <c r="A28" s="3" t="s">
        <v>12</v>
      </c>
      <c r="B28" s="3">
        <v>844.0</v>
      </c>
      <c r="C28" s="3">
        <v>0.07</v>
      </c>
      <c r="D28" s="4">
        <v>-0.0232</v>
      </c>
      <c r="E28" s="3">
        <v>0.06</v>
      </c>
    </row>
    <row r="29">
      <c r="A29" s="3" t="s">
        <v>47</v>
      </c>
      <c r="B29" s="3">
        <v>6.438</v>
      </c>
      <c r="C29" s="3">
        <v>0.12</v>
      </c>
      <c r="D29" s="4">
        <v>-0.0523</v>
      </c>
      <c r="E29" s="3">
        <v>0.49</v>
      </c>
    </row>
    <row r="30">
      <c r="A30" s="3" t="s">
        <v>20</v>
      </c>
      <c r="B30" s="3">
        <v>9.716</v>
      </c>
      <c r="C30" s="3">
        <v>0.28</v>
      </c>
      <c r="D30" s="4">
        <v>0.0149</v>
      </c>
      <c r="E30" s="3">
        <v>21.12</v>
      </c>
    </row>
    <row r="31">
      <c r="A31" s="3" t="s">
        <v>48</v>
      </c>
      <c r="B31" s="3">
        <v>23.807</v>
      </c>
      <c r="C31" s="3">
        <v>0.2</v>
      </c>
      <c r="D31" s="4">
        <v>0.0329</v>
      </c>
      <c r="E31" s="3">
        <v>1.98</v>
      </c>
    </row>
    <row r="32">
      <c r="A32" s="3" t="s">
        <v>49</v>
      </c>
      <c r="B32" s="3">
        <v>479.504</v>
      </c>
      <c r="C32" s="3">
        <v>0.12</v>
      </c>
      <c r="D32" s="4">
        <v>-0.0047</v>
      </c>
      <c r="E32" s="3">
        <v>2.2</v>
      </c>
    </row>
    <row r="33">
      <c r="A33" s="3" t="s">
        <v>50</v>
      </c>
      <c r="B33" s="3">
        <v>1.684</v>
      </c>
      <c r="C33" s="3">
        <v>0.13</v>
      </c>
      <c r="D33" s="4">
        <v>0.0469</v>
      </c>
      <c r="E33" s="3">
        <v>4.04</v>
      </c>
    </row>
    <row r="34">
      <c r="A34" s="3" t="s">
        <v>51</v>
      </c>
      <c r="B34" s="3">
        <v>1.987</v>
      </c>
      <c r="C34" s="3">
        <v>0.17</v>
      </c>
      <c r="D34" s="4">
        <v>0.0216</v>
      </c>
      <c r="E34" s="3">
        <v>2.31</v>
      </c>
    </row>
    <row r="35">
      <c r="A35" s="3" t="s">
        <v>52</v>
      </c>
      <c r="B35" s="3">
        <v>7.425</v>
      </c>
      <c r="C35" s="3">
        <v>0.16</v>
      </c>
      <c r="D35" s="4">
        <v>0.0034</v>
      </c>
      <c r="E35" s="3">
        <v>2.93</v>
      </c>
    </row>
    <row r="36">
      <c r="A36" s="3" t="s">
        <v>53</v>
      </c>
      <c r="B36" s="3">
        <v>54.176</v>
      </c>
      <c r="C36" s="3">
        <v>0.21</v>
      </c>
      <c r="D36" s="4">
        <v>-0.0446</v>
      </c>
      <c r="E36" s="3">
        <v>5.79</v>
      </c>
    </row>
    <row r="37">
      <c r="A37" s="3" t="s">
        <v>54</v>
      </c>
      <c r="B37" s="3">
        <v>278.0</v>
      </c>
      <c r="C37" s="3">
        <v>0.05</v>
      </c>
      <c r="D37" s="4">
        <v>0.0462</v>
      </c>
      <c r="E37" s="3">
        <v>0.66</v>
      </c>
    </row>
    <row r="38">
      <c r="A38" s="3" t="s">
        <v>26</v>
      </c>
      <c r="B38" s="3">
        <v>575.012</v>
      </c>
      <c r="C38" s="3">
        <v>0.26</v>
      </c>
      <c r="D38" s="4">
        <v>-0.0087</v>
      </c>
      <c r="E38" s="3">
        <v>14.91</v>
      </c>
    </row>
    <row r="39">
      <c r="A39" s="3" t="s">
        <v>55</v>
      </c>
      <c r="B39" s="3">
        <v>3.8</v>
      </c>
      <c r="C39" s="3">
        <v>0.02</v>
      </c>
      <c r="D39" s="4">
        <v>-0.053</v>
      </c>
      <c r="E39" s="3">
        <v>0.04</v>
      </c>
    </row>
    <row r="40">
      <c r="A40" s="3" t="s">
        <v>56</v>
      </c>
      <c r="B40" s="3">
        <v>368.0</v>
      </c>
      <c r="C40" s="3">
        <v>0.06</v>
      </c>
      <c r="D40" s="4">
        <v>0.021</v>
      </c>
      <c r="E40" s="3">
        <v>0.07</v>
      </c>
    </row>
    <row r="41">
      <c r="A41" s="3" t="s">
        <v>57</v>
      </c>
      <c r="B41" s="3">
        <v>7.251</v>
      </c>
      <c r="C41" s="3">
        <v>0.19</v>
      </c>
      <c r="D41" s="4">
        <v>-0.0841</v>
      </c>
      <c r="E41" s="3">
        <v>1.18</v>
      </c>
    </row>
    <row r="42">
      <c r="A42" s="3" t="s">
        <v>58</v>
      </c>
      <c r="B42" s="3">
        <v>34.222</v>
      </c>
      <c r="C42" s="3">
        <v>0.05</v>
      </c>
      <c r="D42" s="4">
        <v>-0.012</v>
      </c>
      <c r="E42" s="3">
        <v>3.87</v>
      </c>
    </row>
    <row r="43">
      <c r="A43" s="3" t="s">
        <v>59</v>
      </c>
      <c r="B43" s="3">
        <v>14.412</v>
      </c>
      <c r="C43" s="3">
        <v>0.07</v>
      </c>
      <c r="D43" s="4">
        <v>-0.0475</v>
      </c>
      <c r="E43" s="3">
        <v>0.51</v>
      </c>
    </row>
    <row r="44">
      <c r="A44" s="3" t="s">
        <v>60</v>
      </c>
      <c r="B44" s="3">
        <v>83.999</v>
      </c>
      <c r="C44" s="3">
        <v>0.15</v>
      </c>
      <c r="D44" s="4">
        <v>-0.0608</v>
      </c>
      <c r="E44" s="3">
        <v>4.45</v>
      </c>
    </row>
    <row r="45">
      <c r="A45" s="3" t="s">
        <v>61</v>
      </c>
      <c r="B45" s="3">
        <v>10.756</v>
      </c>
      <c r="C45" s="3">
        <v>0.08</v>
      </c>
      <c r="D45" s="4">
        <v>-0.0306</v>
      </c>
      <c r="E45" s="3">
        <v>0.38</v>
      </c>
    </row>
    <row r="46">
      <c r="A46" s="3" t="s">
        <v>62</v>
      </c>
      <c r="B46" s="3">
        <v>100.863</v>
      </c>
      <c r="C46" s="3">
        <v>0.1</v>
      </c>
      <c r="D46" s="4">
        <v>0.0922</v>
      </c>
      <c r="E46" s="3">
        <v>1.97</v>
      </c>
    </row>
    <row r="47">
      <c r="A47" s="3" t="s">
        <v>63</v>
      </c>
      <c r="B47" s="3">
        <v>8.573</v>
      </c>
      <c r="C47" s="3">
        <v>0.06</v>
      </c>
      <c r="D47" s="4">
        <v>0.0513</v>
      </c>
      <c r="E47" s="3">
        <v>1.66</v>
      </c>
    </row>
    <row r="48">
      <c r="A48" s="3" t="s">
        <v>64</v>
      </c>
      <c r="B48" s="3">
        <v>22.067</v>
      </c>
      <c r="C48" s="3">
        <v>0.07</v>
      </c>
      <c r="D48" s="4">
        <v>0.0581</v>
      </c>
      <c r="E48" s="3">
        <v>1.92</v>
      </c>
    </row>
    <row r="49">
      <c r="A49" s="3" t="s">
        <v>65</v>
      </c>
      <c r="B49" s="3">
        <v>1.006</v>
      </c>
      <c r="C49" s="3">
        <v>0.21</v>
      </c>
      <c r="D49" s="4">
        <v>-0.0396</v>
      </c>
      <c r="E49" s="3">
        <v>1.71</v>
      </c>
    </row>
    <row r="50">
      <c r="A50" s="3" t="s">
        <v>66</v>
      </c>
      <c r="B50" s="3">
        <v>7.183</v>
      </c>
      <c r="C50" s="3">
        <v>0.15</v>
      </c>
      <c r="D50" s="4">
        <v>-0.0068</v>
      </c>
      <c r="E50" s="3">
        <v>5.83</v>
      </c>
    </row>
    <row r="51">
      <c r="A51" s="3" t="s">
        <v>67</v>
      </c>
      <c r="B51" s="3">
        <v>90.513</v>
      </c>
      <c r="C51" s="3">
        <v>0.17</v>
      </c>
      <c r="D51" s="4">
        <v>-0.0894</v>
      </c>
      <c r="E51" s="3">
        <v>8.52</v>
      </c>
    </row>
    <row r="52">
      <c r="A52" s="3" t="s">
        <v>68</v>
      </c>
      <c r="B52" s="3">
        <v>749.0</v>
      </c>
      <c r="C52" s="3">
        <v>0.1</v>
      </c>
      <c r="D52" s="4">
        <v>-0.0115</v>
      </c>
      <c r="E52" s="3">
        <v>0.72</v>
      </c>
    </row>
    <row r="53">
      <c r="A53" s="3" t="s">
        <v>69</v>
      </c>
      <c r="B53" s="3">
        <v>26.773</v>
      </c>
      <c r="C53" s="3">
        <v>0.06</v>
      </c>
      <c r="D53" s="4">
        <v>-0.0524</v>
      </c>
      <c r="E53" s="3">
        <v>4.56</v>
      </c>
    </row>
    <row r="54">
      <c r="A54" s="3" t="s">
        <v>70</v>
      </c>
      <c r="B54" s="3">
        <v>80.0</v>
      </c>
      <c r="C54" s="3">
        <v>0.07</v>
      </c>
      <c r="D54" s="4">
        <v>0.0396</v>
      </c>
      <c r="E54" s="3">
        <v>1.05</v>
      </c>
    </row>
    <row r="55">
      <c r="A55" s="3" t="s">
        <v>71</v>
      </c>
      <c r="B55" s="3">
        <v>31.351</v>
      </c>
      <c r="C55" s="3">
        <v>0.12</v>
      </c>
      <c r="D55" s="4">
        <v>0.0478</v>
      </c>
      <c r="E55" s="3">
        <v>2.74</v>
      </c>
    </row>
    <row r="56">
      <c r="A56" s="3" t="s">
        <v>72</v>
      </c>
      <c r="B56" s="3">
        <v>180.358</v>
      </c>
      <c r="C56" s="3">
        <v>0.26</v>
      </c>
      <c r="D56" s="4">
        <v>-0.0464</v>
      </c>
      <c r="E56" s="3">
        <v>3.99</v>
      </c>
    </row>
    <row r="57">
      <c r="A57" s="3" t="s">
        <v>73</v>
      </c>
      <c r="B57" s="3">
        <v>45.328</v>
      </c>
      <c r="C57" s="3">
        <v>0.17</v>
      </c>
      <c r="D57" s="4">
        <v>0.059</v>
      </c>
      <c r="E57" s="3">
        <v>2.51</v>
      </c>
    </row>
    <row r="58">
      <c r="A58" s="3" t="s">
        <v>74</v>
      </c>
      <c r="B58" s="3">
        <v>11.436</v>
      </c>
      <c r="C58" s="3">
        <v>0.2</v>
      </c>
      <c r="D58" s="4">
        <v>-0.0887</v>
      </c>
      <c r="E58" s="3">
        <v>8.87</v>
      </c>
    </row>
    <row r="59">
      <c r="A59" s="3" t="s">
        <v>75</v>
      </c>
      <c r="B59" s="3">
        <v>249.332</v>
      </c>
      <c r="C59" s="3">
        <v>0.13</v>
      </c>
      <c r="D59" s="4">
        <v>-0.0071</v>
      </c>
      <c r="E59" s="3">
        <v>2.31</v>
      </c>
    </row>
    <row r="60">
      <c r="A60" s="3" t="s">
        <v>76</v>
      </c>
      <c r="B60" s="3">
        <v>669.0</v>
      </c>
      <c r="C60" s="3">
        <v>0.09</v>
      </c>
      <c r="D60" s="4">
        <v>-0.0197</v>
      </c>
      <c r="E60" s="3">
        <v>0.12</v>
      </c>
    </row>
    <row r="61">
      <c r="A61" s="3" t="s">
        <v>77</v>
      </c>
      <c r="B61" s="3">
        <v>16.708</v>
      </c>
      <c r="C61" s="3">
        <v>0.05</v>
      </c>
      <c r="D61" s="4">
        <v>-0.0122</v>
      </c>
      <c r="E61" s="3">
        <v>0.14</v>
      </c>
    </row>
    <row r="62">
      <c r="A62" s="3" t="s">
        <v>78</v>
      </c>
      <c r="B62" s="3">
        <v>32.269</v>
      </c>
      <c r="C62" s="3">
        <v>0.1</v>
      </c>
      <c r="D62" s="4">
        <v>-0.1103</v>
      </c>
      <c r="E62" s="3">
        <v>5.73</v>
      </c>
    </row>
    <row r="63">
      <c r="A63" s="3" t="s">
        <v>79</v>
      </c>
      <c r="B63" s="3">
        <v>2.211</v>
      </c>
      <c r="C63" s="3">
        <v>0.17</v>
      </c>
      <c r="D63" s="4">
        <v>0.027</v>
      </c>
      <c r="E63" s="3">
        <v>2.35</v>
      </c>
    </row>
    <row r="64">
      <c r="A64" s="3" t="s">
        <v>80</v>
      </c>
      <c r="B64" s="3">
        <v>4.927</v>
      </c>
      <c r="C64" s="3">
        <v>0.1</v>
      </c>
      <c r="D64" s="4">
        <v>-0.1048</v>
      </c>
      <c r="E64" s="3">
        <v>2.16</v>
      </c>
    </row>
    <row r="65">
      <c r="A65" s="3" t="s">
        <v>81</v>
      </c>
      <c r="B65" s="3">
        <v>143.0</v>
      </c>
      <c r="C65" s="3">
        <v>0.07</v>
      </c>
      <c r="D65" s="4">
        <v>0.0543</v>
      </c>
      <c r="E65" s="3">
        <v>1.29</v>
      </c>
    </row>
    <row r="66">
      <c r="A66" s="3" t="s">
        <v>82</v>
      </c>
      <c r="B66" s="3">
        <v>12.864</v>
      </c>
      <c r="C66" s="3">
        <v>0.15</v>
      </c>
      <c r="D66" s="4">
        <v>0.0221</v>
      </c>
      <c r="E66" s="3">
        <v>3.33</v>
      </c>
    </row>
    <row r="67">
      <c r="A67" s="3" t="s">
        <v>83</v>
      </c>
      <c r="B67" s="3">
        <v>24.164</v>
      </c>
      <c r="C67" s="3">
        <v>0.11</v>
      </c>
      <c r="D67" s="4">
        <v>-0.0445</v>
      </c>
      <c r="E67" s="3">
        <v>0.74</v>
      </c>
    </row>
    <row r="68">
      <c r="A68" s="3" t="s">
        <v>84</v>
      </c>
      <c r="B68" s="3">
        <v>606.0</v>
      </c>
      <c r="C68" s="3">
        <v>0.08</v>
      </c>
      <c r="D68" s="4">
        <v>-0.0562</v>
      </c>
      <c r="E68" s="3">
        <v>0.24</v>
      </c>
    </row>
    <row r="69">
      <c r="A69" s="3" t="s">
        <v>85</v>
      </c>
      <c r="B69" s="3">
        <v>3.715</v>
      </c>
      <c r="C69" s="3">
        <v>0.07</v>
      </c>
      <c r="D69" s="4">
        <v>-0.049</v>
      </c>
      <c r="E69" s="3">
        <v>0.25</v>
      </c>
    </row>
    <row r="70">
      <c r="A70" s="3" t="s">
        <v>86</v>
      </c>
      <c r="B70" s="3">
        <v>3.777</v>
      </c>
      <c r="C70" s="3">
        <v>0.13</v>
      </c>
      <c r="D70" s="4">
        <v>-0.12</v>
      </c>
      <c r="E70" s="3">
        <v>2.44</v>
      </c>
    </row>
    <row r="71">
      <c r="A71" s="3" t="s">
        <v>87</v>
      </c>
      <c r="B71" s="3">
        <v>51.674</v>
      </c>
      <c r="C71" s="3">
        <v>0.14</v>
      </c>
      <c r="D71" s="4">
        <v>-0.0565</v>
      </c>
      <c r="E71" s="3">
        <v>4.69</v>
      </c>
    </row>
    <row r="72">
      <c r="A72" s="3" t="s">
        <v>88</v>
      </c>
      <c r="B72" s="3">
        <v>21.349</v>
      </c>
      <c r="C72" s="3">
        <v>0.1</v>
      </c>
      <c r="D72" s="4">
        <v>0.0499</v>
      </c>
      <c r="E72" s="3">
        <v>1.13</v>
      </c>
    </row>
    <row r="73">
      <c r="A73" s="3" t="s">
        <v>89</v>
      </c>
      <c r="B73" s="3">
        <v>346.0</v>
      </c>
      <c r="C73" s="3">
        <v>0.07</v>
      </c>
      <c r="D73" s="4">
        <v>-0.051</v>
      </c>
      <c r="E73" s="3">
        <v>0.16</v>
      </c>
    </row>
    <row r="74">
      <c r="A74" s="3" t="s">
        <v>90</v>
      </c>
      <c r="B74" s="3">
        <v>3.304</v>
      </c>
      <c r="C74" s="3">
        <v>0.08</v>
      </c>
      <c r="D74" s="4">
        <v>-0.0104</v>
      </c>
      <c r="E74" s="3">
        <v>4.11</v>
      </c>
    </row>
    <row r="75">
      <c r="A75" s="3" t="s">
        <v>91</v>
      </c>
      <c r="B75" s="3">
        <v>34.673</v>
      </c>
      <c r="C75" s="3">
        <v>0.07</v>
      </c>
      <c r="D75" s="4">
        <v>0.0569</v>
      </c>
      <c r="E75" s="3">
        <v>4.51</v>
      </c>
    </row>
    <row r="76">
      <c r="A76" s="3" t="s">
        <v>92</v>
      </c>
      <c r="B76" s="3">
        <v>10.946</v>
      </c>
      <c r="C76" s="3">
        <v>0.16</v>
      </c>
      <c r="D76" s="4">
        <v>0.0444</v>
      </c>
      <c r="E76" s="3">
        <v>1.08</v>
      </c>
    </row>
    <row r="77">
      <c r="A77" s="3" t="s">
        <v>93</v>
      </c>
      <c r="B77" s="3">
        <v>17.457</v>
      </c>
      <c r="C77" s="3">
        <v>0.11</v>
      </c>
      <c r="D77" s="4">
        <v>0.0062</v>
      </c>
      <c r="E77" s="3">
        <v>4.31</v>
      </c>
    </row>
    <row r="78">
      <c r="A78" s="3" t="s">
        <v>94</v>
      </c>
      <c r="B78" s="3">
        <v>3.536</v>
      </c>
      <c r="C78" s="3">
        <v>0.1</v>
      </c>
      <c r="D78" s="4">
        <v>0.0317</v>
      </c>
      <c r="E78" s="3">
        <v>0.3</v>
      </c>
    </row>
    <row r="79">
      <c r="A79" s="3" t="s">
        <v>95</v>
      </c>
      <c r="B79" s="3">
        <v>43.825</v>
      </c>
      <c r="C79" s="3">
        <v>0.11</v>
      </c>
      <c r="D79" s="4">
        <v>-0.0758</v>
      </c>
      <c r="E79" s="3">
        <v>4.61</v>
      </c>
    </row>
    <row r="80">
      <c r="A80" s="3" t="s">
        <v>96</v>
      </c>
      <c r="B80" s="3">
        <v>674.536</v>
      </c>
      <c r="C80" s="3">
        <v>0.17</v>
      </c>
      <c r="D80" s="4">
        <v>0.018</v>
      </c>
      <c r="E80" s="3">
        <v>2.41</v>
      </c>
    </row>
    <row r="81">
      <c r="A81" s="3" t="s">
        <v>97</v>
      </c>
      <c r="B81" s="3">
        <v>32.483</v>
      </c>
      <c r="C81" s="3">
        <v>0.05</v>
      </c>
      <c r="D81" s="4">
        <v>-0.0714</v>
      </c>
      <c r="E81" s="3">
        <v>6.5</v>
      </c>
    </row>
    <row r="82">
      <c r="A82" s="3" t="s">
        <v>98</v>
      </c>
      <c r="B82" s="3">
        <v>61.255</v>
      </c>
      <c r="C82" s="3">
        <v>0.12</v>
      </c>
      <c r="D82" s="4">
        <v>-0.043</v>
      </c>
      <c r="E82" s="3">
        <v>4.13</v>
      </c>
    </row>
    <row r="83">
      <c r="A83" s="3" t="s">
        <v>7</v>
      </c>
      <c r="B83" s="3">
        <v>2955.182</v>
      </c>
      <c r="C83" s="3">
        <v>0.23</v>
      </c>
      <c r="D83" s="4">
        <v>0.0678</v>
      </c>
      <c r="E83" s="3">
        <v>2.07</v>
      </c>
    </row>
    <row r="84">
      <c r="A84" s="3" t="s">
        <v>99</v>
      </c>
      <c r="B84" s="3">
        <v>192.908</v>
      </c>
      <c r="C84" s="3">
        <v>0.34</v>
      </c>
      <c r="D84" s="4">
        <v>-0.0129</v>
      </c>
      <c r="E84" s="3">
        <v>4.3</v>
      </c>
    </row>
    <row r="85">
      <c r="A85" s="3" t="s">
        <v>14</v>
      </c>
      <c r="B85" s="3">
        <v>778.802</v>
      </c>
      <c r="C85" s="3">
        <v>0.54</v>
      </c>
      <c r="D85" s="4">
        <v>0.0165</v>
      </c>
      <c r="E85" s="3">
        <v>9.1</v>
      </c>
    </row>
    <row r="86">
      <c r="A86" s="3" t="s">
        <v>100</v>
      </c>
      <c r="B86" s="3">
        <v>3.086</v>
      </c>
      <c r="C86" s="3">
        <v>0.12</v>
      </c>
      <c r="D86" s="4">
        <v>-0.0585</v>
      </c>
      <c r="E86" s="3">
        <v>8.79</v>
      </c>
    </row>
    <row r="87">
      <c r="A87" s="3" t="s">
        <v>101</v>
      </c>
      <c r="B87" s="3">
        <v>6.865</v>
      </c>
      <c r="C87" s="3">
        <v>0.23</v>
      </c>
      <c r="D87" s="4">
        <v>0.0764</v>
      </c>
      <c r="E87" s="3">
        <v>2.34</v>
      </c>
    </row>
    <row r="88">
      <c r="A88" s="3" t="s">
        <v>102</v>
      </c>
      <c r="B88" s="3">
        <v>23.579</v>
      </c>
      <c r="C88" s="3">
        <v>0.22</v>
      </c>
      <c r="D88" s="4">
        <v>0.0487</v>
      </c>
      <c r="E88" s="3">
        <v>2.25</v>
      </c>
    </row>
    <row r="89">
      <c r="A89" s="3" t="s">
        <v>103</v>
      </c>
      <c r="B89" s="3">
        <v>21.734</v>
      </c>
      <c r="C89" s="3">
        <v>0.07</v>
      </c>
      <c r="D89" s="4">
        <v>-0.0072</v>
      </c>
      <c r="E89" s="3">
        <v>0.38</v>
      </c>
    </row>
    <row r="90">
      <c r="A90" s="3" t="s">
        <v>104</v>
      </c>
      <c r="B90" s="3">
        <v>10.464</v>
      </c>
      <c r="C90" s="3">
        <v>0.23</v>
      </c>
      <c r="D90" s="4">
        <v>0.0032</v>
      </c>
      <c r="E90" s="3">
        <v>1.6</v>
      </c>
    </row>
    <row r="91">
      <c r="A91" s="3" t="s">
        <v>105</v>
      </c>
      <c r="B91" s="3">
        <v>17.97</v>
      </c>
      <c r="C91" s="3">
        <v>0.21</v>
      </c>
      <c r="D91" s="4">
        <v>0.0225</v>
      </c>
      <c r="E91" s="3">
        <v>1.03</v>
      </c>
    </row>
    <row r="92">
      <c r="A92" s="3" t="s">
        <v>106</v>
      </c>
      <c r="B92" s="3">
        <v>97.0</v>
      </c>
      <c r="C92" s="3">
        <v>0.23</v>
      </c>
      <c r="D92" s="4">
        <v>0.0181</v>
      </c>
      <c r="E92" s="3">
        <v>0.76</v>
      </c>
    </row>
    <row r="93">
      <c r="A93" s="3" t="s">
        <v>107</v>
      </c>
      <c r="B93" s="3">
        <v>318.0</v>
      </c>
      <c r="C93" s="3">
        <v>0.11</v>
      </c>
      <c r="D93" s="4">
        <v>-0.0191</v>
      </c>
      <c r="E93" s="3">
        <v>0.34</v>
      </c>
    </row>
    <row r="94">
      <c r="A94" s="3" t="s">
        <v>108</v>
      </c>
      <c r="B94" s="3">
        <v>119.0</v>
      </c>
      <c r="C94" s="3">
        <v>0.08</v>
      </c>
      <c r="D94" s="4">
        <v>0.0543</v>
      </c>
      <c r="E94" s="3">
        <v>2.05</v>
      </c>
    </row>
    <row r="95">
      <c r="A95" s="3" t="s">
        <v>109</v>
      </c>
      <c r="B95" s="3">
        <v>64.275</v>
      </c>
      <c r="C95" s="3">
        <v>0.55</v>
      </c>
      <c r="D95" s="4">
        <v>0.0767</v>
      </c>
      <c r="E95" s="3">
        <v>2.46</v>
      </c>
    </row>
    <row r="96">
      <c r="A96" s="3" t="s">
        <v>110</v>
      </c>
      <c r="B96" s="3">
        <v>573.536</v>
      </c>
      <c r="C96" s="3">
        <v>0.22</v>
      </c>
      <c r="D96" s="4">
        <v>-0.027</v>
      </c>
      <c r="E96" s="3">
        <v>11.04</v>
      </c>
    </row>
    <row r="97">
      <c r="A97" s="3" t="s">
        <v>19</v>
      </c>
      <c r="B97" s="3">
        <v>111.634</v>
      </c>
      <c r="C97" s="3">
        <v>0.51</v>
      </c>
      <c r="D97" s="4">
        <v>0.0063</v>
      </c>
      <c r="E97" s="3">
        <v>24.9</v>
      </c>
    </row>
    <row r="98">
      <c r="A98" s="3" t="s">
        <v>111</v>
      </c>
      <c r="B98" s="3">
        <v>239.867</v>
      </c>
      <c r="C98" s="3">
        <v>0.34</v>
      </c>
      <c r="D98" s="4">
        <v>-0.0101</v>
      </c>
      <c r="E98" s="3">
        <v>12.43</v>
      </c>
    </row>
    <row r="99">
      <c r="A99" s="3" t="s">
        <v>112</v>
      </c>
      <c r="B99" s="3">
        <v>26.021</v>
      </c>
      <c r="C99" s="3">
        <v>0.41</v>
      </c>
      <c r="D99" s="4">
        <v>0.0469</v>
      </c>
      <c r="E99" s="3">
        <v>3.49</v>
      </c>
    </row>
    <row r="100">
      <c r="A100" s="3" t="s">
        <v>113</v>
      </c>
      <c r="B100" s="3">
        <v>17.332</v>
      </c>
      <c r="C100" s="3">
        <v>0.26</v>
      </c>
      <c r="D100" s="4">
        <v>0.0437</v>
      </c>
      <c r="E100" s="3">
        <v>3.0</v>
      </c>
    </row>
    <row r="101">
      <c r="A101" s="3" t="s">
        <v>114</v>
      </c>
      <c r="B101" s="3">
        <v>297.0</v>
      </c>
      <c r="C101" s="3">
        <v>0.07</v>
      </c>
      <c r="D101" s="4">
        <v>0.0545</v>
      </c>
      <c r="E101" s="3">
        <v>1.62</v>
      </c>
    </row>
    <row r="102">
      <c r="A102" s="3" t="s">
        <v>115</v>
      </c>
      <c r="B102" s="3">
        <v>20.518</v>
      </c>
      <c r="C102" s="3">
        <v>0.07</v>
      </c>
      <c r="D102" s="4">
        <v>0.0243</v>
      </c>
      <c r="E102" s="3">
        <v>0.97</v>
      </c>
    </row>
    <row r="103">
      <c r="A103" s="3" t="s">
        <v>116</v>
      </c>
      <c r="B103" s="3">
        <v>1.637</v>
      </c>
      <c r="C103" s="3">
        <v>0.18</v>
      </c>
      <c r="D103" s="4">
        <v>-0.0492</v>
      </c>
      <c r="E103" s="3">
        <v>0.3</v>
      </c>
    </row>
    <row r="104">
      <c r="A104" s="3" t="s">
        <v>10</v>
      </c>
      <c r="B104" s="3">
        <v>878.0</v>
      </c>
      <c r="C104" s="3">
        <v>0.15</v>
      </c>
      <c r="D104" s="4">
        <v>0.0191</v>
      </c>
      <c r="E104" s="3">
        <v>0.36</v>
      </c>
    </row>
    <row r="105">
      <c r="A105" s="3" t="s">
        <v>117</v>
      </c>
      <c r="B105" s="3">
        <v>13.115</v>
      </c>
      <c r="C105" s="3">
        <v>0.1</v>
      </c>
      <c r="D105" s="4">
        <v>0.0023</v>
      </c>
      <c r="E105" s="3">
        <v>4.66</v>
      </c>
    </row>
    <row r="106">
      <c r="A106" s="3" t="s">
        <v>118</v>
      </c>
      <c r="B106" s="3">
        <v>7.007</v>
      </c>
      <c r="C106" s="3">
        <v>0.08</v>
      </c>
      <c r="D106" s="4">
        <v>-0.0475</v>
      </c>
      <c r="E106" s="3">
        <v>11.18</v>
      </c>
    </row>
    <row r="107">
      <c r="A107" s="3" t="s">
        <v>119</v>
      </c>
      <c r="B107" s="3">
        <v>6.551</v>
      </c>
      <c r="C107" s="3">
        <v>0.09</v>
      </c>
      <c r="D107" s="4">
        <v>-0.007</v>
      </c>
      <c r="E107" s="3">
        <v>3.56</v>
      </c>
    </row>
    <row r="108">
      <c r="A108" s="3" t="s">
        <v>120</v>
      </c>
      <c r="B108" s="3">
        <v>61.259</v>
      </c>
      <c r="C108" s="3">
        <v>0.5</v>
      </c>
      <c r="D108" s="4">
        <v>0.0626</v>
      </c>
      <c r="E108" s="3">
        <v>8.88</v>
      </c>
    </row>
    <row r="109">
      <c r="A109" s="3" t="s">
        <v>121</v>
      </c>
      <c r="B109" s="3">
        <v>69.858</v>
      </c>
      <c r="C109" s="3">
        <v>0.21</v>
      </c>
      <c r="D109" s="4">
        <v>-0.0167</v>
      </c>
      <c r="E109" s="3">
        <v>1.82</v>
      </c>
    </row>
    <row r="110">
      <c r="A110" s="3" t="s">
        <v>122</v>
      </c>
      <c r="B110" s="3">
        <v>9.928</v>
      </c>
      <c r="C110" s="3">
        <v>0.25</v>
      </c>
      <c r="D110" s="4">
        <v>0.0535</v>
      </c>
      <c r="E110" s="3">
        <v>2.5</v>
      </c>
    </row>
    <row r="111">
      <c r="A111" s="3" t="s">
        <v>123</v>
      </c>
      <c r="B111" s="3">
        <v>4.099</v>
      </c>
      <c r="C111" s="3">
        <v>0.08</v>
      </c>
      <c r="D111" s="4">
        <v>0.0012</v>
      </c>
      <c r="E111" s="3">
        <v>0.14</v>
      </c>
    </row>
    <row r="112">
      <c r="A112" s="3" t="s">
        <v>124</v>
      </c>
      <c r="B112" s="3">
        <v>8.764</v>
      </c>
      <c r="C112" s="3">
        <v>0.21</v>
      </c>
      <c r="D112" s="4">
        <v>0.0448</v>
      </c>
      <c r="E112" s="3">
        <v>4.19</v>
      </c>
    </row>
    <row r="113">
      <c r="A113" s="3" t="s">
        <v>125</v>
      </c>
      <c r="B113" s="3">
        <v>6.661</v>
      </c>
      <c r="C113" s="3">
        <v>0.12</v>
      </c>
      <c r="D113" s="4">
        <v>-0.055</v>
      </c>
      <c r="E113" s="3">
        <v>0.3</v>
      </c>
    </row>
    <row r="114">
      <c r="A114" s="3" t="s">
        <v>126</v>
      </c>
      <c r="B114" s="3">
        <v>33.368</v>
      </c>
      <c r="C114" s="3">
        <v>0.11</v>
      </c>
      <c r="D114" s="4">
        <v>0.0221</v>
      </c>
      <c r="E114" s="3">
        <v>0.59</v>
      </c>
    </row>
    <row r="115">
      <c r="A115" s="3" t="s">
        <v>127</v>
      </c>
      <c r="B115" s="3">
        <v>28.117</v>
      </c>
      <c r="C115" s="3">
        <v>0.5</v>
      </c>
      <c r="D115" s="4">
        <v>0.0739</v>
      </c>
      <c r="E115" s="3">
        <v>8.45</v>
      </c>
    </row>
    <row r="116">
      <c r="A116" s="3" t="s">
        <v>128</v>
      </c>
      <c r="B116" s="3">
        <v>4.65</v>
      </c>
      <c r="C116" s="3">
        <v>0.15</v>
      </c>
      <c r="D116" s="4">
        <v>-0.051</v>
      </c>
      <c r="E116" s="3">
        <v>0.9</v>
      </c>
    </row>
    <row r="117">
      <c r="A117" s="3" t="s">
        <v>129</v>
      </c>
      <c r="B117" s="3">
        <v>1.685</v>
      </c>
      <c r="C117" s="3">
        <v>0.05</v>
      </c>
      <c r="D117" s="4">
        <v>-0.0448</v>
      </c>
      <c r="E117" s="3">
        <v>3.85</v>
      </c>
    </row>
    <row r="118">
      <c r="A118" s="3" t="s">
        <v>130</v>
      </c>
      <c r="B118" s="3">
        <v>4.214</v>
      </c>
      <c r="C118" s="3">
        <v>0.13</v>
      </c>
      <c r="D118" s="4">
        <v>0.0398</v>
      </c>
      <c r="E118" s="3">
        <v>3.29</v>
      </c>
    </row>
    <row r="119">
      <c r="A119" s="3" t="s">
        <v>131</v>
      </c>
      <c r="B119" s="3">
        <v>2.876</v>
      </c>
      <c r="C119" s="3">
        <v>0.25</v>
      </c>
      <c r="D119" s="4">
        <v>0.0192</v>
      </c>
      <c r="E119" s="3">
        <v>6.0</v>
      </c>
    </row>
    <row r="120">
      <c r="A120" s="3" t="s">
        <v>132</v>
      </c>
      <c r="B120" s="3">
        <v>6.448</v>
      </c>
      <c r="C120" s="3">
        <v>0.18</v>
      </c>
      <c r="D120" s="4">
        <v>0.0546</v>
      </c>
      <c r="E120" s="3">
        <v>0.29</v>
      </c>
    </row>
    <row r="121">
      <c r="A121" s="3" t="s">
        <v>133</v>
      </c>
      <c r="B121" s="3">
        <v>487.094</v>
      </c>
      <c r="C121" s="3">
        <v>0.17</v>
      </c>
      <c r="D121" s="4">
        <v>0.0344</v>
      </c>
      <c r="E121" s="3">
        <v>3.52</v>
      </c>
    </row>
    <row r="122">
      <c r="A122" s="3" t="s">
        <v>134</v>
      </c>
      <c r="B122" s="3">
        <v>283.324</v>
      </c>
      <c r="C122" s="3">
        <v>0.25</v>
      </c>
      <c r="D122" s="4">
        <v>0.02</v>
      </c>
      <c r="E122" s="3">
        <v>8.3</v>
      </c>
    </row>
    <row r="123">
      <c r="A123" s="3" t="s">
        <v>135</v>
      </c>
      <c r="B123" s="3">
        <v>9.74</v>
      </c>
      <c r="C123" s="3">
        <v>0.19</v>
      </c>
      <c r="D123" s="4">
        <v>-0.0553</v>
      </c>
      <c r="E123" s="3">
        <v>0.28</v>
      </c>
    </row>
    <row r="124">
      <c r="A124" s="3" t="s">
        <v>136</v>
      </c>
      <c r="B124" s="3">
        <v>4.365</v>
      </c>
      <c r="C124" s="3">
        <v>0.15</v>
      </c>
      <c r="D124" s="4">
        <v>0.0061</v>
      </c>
      <c r="E124" s="3">
        <v>1.53</v>
      </c>
    </row>
    <row r="125">
      <c r="A125" s="3" t="s">
        <v>137</v>
      </c>
      <c r="B125" s="3">
        <v>2.823</v>
      </c>
      <c r="C125" s="3">
        <v>0.06</v>
      </c>
      <c r="D125" s="4">
        <v>-0.0643</v>
      </c>
      <c r="E125" s="3">
        <v>0.1</v>
      </c>
    </row>
    <row r="126">
      <c r="A126" s="3" t="s">
        <v>138</v>
      </c>
      <c r="B126" s="3">
        <v>127.942</v>
      </c>
      <c r="C126" s="3">
        <v>0.1</v>
      </c>
      <c r="D126" s="4">
        <v>-0.041</v>
      </c>
      <c r="E126" s="3">
        <v>0.58</v>
      </c>
    </row>
    <row r="127">
      <c r="A127" s="3" t="s">
        <v>139</v>
      </c>
      <c r="B127" s="3">
        <v>5.725</v>
      </c>
      <c r="C127" s="3">
        <v>0.11</v>
      </c>
      <c r="D127" s="4">
        <v>0.0493</v>
      </c>
      <c r="E127" s="3">
        <v>0.87</v>
      </c>
    </row>
    <row r="128">
      <c r="A128" s="3" t="s">
        <v>140</v>
      </c>
      <c r="B128" s="3">
        <v>122.872</v>
      </c>
      <c r="C128" s="3">
        <v>0.1</v>
      </c>
      <c r="D128" s="4">
        <v>-0.0785</v>
      </c>
      <c r="E128" s="3">
        <v>7.09</v>
      </c>
    </row>
    <row r="129">
      <c r="A129" s="3" t="s">
        <v>141</v>
      </c>
      <c r="B129" s="3">
        <v>44.065</v>
      </c>
      <c r="C129" s="3">
        <v>0.09</v>
      </c>
      <c r="D129" s="4">
        <v>-0.0202</v>
      </c>
      <c r="E129" s="3">
        <v>7.86</v>
      </c>
    </row>
    <row r="130">
      <c r="A130" s="3" t="s">
        <v>142</v>
      </c>
      <c r="B130" s="3">
        <v>17.934</v>
      </c>
      <c r="C130" s="3">
        <v>0.12</v>
      </c>
      <c r="D130" s="4">
        <v>0.0309</v>
      </c>
      <c r="E130" s="3">
        <v>0.57</v>
      </c>
    </row>
    <row r="131">
      <c r="A131" s="3" t="s">
        <v>143</v>
      </c>
      <c r="B131" s="3">
        <v>35.795</v>
      </c>
      <c r="C131" s="3">
        <v>0.14</v>
      </c>
      <c r="D131" s="4">
        <v>0.0264</v>
      </c>
      <c r="E131" s="3">
        <v>7.22</v>
      </c>
    </row>
    <row r="132">
      <c r="A132" s="3" t="s">
        <v>25</v>
      </c>
      <c r="B132" s="3">
        <v>93.094</v>
      </c>
      <c r="C132" s="3">
        <v>0.5</v>
      </c>
      <c r="D132" s="4">
        <v>0.009</v>
      </c>
      <c r="E132" s="3">
        <v>17.11</v>
      </c>
    </row>
    <row r="133">
      <c r="A133" s="3" t="s">
        <v>144</v>
      </c>
      <c r="B133" s="3">
        <v>14.721</v>
      </c>
      <c r="C133" s="3">
        <v>0.09</v>
      </c>
      <c r="D133" s="4">
        <v>0.2102</v>
      </c>
      <c r="E133" s="3">
        <v>3.29</v>
      </c>
    </row>
    <row r="134">
      <c r="A134" s="3" t="s">
        <v>145</v>
      </c>
      <c r="B134" s="3">
        <v>58.403</v>
      </c>
      <c r="C134" s="3">
        <v>0.11</v>
      </c>
      <c r="D134" s="4">
        <v>0.0136</v>
      </c>
      <c r="E134" s="3">
        <v>1.7</v>
      </c>
    </row>
    <row r="135">
      <c r="A135" s="3" t="s">
        <v>146</v>
      </c>
      <c r="B135" s="3">
        <v>5.952</v>
      </c>
      <c r="C135" s="3">
        <v>0.14</v>
      </c>
      <c r="D135" s="4">
        <v>0.0048</v>
      </c>
      <c r="E135" s="3">
        <v>0.64</v>
      </c>
    </row>
    <row r="136">
      <c r="A136" s="3" t="s">
        <v>147</v>
      </c>
      <c r="B136" s="3">
        <v>161.288</v>
      </c>
      <c r="C136" s="3">
        <v>0.14</v>
      </c>
      <c r="D136" s="4">
        <v>0.0558</v>
      </c>
      <c r="E136" s="3">
        <v>1.41</v>
      </c>
    </row>
    <row r="137">
      <c r="A137" s="3" t="s">
        <v>148</v>
      </c>
      <c r="B137" s="3">
        <v>200.51</v>
      </c>
      <c r="C137" s="3">
        <v>0.15</v>
      </c>
      <c r="D137" s="4">
        <v>-0.0985</v>
      </c>
      <c r="E137" s="3">
        <v>0.91</v>
      </c>
    </row>
    <row r="138">
      <c r="A138" s="3" t="s">
        <v>149</v>
      </c>
      <c r="B138" s="3">
        <v>286.907</v>
      </c>
      <c r="C138" s="3">
        <v>0.18</v>
      </c>
      <c r="D138" s="4">
        <v>-0.093</v>
      </c>
      <c r="E138" s="3">
        <v>7.63</v>
      </c>
    </row>
    <row r="139">
      <c r="A139" s="3" t="s">
        <v>17</v>
      </c>
      <c r="B139" s="3">
        <v>1.44</v>
      </c>
      <c r="C139" s="3">
        <v>5.06</v>
      </c>
      <c r="D139" s="4">
        <v>0.0297</v>
      </c>
      <c r="E139" s="3">
        <v>62.59</v>
      </c>
    </row>
    <row r="140">
      <c r="A140" s="3" t="s">
        <v>150</v>
      </c>
      <c r="B140" s="3">
        <v>8.254</v>
      </c>
      <c r="C140" s="3">
        <v>0.08</v>
      </c>
      <c r="D140" s="4">
        <v>-0.0021</v>
      </c>
      <c r="E140" s="3">
        <v>1.13</v>
      </c>
    </row>
    <row r="141">
      <c r="A141" s="3" t="s">
        <v>18</v>
      </c>
      <c r="B141" s="3">
        <v>127.908</v>
      </c>
      <c r="C141" s="3">
        <v>0.41</v>
      </c>
      <c r="D141" s="4">
        <v>0.0597</v>
      </c>
      <c r="E141" s="3">
        <v>43.55</v>
      </c>
    </row>
    <row r="142">
      <c r="A142" s="3" t="s">
        <v>151</v>
      </c>
      <c r="B142" s="3">
        <v>70.773</v>
      </c>
      <c r="C142" s="3">
        <v>0.09</v>
      </c>
      <c r="D142" s="4">
        <v>-0.0641</v>
      </c>
      <c r="E142" s="3">
        <v>3.7</v>
      </c>
    </row>
    <row r="143">
      <c r="A143" s="3" t="s">
        <v>8</v>
      </c>
      <c r="B143" s="3">
        <v>2069.502</v>
      </c>
      <c r="C143" s="3">
        <v>0.36</v>
      </c>
      <c r="D143" s="4">
        <v>0.0236</v>
      </c>
      <c r="E143" s="3">
        <v>14.45</v>
      </c>
    </row>
    <row r="144">
      <c r="A144" s="3" t="s">
        <v>152</v>
      </c>
      <c r="B144" s="3">
        <v>1.646</v>
      </c>
      <c r="C144" s="3">
        <v>0.04</v>
      </c>
      <c r="D144" s="4">
        <v>-0.0066</v>
      </c>
      <c r="E144" s="3">
        <v>0.12</v>
      </c>
    </row>
    <row r="145">
      <c r="A145" s="3" t="s">
        <v>24</v>
      </c>
      <c r="B145" s="3">
        <v>622.914</v>
      </c>
      <c r="C145" s="3">
        <v>0.34</v>
      </c>
      <c r="D145" s="4">
        <v>0.0146</v>
      </c>
      <c r="E145" s="3">
        <v>17.15</v>
      </c>
    </row>
    <row r="146">
      <c r="A146" s="3" t="s">
        <v>153</v>
      </c>
      <c r="B146" s="3">
        <v>419.0</v>
      </c>
      <c r="C146" s="3">
        <v>0.21</v>
      </c>
      <c r="D146" s="4">
        <v>0.0161</v>
      </c>
      <c r="E146" s="3">
        <v>0.61</v>
      </c>
    </row>
    <row r="147">
      <c r="A147" s="3" t="s">
        <v>154</v>
      </c>
      <c r="B147" s="3">
        <v>1.237</v>
      </c>
      <c r="C147" s="3">
        <v>0.35</v>
      </c>
      <c r="D147" s="4">
        <v>0.0289</v>
      </c>
      <c r="E147" s="3">
        <v>12.76</v>
      </c>
    </row>
    <row r="148">
      <c r="A148" s="3" t="s">
        <v>155</v>
      </c>
      <c r="B148" s="3">
        <v>21.273</v>
      </c>
      <c r="C148" s="3">
        <v>0.14</v>
      </c>
      <c r="D148" s="4">
        <v>-0.0291</v>
      </c>
      <c r="E148" s="3">
        <v>0.34</v>
      </c>
    </row>
    <row r="149">
      <c r="A149" s="3" t="s">
        <v>156</v>
      </c>
      <c r="B149" s="3">
        <v>35.392</v>
      </c>
      <c r="C149" s="3">
        <v>0.05</v>
      </c>
      <c r="D149" s="4">
        <v>-0.0284</v>
      </c>
      <c r="E149" s="3">
        <v>3.43</v>
      </c>
    </row>
    <row r="150">
      <c r="A150" s="3" t="s">
        <v>157</v>
      </c>
      <c r="B150" s="3">
        <v>57.068</v>
      </c>
      <c r="C150" s="3">
        <v>0.08</v>
      </c>
      <c r="D150" s="4">
        <v>0.0166</v>
      </c>
      <c r="E150" s="3">
        <v>9.38</v>
      </c>
    </row>
    <row r="151">
      <c r="A151" s="3" t="s">
        <v>158</v>
      </c>
      <c r="B151" s="3">
        <v>12.076</v>
      </c>
      <c r="C151" s="3">
        <v>0.12</v>
      </c>
      <c r="D151" s="4">
        <v>-0.0799</v>
      </c>
      <c r="E151" s="3">
        <v>5.81</v>
      </c>
    </row>
    <row r="152">
      <c r="A152" s="3" t="s">
        <v>159</v>
      </c>
      <c r="B152" s="3">
        <v>34.862</v>
      </c>
      <c r="C152" s="3">
        <v>0.16</v>
      </c>
      <c r="D152" s="4">
        <v>-0.0189</v>
      </c>
      <c r="E152" s="3">
        <v>6.4</v>
      </c>
    </row>
    <row r="153">
      <c r="A153" s="3" t="s">
        <v>160</v>
      </c>
      <c r="B153" s="3">
        <v>1.075</v>
      </c>
      <c r="C153" s="3">
        <v>0.07</v>
      </c>
      <c r="D153" s="4">
        <v>-0.0442</v>
      </c>
      <c r="E153" s="3">
        <v>0.13</v>
      </c>
    </row>
    <row r="154">
      <c r="A154" s="3" t="s">
        <v>161</v>
      </c>
      <c r="B154" s="3">
        <v>12.024</v>
      </c>
      <c r="C154" s="3">
        <v>0.16</v>
      </c>
      <c r="D154" s="4">
        <v>-0.0518</v>
      </c>
      <c r="E154" s="3">
        <v>0.65</v>
      </c>
    </row>
    <row r="155">
      <c r="A155" s="3" t="s">
        <v>11</v>
      </c>
      <c r="B155" s="3">
        <v>868.0</v>
      </c>
      <c r="C155" s="3">
        <v>0.03</v>
      </c>
      <c r="D155" s="4">
        <v>-0.0271</v>
      </c>
      <c r="E155" s="3">
        <v>0.05</v>
      </c>
    </row>
    <row r="156">
      <c r="A156" s="3" t="s">
        <v>162</v>
      </c>
      <c r="B156" s="3">
        <v>2.629</v>
      </c>
      <c r="C156" s="3">
        <v>0.22</v>
      </c>
      <c r="D156" s="4">
        <v>0.0282</v>
      </c>
      <c r="E156" s="3">
        <v>4.45</v>
      </c>
    </row>
    <row r="157">
      <c r="A157" s="3" t="s">
        <v>163</v>
      </c>
      <c r="B157" s="3">
        <v>214.0</v>
      </c>
      <c r="C157" s="3">
        <v>0.17</v>
      </c>
      <c r="D157" s="4">
        <v>0.0181</v>
      </c>
      <c r="E157" s="3">
        <v>0.92</v>
      </c>
    </row>
    <row r="158">
      <c r="A158" s="3" t="s">
        <v>164</v>
      </c>
      <c r="B158" s="3">
        <v>8.38</v>
      </c>
      <c r="C158" s="3">
        <v>0.12</v>
      </c>
      <c r="D158" s="4">
        <v>0.0531</v>
      </c>
      <c r="E158" s="3">
        <v>1.27</v>
      </c>
    </row>
    <row r="159">
      <c r="A159" s="3" t="s">
        <v>165</v>
      </c>
      <c r="B159" s="3">
        <v>25.595</v>
      </c>
      <c r="C159" s="3">
        <v>0.41</v>
      </c>
      <c r="D159" s="4">
        <v>-0.0356</v>
      </c>
      <c r="E159" s="3">
        <v>1.19</v>
      </c>
    </row>
    <row r="160">
      <c r="A160" s="3" t="s">
        <v>166</v>
      </c>
      <c r="B160" s="3">
        <v>1.39</v>
      </c>
      <c r="C160" s="3">
        <v>0.11</v>
      </c>
      <c r="D160" s="4">
        <v>0.0121</v>
      </c>
      <c r="E160" s="3">
        <v>0.92</v>
      </c>
    </row>
    <row r="161">
      <c r="A161" s="3" t="s">
        <v>167</v>
      </c>
      <c r="B161" s="3">
        <v>2.571</v>
      </c>
      <c r="C161" s="3">
        <v>0.08</v>
      </c>
      <c r="D161" s="4">
        <v>-0.0031</v>
      </c>
      <c r="E161" s="3">
        <v>0.14</v>
      </c>
    </row>
    <row r="162">
      <c r="A162" s="3" t="s">
        <v>168</v>
      </c>
      <c r="B162" s="3">
        <v>2.493</v>
      </c>
      <c r="C162" s="3">
        <v>0.1</v>
      </c>
      <c r="D162" s="4">
        <v>-0.0374</v>
      </c>
      <c r="E162" s="3">
        <v>0.28</v>
      </c>
    </row>
    <row r="163">
      <c r="A163" s="3" t="s">
        <v>169</v>
      </c>
      <c r="B163" s="3">
        <v>274.16</v>
      </c>
      <c r="C163" s="3">
        <v>0.18</v>
      </c>
      <c r="D163" s="4">
        <v>-0.007</v>
      </c>
      <c r="E163" s="3">
        <v>3.94</v>
      </c>
    </row>
    <row r="164">
      <c r="A164" s="3" t="s">
        <v>170</v>
      </c>
      <c r="B164" s="3">
        <v>9.308</v>
      </c>
      <c r="C164" s="3">
        <v>0.2</v>
      </c>
      <c r="D164" s="4">
        <v>-0.0044</v>
      </c>
      <c r="E164" s="3">
        <v>0.93</v>
      </c>
    </row>
    <row r="165">
      <c r="A165" s="3" t="s">
        <v>171</v>
      </c>
      <c r="B165" s="3">
        <v>703.0</v>
      </c>
      <c r="C165" s="3">
        <v>0.11</v>
      </c>
      <c r="D165" s="4">
        <v>-0.0344</v>
      </c>
      <c r="E165" s="3">
        <v>0.48</v>
      </c>
    </row>
    <row r="166">
      <c r="A166" s="3" t="s">
        <v>172</v>
      </c>
      <c r="B166" s="3">
        <v>65.988</v>
      </c>
      <c r="C166" s="3">
        <v>0.58</v>
      </c>
      <c r="D166" s="4">
        <v>-0.0221</v>
      </c>
      <c r="E166" s="3">
        <v>10.51</v>
      </c>
    </row>
    <row r="167">
      <c r="A167" s="3" t="s">
        <v>173</v>
      </c>
      <c r="B167" s="3">
        <v>31.497</v>
      </c>
      <c r="C167" s="3">
        <v>0.21</v>
      </c>
      <c r="D167" s="4">
        <v>0.0252</v>
      </c>
      <c r="E167" s="3">
        <v>2.57</v>
      </c>
    </row>
    <row r="168">
      <c r="A168" s="3" t="s">
        <v>174</v>
      </c>
      <c r="B168" s="3">
        <v>220.0</v>
      </c>
      <c r="C168" s="3">
        <v>0.31</v>
      </c>
      <c r="D168" s="4">
        <v>0.0343</v>
      </c>
      <c r="E168" s="3">
        <v>1.95</v>
      </c>
    </row>
    <row r="169">
      <c r="A169" s="3" t="s">
        <v>175</v>
      </c>
      <c r="B169" s="3">
        <v>438.316</v>
      </c>
      <c r="C169" s="3">
        <v>0.15</v>
      </c>
      <c r="D169" s="4">
        <v>0.006</v>
      </c>
      <c r="E169" s="3">
        <v>5.13</v>
      </c>
    </row>
    <row r="170">
      <c r="A170" s="3" t="s">
        <v>23</v>
      </c>
      <c r="B170" s="3">
        <v>27.216</v>
      </c>
      <c r="C170" s="3">
        <v>0.62</v>
      </c>
      <c r="D170" s="4">
        <v>-0.026</v>
      </c>
      <c r="E170" s="3">
        <v>19.71</v>
      </c>
    </row>
    <row r="171">
      <c r="A171" s="3" t="s">
        <v>176</v>
      </c>
      <c r="B171" s="3">
        <v>279.847</v>
      </c>
      <c r="C171" s="3">
        <v>0.18</v>
      </c>
      <c r="D171" s="4">
        <v>-0.0288</v>
      </c>
      <c r="E171" s="3">
        <v>11.68</v>
      </c>
    </row>
    <row r="172">
      <c r="A172" s="3" t="s">
        <v>177</v>
      </c>
      <c r="B172" s="3">
        <v>19.373</v>
      </c>
      <c r="C172" s="3">
        <v>0.08</v>
      </c>
      <c r="D172" s="4">
        <v>-0.0088</v>
      </c>
      <c r="E172" s="3">
        <v>0.28</v>
      </c>
    </row>
    <row r="173">
      <c r="A173" s="3" t="s">
        <v>178</v>
      </c>
      <c r="B173" s="3">
        <v>136.198</v>
      </c>
      <c r="C173" s="3">
        <v>0.24</v>
      </c>
      <c r="D173" s="4">
        <v>-0.0103</v>
      </c>
      <c r="E173" s="3">
        <v>3.17</v>
      </c>
    </row>
    <row r="174">
      <c r="A174" s="3" t="s">
        <v>179</v>
      </c>
      <c r="B174" s="3">
        <v>7.217</v>
      </c>
      <c r="C174" s="3">
        <v>0.05</v>
      </c>
      <c r="D174" s="4">
        <v>-0.031</v>
      </c>
      <c r="E174" s="3">
        <v>0.14</v>
      </c>
    </row>
    <row r="175">
      <c r="A175" s="3" t="s">
        <v>180</v>
      </c>
      <c r="B175" s="3">
        <v>8.817</v>
      </c>
      <c r="C175" s="3">
        <v>0.08</v>
      </c>
      <c r="D175" s="4">
        <v>0.0094</v>
      </c>
      <c r="E175" s="3">
        <v>2.5</v>
      </c>
    </row>
    <row r="176">
      <c r="A176" s="3" t="s">
        <v>181</v>
      </c>
      <c r="B176" s="3">
        <v>137.9</v>
      </c>
      <c r="C176" s="3">
        <v>0.43</v>
      </c>
      <c r="D176" s="4">
        <v>-0.0183</v>
      </c>
      <c r="E176" s="3">
        <v>4.01</v>
      </c>
    </row>
    <row r="177">
      <c r="A177" s="3" t="s">
        <v>182</v>
      </c>
      <c r="B177" s="3">
        <v>96.0</v>
      </c>
      <c r="C177" s="3">
        <v>0.05</v>
      </c>
      <c r="D177" s="4">
        <v>0.0542</v>
      </c>
      <c r="E177" s="3">
        <v>0.87</v>
      </c>
    </row>
    <row r="178">
      <c r="A178" s="3" t="s">
        <v>183</v>
      </c>
      <c r="B178" s="3">
        <v>84.595</v>
      </c>
      <c r="C178" s="3">
        <v>0.32</v>
      </c>
      <c r="D178" s="4">
        <v>0.0749</v>
      </c>
      <c r="E178" s="3">
        <v>2.47</v>
      </c>
    </row>
    <row r="179">
      <c r="A179" s="3" t="s">
        <v>184</v>
      </c>
      <c r="B179" s="3">
        <v>372.949</v>
      </c>
      <c r="C179" s="3">
        <v>0.28</v>
      </c>
      <c r="D179" s="4">
        <v>0.1378</v>
      </c>
      <c r="E179" s="3">
        <v>3.69</v>
      </c>
    </row>
    <row r="180">
      <c r="A180" s="3" t="s">
        <v>185</v>
      </c>
      <c r="B180" s="3">
        <v>287.0</v>
      </c>
      <c r="C180" s="3">
        <v>0.29</v>
      </c>
      <c r="D180" s="4">
        <v>0.0145</v>
      </c>
      <c r="E180" s="3">
        <v>0.92</v>
      </c>
    </row>
    <row r="181">
      <c r="A181" s="3" t="s">
        <v>186</v>
      </c>
      <c r="B181" s="3">
        <v>468.0</v>
      </c>
      <c r="C181" s="3">
        <v>0.34</v>
      </c>
      <c r="D181" s="4">
        <v>0.0292</v>
      </c>
      <c r="E181" s="3">
        <v>2.3</v>
      </c>
    </row>
    <row r="182">
      <c r="A182" s="3" t="s">
        <v>187</v>
      </c>
      <c r="B182" s="3">
        <v>10.899</v>
      </c>
      <c r="C182" s="3">
        <v>0.18</v>
      </c>
      <c r="D182" s="4">
        <v>-0.0461</v>
      </c>
      <c r="E182" s="3">
        <v>0.34</v>
      </c>
    </row>
    <row r="183">
      <c r="A183" s="3" t="s">
        <v>188</v>
      </c>
      <c r="B183" s="3">
        <v>397.373</v>
      </c>
      <c r="C183" s="3">
        <v>0.46</v>
      </c>
      <c r="D183" s="4">
        <v>-0.0392</v>
      </c>
      <c r="E183" s="3">
        <v>6.56</v>
      </c>
    </row>
    <row r="184">
      <c r="A184" s="3" t="s">
        <v>189</v>
      </c>
      <c r="B184" s="3">
        <v>8.059</v>
      </c>
      <c r="C184" s="3">
        <v>0.11</v>
      </c>
      <c r="D184" s="4">
        <v>0.0028</v>
      </c>
      <c r="E184" s="3">
        <v>0.4</v>
      </c>
    </row>
    <row r="185">
      <c r="A185" s="3" t="s">
        <v>190</v>
      </c>
      <c r="B185" s="3">
        <v>11.744</v>
      </c>
      <c r="C185" s="3">
        <v>0.2</v>
      </c>
      <c r="D185" s="4">
        <v>0.0498</v>
      </c>
      <c r="E185" s="3">
        <v>0.62</v>
      </c>
    </row>
  </sheetData>
  <drawing r:id="rId1"/>
</worksheet>
</file>