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6e04a260043c7/Documentos/cosas uni/8vo sem/Pensiones/2DO PARCIAL/ejercicios/"/>
    </mc:Choice>
  </mc:AlternateContent>
  <xr:revisionPtr revIDLastSave="470" documentId="8_{80276A56-E3A5-4429-91EC-A8751C38D9EF}" xr6:coauthVersionLast="47" xr6:coauthVersionMax="47" xr10:uidLastSave="{38CF0732-C8B1-479C-85EB-EF100CCDB79E}"/>
  <bookViews>
    <workbookView xWindow="-120" yWindow="-120" windowWidth="20730" windowHeight="11160" activeTab="1" xr2:uid="{F14F47E2-AB5B-44D6-8B40-876EF5D15F78}"/>
  </bookViews>
  <sheets>
    <sheet name="ISR" sheetId="1" r:id="rId1"/>
    <sheet name="Pensión" sheetId="2" r:id="rId2"/>
    <sheet name="Comparativ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B19" i="2"/>
  <c r="B17" i="1"/>
  <c r="B5" i="1"/>
  <c r="E17" i="2"/>
  <c r="C6" i="2" l="1"/>
  <c r="G15" i="2"/>
  <c r="E19" i="2"/>
  <c r="E16" i="2"/>
  <c r="C4" i="2"/>
  <c r="C3" i="2"/>
  <c r="D14" i="1"/>
  <c r="D8" i="1"/>
  <c r="B8" i="1"/>
  <c r="B9" i="1"/>
  <c r="B17" i="2"/>
  <c r="B15" i="2"/>
  <c r="B14" i="2"/>
  <c r="B16" i="2" s="1"/>
  <c r="D3" i="1"/>
  <c r="G28" i="2"/>
  <c r="E28" i="2"/>
  <c r="I7" i="3"/>
  <c r="I8" i="3"/>
  <c r="I9" i="3"/>
  <c r="I6" i="3"/>
  <c r="D7" i="3"/>
  <c r="D8" i="3"/>
  <c r="D9" i="3"/>
  <c r="D6" i="3"/>
  <c r="G9" i="3"/>
  <c r="G8" i="3"/>
  <c r="G7" i="3"/>
  <c r="G6" i="3"/>
  <c r="B7" i="3"/>
  <c r="B8" i="3"/>
  <c r="B9" i="3"/>
  <c r="B6" i="3"/>
  <c r="F9" i="2"/>
  <c r="F10" i="2" s="1"/>
  <c r="F7" i="2"/>
  <c r="F8" i="2" s="1"/>
  <c r="F6" i="2"/>
  <c r="D17" i="1"/>
  <c r="D7" i="1"/>
  <c r="B7" i="1"/>
  <c r="D4" i="1"/>
  <c r="B4" i="1"/>
  <c r="B18" i="2" l="1"/>
  <c r="D10" i="1"/>
  <c r="B10" i="1"/>
  <c r="B12" i="1" s="1"/>
  <c r="D5" i="1"/>
  <c r="D9" i="1" s="1"/>
  <c r="D12" i="1" l="1"/>
  <c r="B14" i="1"/>
  <c r="E20" i="2"/>
  <c r="E21" i="2" s="1"/>
  <c r="E23" i="2" s="1"/>
  <c r="E25" i="2" l="1"/>
  <c r="B20" i="2" s="1"/>
  <c r="G16" i="2"/>
  <c r="G17" i="2" s="1"/>
  <c r="G20" i="2" s="1"/>
  <c r="G19" i="2"/>
  <c r="G21" i="2" l="1"/>
  <c r="C8" i="2" l="1"/>
  <c r="G25" i="2"/>
  <c r="G23" i="2"/>
  <c r="C9" i="2" l="1"/>
  <c r="B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tc={FB46C3BD-54B6-4EC6-AE03-5B2E171240D4}</author>
    <author>tc={8023C2FF-461E-4A8D-8B21-E2933EE10D51}</author>
    <author>tc={8B041E5D-4563-44A3-91B9-16834B4720F8}</author>
  </authors>
  <commentList>
    <comment ref="B12" authorId="0" shapeId="0" xr:uid="{FB46C3BD-54B6-4EC6-AE03-5B2E171240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aparece en mi nomina</t>
      </text>
    </comment>
    <comment ref="B14" authorId="1" shapeId="0" xr:uid="{8023C2FF-461E-4A8D-8B21-E2933EE10D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% que me quitaron de impuestos contra los que ganaba</t>
      </text>
    </comment>
    <comment ref="B17" authorId="2" shapeId="0" xr:uid="{8B041E5D-4563-44A3-91B9-16834B4720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ingreso de la pension excenta es igual a 15 UMAs y luego lo hago mensual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tc={C8D76EF6-708B-4E9B-B5FF-5B5761703299}</author>
    <author>tc={04707BF7-8AC0-4BC1-8F23-DE0084D312C4}</author>
    <author>tc={A6C15BE2-D3E7-4088-B54D-21A567973307}</author>
    <author>tc={EF2DA07F-81E7-4C6C-8DAC-B4444E92FC8C}</author>
  </authors>
  <commentList>
    <comment ref="C4" authorId="0" shapeId="0" xr:uid="{C8D76EF6-708B-4E9B-B5FF-5B57617032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Pensión exenta 15 UMA´s segun lo establecido por la ley</t>
      </text>
    </comment>
    <comment ref="E23" authorId="1" shapeId="0" xr:uid="{04707BF7-8AC0-4BC1-8F23-DE0084D312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 que aparece en mi nomina</t>
      </text>
    </comment>
    <comment ref="E25" authorId="2" shapeId="0" xr:uid="{A6C15BE2-D3E7-4088-B54D-21A5679733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% que me quitaron de impuestos contra los que ganaba</t>
      </text>
    </comment>
    <comment ref="E28" authorId="3" shapeId="0" xr:uid="{EF2DA07F-81E7-4C6C-8DAC-B4444E92FC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ingreso de la pension excenta es igual a 15 UMAs y luego lo hago mensual</t>
      </text>
    </comment>
  </commentList>
</comments>
</file>

<file path=xl/sharedStrings.xml><?xml version="1.0" encoding="utf-8"?>
<sst xmlns="http://schemas.openxmlformats.org/spreadsheetml/2006/main" count="95" uniqueCount="71">
  <si>
    <t>Calculo del ISR</t>
  </si>
  <si>
    <t>Salario</t>
  </si>
  <si>
    <t>Pensión</t>
  </si>
  <si>
    <t>Limite inferior</t>
  </si>
  <si>
    <t>Excedente</t>
  </si>
  <si>
    <t>Cuota Fija</t>
  </si>
  <si>
    <t>% sobre excedente</t>
  </si>
  <si>
    <t>ISR</t>
  </si>
  <si>
    <t>Ingreso Neto</t>
  </si>
  <si>
    <t>Tasa impositiva</t>
  </si>
  <si>
    <t>Pensión exenta</t>
  </si>
  <si>
    <t>Tabla del Articulo 96 de la Ley del Impuesto Sobre la Renta</t>
  </si>
  <si>
    <t>Limite Inferior</t>
  </si>
  <si>
    <t>%</t>
  </si>
  <si>
    <t>4.- Sumo la cuota fija dependiente del limite inferior</t>
  </si>
  <si>
    <t xml:space="preserve">*Nota: en este ejemplo solo esta cantidad esta excenta de impuestos y lo demás es gravable, por lo que hago el calculo correspondiente </t>
  </si>
  <si>
    <t>Pasos:</t>
  </si>
  <si>
    <t>2.- Calculo el excedente del salario con relación al limite inferior</t>
  </si>
  <si>
    <t>3.- Al excedente le aplico el % del ISR</t>
  </si>
  <si>
    <t>1.- Ubico el salario en el limite inferior</t>
  </si>
  <si>
    <t>Articulo 173-Reglamento de la ISR</t>
  </si>
  <si>
    <t>Paso</t>
  </si>
  <si>
    <t>Caso práctico</t>
  </si>
  <si>
    <t>Comentario</t>
  </si>
  <si>
    <t>a)</t>
  </si>
  <si>
    <t>Pago Único Bruto: eqivalente al 100% sobre el saldo de las aportaciones de la empresa más los intereses generados menos los gastos de administración</t>
  </si>
  <si>
    <t>•Cabe señalar que no existe definido en ninguna Ley la forma de cómo se debe la conversión del Pago Único a la Pensión Mensual
•En el caso de la empresa la pensión mensual es:
oPensión vitalicia, mancomunada al 90% con el cónyuge, con diferencia de 3 años y pagadera 13 veces al año y actualizable anualmente conforme la inflación</t>
  </si>
  <si>
    <r>
      <rPr>
        <b/>
        <sz val="12"/>
        <color theme="1"/>
        <rFont val="Arial"/>
        <family val="2"/>
      </rPr>
      <t xml:space="preserve">Articulo 173. </t>
    </r>
    <r>
      <rPr>
        <sz val="12"/>
        <color theme="1"/>
        <rFont val="Arial"/>
        <family val="2"/>
      </rPr>
      <t>Quienes mediante el pago único cubran jubilaciones, pensiones o haberes del retiro, a que se refiere el artículo 93, fracciones IV y V de la Ley, efectuarán la retención a que se refiere el arrículo 96 de la Ley, conforme a lo siguiente:</t>
    </r>
  </si>
  <si>
    <r>
      <t>Pensión exenta</t>
    </r>
    <r>
      <rPr>
        <sz val="11"/>
        <color theme="1"/>
        <rFont val="Calibri"/>
        <family val="2"/>
      </rPr>
      <t>: 15 UMA ´s mensuales 2021</t>
    </r>
  </si>
  <si>
    <t>ISR de la pensión gravable</t>
  </si>
  <si>
    <r>
      <t>Cociente:</t>
    </r>
    <r>
      <rPr>
        <sz val="11"/>
        <color theme="1"/>
        <rFont val="Calibri"/>
        <family val="2"/>
      </rPr>
      <t xml:space="preserve"> Pago único entre la cantidad mensual que hubiera percibido de no haber hecho dicho pago (es un cálculo actuarial)</t>
    </r>
  </si>
  <si>
    <r>
      <t>Impuesto provisional:</t>
    </r>
    <r>
      <rPr>
        <sz val="11"/>
        <color theme="1"/>
        <rFont val="Calibri"/>
        <family val="2"/>
      </rPr>
      <t xml:space="preserve"> ISR de la pensión gravable (e)*cociente (f)</t>
    </r>
  </si>
  <si>
    <t>Pago único Neto del Impuesto Provisional (a-g)</t>
  </si>
  <si>
    <t>b)</t>
  </si>
  <si>
    <t>c)</t>
  </si>
  <si>
    <t>d)</t>
  </si>
  <si>
    <t>e)</t>
  </si>
  <si>
    <t>f)</t>
  </si>
  <si>
    <t>g)</t>
  </si>
  <si>
    <t>h)</t>
  </si>
  <si>
    <r>
      <t>A.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</rPr>
      <t>Aplicarán el procedimiento establecido en el artículo 96 de le Ley a la cantidad mensual que se hubiera percibido de no haber pago único, disminuido por un monto equivalente a quince veces el salario mínimo general del área geográfica del contribuyente, elevado al mes, y</t>
    </r>
  </si>
  <si>
    <t>B. Dividirán el pago único entre la cantidad mensual que hubiera percibido de no haber hecho dicho pago. El cociente se multiplicará por el impuesto resultante conforme a la fracción anterior, determinándose así la retención que tendrá</t>
  </si>
  <si>
    <t>Anualidad vencida Mancomunada y de Último Sobreviviente EMSSA2009 H y M
Tasa de interés del 3.5%
Diferencia de edades entre hombres y mujer 3
Actualización conforma la inflación</t>
  </si>
  <si>
    <t>Anualidad renta mensual</t>
  </si>
  <si>
    <t>Anualidad para el aguinaldo</t>
  </si>
  <si>
    <t>Edad</t>
  </si>
  <si>
    <t>Anualidad total</t>
  </si>
  <si>
    <t>Tipo de Percepción= "039"</t>
  </si>
  <si>
    <t>Total Una Exhibición</t>
  </si>
  <si>
    <t>Ingresos Excentos</t>
  </si>
  <si>
    <t>Ingresos Gravables</t>
  </si>
  <si>
    <t>Ingreso Acumulable (SB mensual)</t>
  </si>
  <si>
    <t>Ingreso No Acumulable</t>
  </si>
  <si>
    <t>Impuesto Retenido (Provisional)</t>
  </si>
  <si>
    <t>ISR anual</t>
  </si>
  <si>
    <t>Ajuste anual</t>
  </si>
  <si>
    <t>Concepto= "Percepción por Jubilación</t>
  </si>
  <si>
    <r>
      <t xml:space="preserve">Pensión gravable: </t>
    </r>
    <r>
      <rPr>
        <sz val="12"/>
        <color theme="1"/>
        <rFont val="Arial"/>
        <family val="2"/>
      </rPr>
      <t>diferencia positiva (b-c)</t>
    </r>
  </si>
  <si>
    <t>Tratamiento Fiscal</t>
  </si>
  <si>
    <t>Indemnixación Legal (1)</t>
  </si>
  <si>
    <t>Bruto</t>
  </si>
  <si>
    <t>ISR(*)</t>
  </si>
  <si>
    <t>Neto</t>
  </si>
  <si>
    <t>Plan de Retiro (2)</t>
  </si>
  <si>
    <t>Indemnización Legal vs. Plan de Retiro</t>
  </si>
  <si>
    <t>(*) Descontando el ingreso exento de la Prima de Antigüedad</t>
  </si>
  <si>
    <t>(1) El tratamiento impositivo anual de la indemnización legal esta definido en el artículo 95 LISR</t>
  </si>
  <si>
    <t>(2) El tratamiento impositivo anual del Plan de Retiro esta definido en el artículo 171 y 173 del RLISR</t>
  </si>
  <si>
    <t>Nota: Beneficios calculados asumiendo empleado con 30 años de servicio</t>
  </si>
  <si>
    <t>Edad caso</t>
  </si>
  <si>
    <t>Impuesto sobre 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</si>
</sst>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$&quot;* #,##0.00_-;\-&quot;$&quot;* #,##0.00_-;_-&quot;$&quot;* &quot;-&quot;??_-;_-@_-"/>
    <numFmt numFmtId="164" formatCode="0.000%"/>
  </numFmts>
  <fonts count="1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i/>
      <u val="singleAccounting"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7"/>
      <color theme="1"/>
      <name val="Times New Roman"/>
      <family val="1"/>
    </font>
    <font>
      <b/>
      <sz val="16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dashDot">
        <color theme="3" tint="-0.249977111117893"/>
      </left>
      <right style="dashDot">
        <color theme="3" tint="-0.249977111117893"/>
      </right>
      <top style="dashDot">
        <color theme="3" tint="-0.249977111117893"/>
      </top>
      <bottom style="dashDot">
        <color theme="3" tint="-0.249977111117893"/>
      </bottom>
      <diagonal/>
    </border>
    <border>
      <left style="dashDot">
        <color theme="3" tint="-0.499984740745262"/>
      </left>
      <right style="dashDot">
        <color theme="3" tint="-0.499984740745262"/>
      </right>
      <top style="dashDot">
        <color theme="3" tint="-0.499984740745262"/>
      </top>
      <bottom style="dashDot">
        <color theme="3" tint="-0.49998474074526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44" fontId="0" fillId="0" borderId="0" xfId="1" applyFont="1"/>
    <xf numFmtId="164" fontId="0" fillId="0" borderId="0" xfId="2" applyNumberFormat="1" applyFont="1"/>
    <xf numFmtId="44" fontId="3" fillId="0" borderId="0" xfId="1" applyFont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2" fillId="5" borderId="0" xfId="0" applyFont="1" applyFill="1" applyAlignment="1">
      <alignment horizontal="center"/>
    </xf>
    <xf numFmtId="44" fontId="5" fillId="4" borderId="0" xfId="1" applyFont="1" applyFill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44" fontId="3" fillId="6" borderId="0" xfId="1" applyFont="1" applyFill="1"/>
    <xf numFmtId="44" fontId="0" fillId="6" borderId="0" xfId="1" applyFont="1" applyFill="1"/>
    <xf numFmtId="164" fontId="0" fillId="6" borderId="0" xfId="2" applyNumberFormat="1" applyFont="1" applyFill="1"/>
    <xf numFmtId="0" fontId="0" fillId="0" borderId="1" xfId="0" applyBorder="1" applyAlignment="1">
      <alignment horizontal="center" vertical="top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3" fillId="0" borderId="2" xfId="0" applyFont="1" applyBorder="1"/>
    <xf numFmtId="0" fontId="7" fillId="0" borderId="2" xfId="0" applyFont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top" wrapText="1"/>
    </xf>
    <xf numFmtId="0" fontId="0" fillId="0" borderId="2" xfId="0" applyBorder="1"/>
    <xf numFmtId="0" fontId="9" fillId="11" borderId="0" xfId="0" applyFont="1" applyFill="1" applyAlignment="1">
      <alignment horizontal="center" vertical="center"/>
    </xf>
    <xf numFmtId="44" fontId="0" fillId="0" borderId="2" xfId="1" applyFont="1" applyBorder="1"/>
    <xf numFmtId="0" fontId="0" fillId="11" borderId="2" xfId="0" applyFill="1" applyBorder="1"/>
    <xf numFmtId="44" fontId="0" fillId="11" borderId="2" xfId="1" applyFont="1" applyFill="1" applyBorder="1"/>
    <xf numFmtId="44" fontId="3" fillId="11" borderId="0" xfId="1" applyFont="1" applyFill="1"/>
    <xf numFmtId="44" fontId="5" fillId="11" borderId="0" xfId="1" applyFont="1" applyFill="1"/>
    <xf numFmtId="164" fontId="0" fillId="11" borderId="0" xfId="2" applyNumberFormat="1" applyFont="1" applyFill="1"/>
    <xf numFmtId="0" fontId="0" fillId="9" borderId="2" xfId="0" applyFill="1" applyBorder="1"/>
    <xf numFmtId="44" fontId="0" fillId="9" borderId="2" xfId="1" applyFont="1" applyFill="1" applyBorder="1"/>
    <xf numFmtId="44" fontId="3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44" fontId="3" fillId="12" borderId="2" xfId="1" applyFont="1" applyFill="1" applyBorder="1" applyAlignment="1">
      <alignment horizontal="center" vertical="center"/>
    </xf>
    <xf numFmtId="44" fontId="3" fillId="13" borderId="2" xfId="1" applyFont="1" applyFill="1" applyBorder="1" applyAlignment="1">
      <alignment horizontal="center" vertical="center"/>
    </xf>
    <xf numFmtId="44" fontId="3" fillId="11" borderId="2" xfId="1" applyFont="1" applyFill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10" fontId="0" fillId="0" borderId="0" xfId="2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1" defaultTableStyle="TableStyleMedium2" defaultPivotStyle="PivotStyleLight16">
    <tableStyle name="Invisible" pivot="0" table="0" count="0" xr9:uid="{34FF206E-6F50-4F8B-95B4-AF2A28B2F1C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cilia Villareal Duarte" id="{294940F4-6FFC-487A-A235-053C951D2476}" userId="f4f6e04a260043c7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1-09-15T01:54:16.45" personId="{294940F4-6FFC-487A-A235-053C951D2476}" id="{FB46C3BD-54B6-4EC6-AE03-5B2E171240D4}">
    <text>Lo que aparece en mi nomina</text>
  </threadedComment>
  <threadedComment ref="B14" dT="2021-09-15T01:53:12.55" personId="{294940F4-6FFC-487A-A235-053C951D2476}" id="{8023C2FF-461E-4A8D-8B21-E2933EE10D51}">
    <text>% que me quitaron de impuestos contra los que ganaba</text>
  </threadedComment>
  <threadedComment ref="B17" dT="2021-09-15T01:55:47.11" personId="{294940F4-6FFC-487A-A235-053C951D2476}" id="{8B041E5D-4563-44A3-91B9-16834B4720F8}">
    <text>El ingreso de la pension excenta es igual a 15 UMAs y luego lo hago mensual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dT="2021-09-26T21:04:52.87" personId="{294940F4-6FFC-487A-A235-053C951D2476}" id="{C8D76EF6-708B-4E9B-B5FF-5B5761703299}">
    <text>Pensión exenta 15 UMA´s segun lo establecido por la ley</text>
  </threadedComment>
  <threadedComment ref="E23" dT="2021-09-15T01:54:16.45" personId="{294940F4-6FFC-487A-A235-053C951D2476}" id="{04707BF7-8AC0-4BC1-8F23-DE0084D312C4}">
    <text>Lo que aparece en mi nomina</text>
  </threadedComment>
  <threadedComment ref="E25" dT="2021-09-15T01:53:12.55" personId="{294940F4-6FFC-487A-A235-053C951D2476}" id="{A6C15BE2-D3E7-4088-B54D-21A567973307}">
    <text>% que me quitaron de impuestos contra los que ganaba</text>
  </threadedComment>
  <threadedComment ref="E28" dT="2021-09-15T01:55:47.11" personId="{294940F4-6FFC-487A-A235-053C951D2476}" id="{EF2DA07F-81E7-4C6C-8DAC-B4444E92FC8C}">
    <text>El ingreso de la pension excenta es igual a 15 UMAs y luego lo hago mensual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A2EE-7E0C-48D2-A230-3CCC300DD6E3}">
  <dimension ref="A1:J21"/>
  <sheetViews>
    <sheetView showGridLines="0" zoomScale="98" zoomScaleNormal="98" workbookViewId="0">
      <selection activeCell="B17" sqref="B17"/>
    </sheetView>
  </sheetViews>
  <sheetFormatPr baseColWidth="10" defaultRowHeight="15" x14ac:dyDescent="0.2"/>
  <cols>
    <col min="1" max="1" width="22.109375" bestFit="1" customWidth="1"/>
    <col min="2" max="2" width="15.44140625" bestFit="1" customWidth="1"/>
    <col min="3" max="3" width="1.88671875" customWidth="1"/>
    <col min="4" max="4" width="15.44140625" bestFit="1" customWidth="1"/>
    <col min="5" max="5" width="8" customWidth="1"/>
    <col min="6" max="6" width="18.77734375" customWidth="1"/>
    <col min="8" max="8" width="14.33203125" customWidth="1"/>
    <col min="10" max="10" width="49.6640625" bestFit="1" customWidth="1"/>
  </cols>
  <sheetData>
    <row r="1" spans="1:10" ht="35.25" customHeight="1" x14ac:dyDescent="0.2">
      <c r="A1" s="47" t="s">
        <v>0</v>
      </c>
      <c r="B1" s="47"/>
      <c r="C1" s="47"/>
      <c r="D1" s="47"/>
      <c r="F1" s="46" t="s">
        <v>11</v>
      </c>
      <c r="G1" s="46"/>
      <c r="H1" s="46"/>
    </row>
    <row r="2" spans="1:10" ht="15.75" x14ac:dyDescent="0.25">
      <c r="B2" s="8" t="s">
        <v>1</v>
      </c>
      <c r="C2" s="1"/>
      <c r="D2" s="8" t="s">
        <v>2</v>
      </c>
      <c r="F2" s="8" t="s">
        <v>12</v>
      </c>
      <c r="G2" s="8" t="s">
        <v>5</v>
      </c>
      <c r="H2" s="8" t="s">
        <v>13</v>
      </c>
      <c r="J2" s="8" t="s">
        <v>16</v>
      </c>
    </row>
    <row r="3" spans="1:10" ht="15.75" x14ac:dyDescent="0.25">
      <c r="A3" s="5" t="s">
        <v>1</v>
      </c>
      <c r="B3" s="13">
        <v>60000</v>
      </c>
      <c r="C3" s="4"/>
      <c r="D3" s="13">
        <f>+B3-B17</f>
        <v>19133.28</v>
      </c>
      <c r="F3" s="10">
        <v>0.01</v>
      </c>
      <c r="G3" s="10">
        <v>0</v>
      </c>
      <c r="H3" s="11">
        <v>1.9199999999999998E-2</v>
      </c>
      <c r="J3" s="16" t="s">
        <v>19</v>
      </c>
    </row>
    <row r="4" spans="1:10" x14ac:dyDescent="0.2">
      <c r="A4" s="6" t="s">
        <v>3</v>
      </c>
      <c r="B4" s="14">
        <f>+VLOOKUP(B3, $F$3:$H$13,1,TRUE)</f>
        <v>32736.84</v>
      </c>
      <c r="C4" s="2"/>
      <c r="D4" s="14">
        <f>+VLOOKUP(D3, $F$3:$H$13,1,TRUE)</f>
        <v>10298.36</v>
      </c>
      <c r="F4" s="10">
        <v>496.08</v>
      </c>
      <c r="G4" s="10">
        <v>9.52</v>
      </c>
      <c r="H4" s="11">
        <v>6.4000000000000001E-2</v>
      </c>
      <c r="J4" s="16" t="s">
        <v>17</v>
      </c>
    </row>
    <row r="5" spans="1:10" ht="15.75" x14ac:dyDescent="0.25">
      <c r="A5" s="5" t="s">
        <v>4</v>
      </c>
      <c r="B5" s="13">
        <f>B3-B4</f>
        <v>27263.16</v>
      </c>
      <c r="C5" s="4"/>
      <c r="D5" s="13">
        <f>D3-D4</f>
        <v>8834.9199999999983</v>
      </c>
      <c r="F5" s="12">
        <v>4210.42</v>
      </c>
      <c r="G5" s="10">
        <v>247.24</v>
      </c>
      <c r="H5" s="11">
        <v>0.10879999999999999</v>
      </c>
      <c r="J5" s="16" t="s">
        <v>18</v>
      </c>
    </row>
    <row r="6" spans="1:10" x14ac:dyDescent="0.2">
      <c r="B6" s="2"/>
      <c r="C6" s="2"/>
      <c r="D6" s="2"/>
      <c r="F6" s="12">
        <v>7399.43</v>
      </c>
      <c r="G6" s="10">
        <v>594.21</v>
      </c>
      <c r="H6" s="11">
        <v>0.16</v>
      </c>
      <c r="J6" s="16" t="s">
        <v>14</v>
      </c>
    </row>
    <row r="7" spans="1:10" x14ac:dyDescent="0.2">
      <c r="A7" s="6" t="s">
        <v>5</v>
      </c>
      <c r="B7" s="14">
        <f>+VLOOKUP(B3, $F$3:$H$13,2,TRUE)</f>
        <v>6141.95</v>
      </c>
      <c r="C7" s="2"/>
      <c r="D7" s="14">
        <f>+VLOOKUP(D3, $F$3:$H$13,2,TRUE)</f>
        <v>1090.6099999999999</v>
      </c>
      <c r="F7" s="12">
        <v>8601.51</v>
      </c>
      <c r="G7" s="10">
        <v>786.54</v>
      </c>
      <c r="H7" s="11">
        <v>0.1792</v>
      </c>
    </row>
    <row r="8" spans="1:10" x14ac:dyDescent="0.2">
      <c r="A8" s="6" t="s">
        <v>6</v>
      </c>
      <c r="B8" s="45">
        <f>+VLOOKUP(B3, $F$3:$H$13,3,TRUE)</f>
        <v>0.3</v>
      </c>
      <c r="D8" s="3">
        <f>+VLOOKUP(D3, $F$3:$H$13,3,TRUE)</f>
        <v>0.21360000000000001</v>
      </c>
      <c r="F8" s="12">
        <v>10298.36</v>
      </c>
      <c r="G8" s="12">
        <v>1090.6099999999999</v>
      </c>
      <c r="H8" s="11">
        <v>0.21360000000000001</v>
      </c>
    </row>
    <row r="9" spans="1:10" x14ac:dyDescent="0.2">
      <c r="A9" s="6" t="s">
        <v>70</v>
      </c>
      <c r="B9" s="14">
        <f>+VLOOKUP(B3, $F$3:$H$13,3,TRUE)*B5</f>
        <v>8178.9479999999994</v>
      </c>
      <c r="C9" s="2"/>
      <c r="D9" s="14">
        <f>+VLOOKUP(D3, $F$3:$H$13,3,TRUE)*D5</f>
        <v>1887.1389119999997</v>
      </c>
      <c r="F9" s="12">
        <v>20770.3</v>
      </c>
      <c r="G9" s="12">
        <v>3327.42</v>
      </c>
      <c r="H9" s="11">
        <v>0.23519999999999999</v>
      </c>
    </row>
    <row r="10" spans="1:10" ht="15.75" x14ac:dyDescent="0.25">
      <c r="A10" s="5" t="s">
        <v>7</v>
      </c>
      <c r="B10" s="13">
        <f>B7+B9</f>
        <v>14320.897999999999</v>
      </c>
      <c r="C10" s="4"/>
      <c r="D10" s="13">
        <f>D7+D9</f>
        <v>2977.7489119999996</v>
      </c>
      <c r="F10" s="12">
        <v>32736.84</v>
      </c>
      <c r="G10" s="12">
        <v>6141.95</v>
      </c>
      <c r="H10" s="11">
        <v>0.3</v>
      </c>
    </row>
    <row r="11" spans="1:10" x14ac:dyDescent="0.2">
      <c r="B11" s="2"/>
      <c r="C11" s="2"/>
      <c r="D11" s="2"/>
      <c r="F11" s="12">
        <v>62500.01</v>
      </c>
      <c r="G11" s="12">
        <v>15070.9</v>
      </c>
      <c r="H11" s="11">
        <v>0.32</v>
      </c>
    </row>
    <row r="12" spans="1:10" ht="15.75" x14ac:dyDescent="0.25">
      <c r="A12" s="5" t="s">
        <v>8</v>
      </c>
      <c r="B12" s="13">
        <f>+B3-B10</f>
        <v>45679.101999999999</v>
      </c>
      <c r="C12" s="4"/>
      <c r="D12" s="13">
        <f>+D3-D10</f>
        <v>16155.531088</v>
      </c>
      <c r="F12" s="12">
        <v>83333.34</v>
      </c>
      <c r="G12" s="12">
        <v>21737.57</v>
      </c>
      <c r="H12" s="11">
        <v>0.34</v>
      </c>
    </row>
    <row r="13" spans="1:10" x14ac:dyDescent="0.2">
      <c r="B13" s="2"/>
      <c r="C13" s="2"/>
      <c r="D13" s="2"/>
      <c r="F13" s="12">
        <v>250000.01</v>
      </c>
      <c r="G13" s="12">
        <v>78404.23</v>
      </c>
      <c r="H13" s="11">
        <v>0.35</v>
      </c>
    </row>
    <row r="14" spans="1:10" x14ac:dyDescent="0.2">
      <c r="A14" s="6" t="s">
        <v>9</v>
      </c>
      <c r="B14" s="15">
        <f>B10/B3</f>
        <v>0.23868163333333331</v>
      </c>
      <c r="C14" s="3"/>
      <c r="D14" s="15">
        <f>D10/D3</f>
        <v>0.15563191005410468</v>
      </c>
    </row>
    <row r="15" spans="1:10" x14ac:dyDescent="0.2">
      <c r="B15" s="2"/>
      <c r="C15" s="2"/>
      <c r="D15" s="2"/>
    </row>
    <row r="16" spans="1:10" x14ac:dyDescent="0.2">
      <c r="B16" s="2"/>
      <c r="C16" s="2"/>
      <c r="D16" s="2"/>
    </row>
    <row r="17" spans="1:4" ht="17.25" x14ac:dyDescent="0.35">
      <c r="A17" s="7" t="s">
        <v>10</v>
      </c>
      <c r="B17" s="9">
        <f>89.62*30.4*15</f>
        <v>40866.720000000001</v>
      </c>
      <c r="C17" s="2"/>
      <c r="D17" s="9">
        <f t="shared" ref="D17" si="0">89.62*30.4*15</f>
        <v>40866.720000000001</v>
      </c>
    </row>
    <row r="18" spans="1:4" ht="15" customHeight="1" x14ac:dyDescent="0.2"/>
    <row r="19" spans="1:4" ht="65.25" customHeight="1" x14ac:dyDescent="0.2">
      <c r="B19" s="48" t="s">
        <v>15</v>
      </c>
      <c r="C19" s="48"/>
      <c r="D19" s="48"/>
    </row>
    <row r="20" spans="1:4" x14ac:dyDescent="0.2">
      <c r="B20" s="44"/>
      <c r="C20" s="44"/>
      <c r="D20" s="44"/>
    </row>
    <row r="21" spans="1:4" x14ac:dyDescent="0.2">
      <c r="B21" s="44"/>
      <c r="C21" s="44"/>
      <c r="D21" s="44"/>
    </row>
  </sheetData>
  <mergeCells count="3">
    <mergeCell ref="F1:H1"/>
    <mergeCell ref="A1:D1"/>
    <mergeCell ref="B19:D1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833B-618F-4BD3-B4D3-A27FB2DBDD5E}">
  <dimension ref="A1:K32"/>
  <sheetViews>
    <sheetView showGridLines="0" tabSelected="1" zoomScale="86" zoomScaleNormal="86" workbookViewId="0">
      <selection activeCell="B16" sqref="B16"/>
    </sheetView>
  </sheetViews>
  <sheetFormatPr baseColWidth="10" defaultRowHeight="15" x14ac:dyDescent="0.2"/>
  <cols>
    <col min="1" max="1" width="49.44140625" customWidth="1"/>
    <col min="2" max="2" width="16.6640625" bestFit="1" customWidth="1"/>
    <col min="3" max="3" width="18.5546875" customWidth="1"/>
    <col min="4" max="4" width="45.33203125" customWidth="1"/>
    <col min="5" max="5" width="17.77734375" bestFit="1" customWidth="1"/>
    <col min="7" max="7" width="26" bestFit="1" customWidth="1"/>
    <col min="8" max="8" width="23.5546875" bestFit="1" customWidth="1"/>
    <col min="9" max="9" width="13.33203125" bestFit="1" customWidth="1"/>
  </cols>
  <sheetData>
    <row r="1" spans="1:11" ht="15.75" x14ac:dyDescent="0.2">
      <c r="A1" s="19" t="s">
        <v>20</v>
      </c>
      <c r="B1" s="19" t="s">
        <v>21</v>
      </c>
      <c r="C1" s="19" t="s">
        <v>22</v>
      </c>
      <c r="D1" s="19" t="s">
        <v>23</v>
      </c>
    </row>
    <row r="2" spans="1:11" ht="79.5" customHeight="1" x14ac:dyDescent="0.2">
      <c r="A2" s="20" t="s">
        <v>27</v>
      </c>
      <c r="B2" s="21" t="s">
        <v>24</v>
      </c>
      <c r="C2" s="40">
        <v>10000000</v>
      </c>
      <c r="D2" s="23" t="s">
        <v>25</v>
      </c>
      <c r="G2" s="30" t="s">
        <v>69</v>
      </c>
      <c r="H2" s="30">
        <v>65</v>
      </c>
    </row>
    <row r="3" spans="1:11" ht="117.75" customHeight="1" x14ac:dyDescent="0.2">
      <c r="A3" s="49" t="s">
        <v>40</v>
      </c>
      <c r="B3" s="21" t="s">
        <v>33</v>
      </c>
      <c r="C3" s="43">
        <f>C2/C7</f>
        <v>39583.941111762484</v>
      </c>
      <c r="D3" s="23" t="s">
        <v>26</v>
      </c>
      <c r="G3" s="50" t="s">
        <v>42</v>
      </c>
      <c r="H3" s="50"/>
      <c r="I3" s="50"/>
    </row>
    <row r="4" spans="1:11" ht="15.75" x14ac:dyDescent="0.2">
      <c r="A4" s="49"/>
      <c r="B4" s="21" t="s">
        <v>34</v>
      </c>
      <c r="C4" s="22">
        <f>89.62*30.4*15</f>
        <v>40866.720000000001</v>
      </c>
      <c r="D4" s="24" t="s">
        <v>28</v>
      </c>
      <c r="F4" s="27" t="s">
        <v>45</v>
      </c>
      <c r="G4" s="27" t="s">
        <v>43</v>
      </c>
      <c r="H4" s="27" t="s">
        <v>44</v>
      </c>
      <c r="I4" s="27" t="s">
        <v>46</v>
      </c>
    </row>
    <row r="5" spans="1:11" ht="15.75" x14ac:dyDescent="0.25">
      <c r="A5" s="49"/>
      <c r="B5" s="21" t="s">
        <v>35</v>
      </c>
      <c r="C5" s="39">
        <f>IF(C3&lt;=C4,0,(C3-C4))</f>
        <v>0</v>
      </c>
      <c r="D5" s="25" t="s">
        <v>57</v>
      </c>
      <c r="F5" s="21">
        <v>60</v>
      </c>
      <c r="G5" s="22">
        <v>232.8817</v>
      </c>
      <c r="H5" s="22">
        <v>19.856000000000002</v>
      </c>
      <c r="I5" s="22">
        <v>252.6277</v>
      </c>
    </row>
    <row r="6" spans="1:11" ht="15.75" x14ac:dyDescent="0.2">
      <c r="A6" s="49"/>
      <c r="B6" s="21" t="s">
        <v>36</v>
      </c>
      <c r="C6" s="39">
        <f>0</f>
        <v>0</v>
      </c>
      <c r="D6" s="24" t="s">
        <v>29</v>
      </c>
      <c r="F6" s="21">
        <f>F5+1</f>
        <v>61</v>
      </c>
      <c r="G6" s="22">
        <v>229.15969999999999</v>
      </c>
      <c r="H6" s="22">
        <v>19.555</v>
      </c>
      <c r="I6" s="22">
        <v>248.71469999999999</v>
      </c>
    </row>
    <row r="7" spans="1:11" ht="42.75" customHeight="1" x14ac:dyDescent="0.2">
      <c r="A7" s="49" t="s">
        <v>41</v>
      </c>
      <c r="B7" s="21" t="s">
        <v>37</v>
      </c>
      <c r="C7" s="22">
        <v>252.6277</v>
      </c>
      <c r="D7" s="26" t="s">
        <v>30</v>
      </c>
      <c r="F7" s="21">
        <f t="shared" ref="F7:F10" si="0">F6+1</f>
        <v>62</v>
      </c>
      <c r="G7" s="22">
        <v>225.44820000000001</v>
      </c>
      <c r="H7" s="22">
        <v>19.245699999999999</v>
      </c>
      <c r="I7" s="22">
        <v>244.69390000000001</v>
      </c>
    </row>
    <row r="8" spans="1:11" ht="33.75" customHeight="1" x14ac:dyDescent="0.2">
      <c r="A8" s="49"/>
      <c r="B8" s="21" t="s">
        <v>38</v>
      </c>
      <c r="C8" s="42">
        <f>C6*C7</f>
        <v>0</v>
      </c>
      <c r="D8" s="26" t="s">
        <v>31</v>
      </c>
      <c r="F8" s="21">
        <f t="shared" si="0"/>
        <v>63</v>
      </c>
      <c r="G8" s="22">
        <v>221.6352</v>
      </c>
      <c r="H8" s="22">
        <v>18.927900000000001</v>
      </c>
      <c r="I8" s="22">
        <v>240.56319999999999</v>
      </c>
    </row>
    <row r="9" spans="1:11" ht="15.75" x14ac:dyDescent="0.2">
      <c r="A9" s="49"/>
      <c r="B9" s="21" t="s">
        <v>39</v>
      </c>
      <c r="C9" s="41">
        <f>C2-C8</f>
        <v>10000000</v>
      </c>
      <c r="D9" s="24" t="s">
        <v>32</v>
      </c>
      <c r="F9" s="21">
        <f>F8+1</f>
        <v>64</v>
      </c>
      <c r="G9" s="22">
        <v>217.71940000000001</v>
      </c>
      <c r="H9" s="22">
        <v>18.605599999999999</v>
      </c>
      <c r="I9" s="22">
        <v>236.3211</v>
      </c>
    </row>
    <row r="10" spans="1:11" x14ac:dyDescent="0.2">
      <c r="F10" s="21">
        <f t="shared" si="0"/>
        <v>65</v>
      </c>
      <c r="G10" s="22">
        <v>213.69980000000001</v>
      </c>
      <c r="H10" s="22">
        <v>18.2667</v>
      </c>
      <c r="I10" s="22">
        <v>231.9665</v>
      </c>
    </row>
    <row r="13" spans="1:11" ht="65.25" customHeight="1" x14ac:dyDescent="0.2">
      <c r="A13" s="27" t="s">
        <v>47</v>
      </c>
      <c r="B13" s="28" t="s">
        <v>56</v>
      </c>
      <c r="D13" s="47" t="s">
        <v>0</v>
      </c>
      <c r="E13" s="47"/>
      <c r="F13" s="47"/>
      <c r="G13" s="47"/>
      <c r="I13" s="46" t="s">
        <v>11</v>
      </c>
      <c r="J13" s="46"/>
      <c r="K13" s="46"/>
    </row>
    <row r="14" spans="1:11" ht="15.75" x14ac:dyDescent="0.25">
      <c r="A14" s="29" t="s">
        <v>48</v>
      </c>
      <c r="B14" s="31">
        <f>C2</f>
        <v>10000000</v>
      </c>
      <c r="E14" s="8" t="s">
        <v>1</v>
      </c>
      <c r="F14" s="1"/>
      <c r="G14" s="8" t="s">
        <v>2</v>
      </c>
      <c r="I14" s="8" t="s">
        <v>12</v>
      </c>
      <c r="J14" s="8" t="s">
        <v>5</v>
      </c>
      <c r="K14" s="8" t="s">
        <v>13</v>
      </c>
    </row>
    <row r="15" spans="1:11" ht="15.75" x14ac:dyDescent="0.25">
      <c r="A15" s="29" t="s">
        <v>49</v>
      </c>
      <c r="B15" s="31">
        <f>89.62*30.4*12*90</f>
        <v>2942403.84</v>
      </c>
      <c r="D15" s="5" t="s">
        <v>1</v>
      </c>
      <c r="E15" s="13">
        <v>150000</v>
      </c>
      <c r="F15" s="4"/>
      <c r="G15" s="13">
        <f>C5</f>
        <v>0</v>
      </c>
      <c r="I15" s="10">
        <v>0.01</v>
      </c>
      <c r="J15" s="10">
        <v>0</v>
      </c>
      <c r="K15" s="11">
        <v>1.9199999999999998E-2</v>
      </c>
    </row>
    <row r="16" spans="1:11" x14ac:dyDescent="0.2">
      <c r="A16" s="29" t="s">
        <v>50</v>
      </c>
      <c r="B16" s="31">
        <f>B14-B15</f>
        <v>7057596.1600000001</v>
      </c>
      <c r="D16" s="6" t="s">
        <v>3</v>
      </c>
      <c r="E16" s="14">
        <f>+VLOOKUP(E15, $I$15:$K$25,1,TRUE)</f>
        <v>83333.34</v>
      </c>
      <c r="F16" s="2"/>
      <c r="G16" s="14" t="e">
        <f>+VLOOKUP(G15, $I$15:$K$25,1,TRUE)</f>
        <v>#N/A</v>
      </c>
      <c r="I16" s="10">
        <v>496.08</v>
      </c>
      <c r="J16" s="10">
        <v>9.52</v>
      </c>
      <c r="K16" s="11">
        <v>6.4000000000000001E-2</v>
      </c>
    </row>
    <row r="17" spans="1:11" ht="15.75" x14ac:dyDescent="0.25">
      <c r="A17" s="29" t="s">
        <v>51</v>
      </c>
      <c r="B17" s="31">
        <f>E15</f>
        <v>150000</v>
      </c>
      <c r="D17" s="5" t="s">
        <v>4</v>
      </c>
      <c r="E17" s="13">
        <f>E15-E16</f>
        <v>66666.66</v>
      </c>
      <c r="F17" s="4"/>
      <c r="G17" s="13" t="e">
        <f>G15-G16</f>
        <v>#N/A</v>
      </c>
      <c r="I17" s="12">
        <v>4210.42</v>
      </c>
      <c r="J17" s="10">
        <v>247.24</v>
      </c>
      <c r="K17" s="11">
        <v>0.10879999999999999</v>
      </c>
    </row>
    <row r="18" spans="1:11" x14ac:dyDescent="0.2">
      <c r="A18" s="29" t="s">
        <v>52</v>
      </c>
      <c r="B18" s="31">
        <f>B16-B17</f>
        <v>6907596.1600000001</v>
      </c>
      <c r="E18" s="2"/>
      <c r="F18" s="2"/>
      <c r="G18" s="2"/>
      <c r="I18" s="12">
        <v>7399.43</v>
      </c>
      <c r="J18" s="10">
        <v>594.21</v>
      </c>
      <c r="K18" s="11">
        <v>0.16</v>
      </c>
    </row>
    <row r="19" spans="1:11" x14ac:dyDescent="0.2">
      <c r="A19" s="29" t="s">
        <v>53</v>
      </c>
      <c r="B19" s="31">
        <f>C8</f>
        <v>0</v>
      </c>
      <c r="D19" s="6" t="s">
        <v>5</v>
      </c>
      <c r="E19" s="14">
        <f>+VLOOKUP(E15, $I$15:$K$25,2,TRUE)</f>
        <v>21737.57</v>
      </c>
      <c r="F19" s="2"/>
      <c r="G19" s="14" t="e">
        <f>+VLOOKUP(G15, $I$15:$K$25,2,TRUE)</f>
        <v>#N/A</v>
      </c>
      <c r="I19" s="12">
        <v>8601.51</v>
      </c>
      <c r="J19" s="10">
        <v>786.54</v>
      </c>
      <c r="K19" s="11">
        <v>0.1792</v>
      </c>
    </row>
    <row r="20" spans="1:11" x14ac:dyDescent="0.2">
      <c r="A20" s="37" t="s">
        <v>54</v>
      </c>
      <c r="B20" s="38">
        <f>E25*B16</f>
        <v>2089247.6945945327</v>
      </c>
      <c r="D20" s="6" t="s">
        <v>6</v>
      </c>
      <c r="E20" s="14">
        <f>+VLOOKUP(E15, $I$15:$K$25,3,TRUE)*E17</f>
        <v>22666.664400000001</v>
      </c>
      <c r="F20" s="2"/>
      <c r="G20" s="14" t="e">
        <f>+VLOOKUP(G15, $I$15:$K$25,3,TRUE)*G17</f>
        <v>#N/A</v>
      </c>
      <c r="I20" s="12">
        <v>10298.36</v>
      </c>
      <c r="J20" s="12">
        <v>1090.6099999999999</v>
      </c>
      <c r="K20" s="11">
        <v>0.21360000000000001</v>
      </c>
    </row>
    <row r="21" spans="1:11" ht="15.75" x14ac:dyDescent="0.25">
      <c r="A21" s="32" t="s">
        <v>55</v>
      </c>
      <c r="B21" s="33">
        <f>B20-B19</f>
        <v>2089247.6945945327</v>
      </c>
      <c r="D21" s="5" t="s">
        <v>7</v>
      </c>
      <c r="E21" s="34">
        <f>E19+E20</f>
        <v>44404.234400000001</v>
      </c>
      <c r="F21" s="4"/>
      <c r="G21" s="34" t="e">
        <f t="shared" ref="G21" si="1">G19+G20</f>
        <v>#N/A</v>
      </c>
      <c r="I21" s="12">
        <v>20770.3</v>
      </c>
      <c r="J21" s="12">
        <v>3327.42</v>
      </c>
      <c r="K21" s="11">
        <v>0.23519999999999999</v>
      </c>
    </row>
    <row r="22" spans="1:11" x14ac:dyDescent="0.2">
      <c r="E22" s="2"/>
      <c r="F22" s="2"/>
      <c r="G22" s="2"/>
      <c r="I22" s="12">
        <v>32736.84</v>
      </c>
      <c r="J22" s="12">
        <v>6141.95</v>
      </c>
      <c r="K22" s="11">
        <v>0.3</v>
      </c>
    </row>
    <row r="23" spans="1:11" ht="15.75" x14ac:dyDescent="0.25">
      <c r="D23" s="5" t="s">
        <v>8</v>
      </c>
      <c r="E23" s="13">
        <f>+E15-E21</f>
        <v>105595.7656</v>
      </c>
      <c r="F23" s="4"/>
      <c r="G23" s="13" t="e">
        <f t="shared" ref="G23" si="2">+G15-G21</f>
        <v>#N/A</v>
      </c>
      <c r="I23" s="12">
        <v>62500.01</v>
      </c>
      <c r="J23" s="12">
        <v>15070.9</v>
      </c>
      <c r="K23" s="11">
        <v>0.32</v>
      </c>
    </row>
    <row r="24" spans="1:11" x14ac:dyDescent="0.2">
      <c r="E24" s="2"/>
      <c r="F24" s="2"/>
      <c r="G24" s="2"/>
      <c r="I24" s="12">
        <v>83333.34</v>
      </c>
      <c r="J24" s="12">
        <v>21737.57</v>
      </c>
      <c r="K24" s="11">
        <v>0.34</v>
      </c>
    </row>
    <row r="25" spans="1:11" x14ac:dyDescent="0.2">
      <c r="D25" s="6" t="s">
        <v>9</v>
      </c>
      <c r="E25" s="36">
        <f>E21/E15</f>
        <v>0.29602822933333334</v>
      </c>
      <c r="F25" s="3"/>
      <c r="G25" s="36" t="e">
        <f t="shared" ref="G25" si="3">G21/G15</f>
        <v>#N/A</v>
      </c>
      <c r="I25" s="12">
        <v>250000.01</v>
      </c>
      <c r="J25" s="12">
        <v>78404.23</v>
      </c>
      <c r="K25" s="11">
        <v>0.35</v>
      </c>
    </row>
    <row r="26" spans="1:11" x14ac:dyDescent="0.2">
      <c r="E26" s="2"/>
      <c r="F26" s="2"/>
      <c r="G26" s="2"/>
    </row>
    <row r="27" spans="1:11" x14ac:dyDescent="0.2">
      <c r="E27" s="2"/>
      <c r="F27" s="2"/>
      <c r="G27" s="2"/>
    </row>
    <row r="28" spans="1:11" ht="17.25" x14ac:dyDescent="0.35">
      <c r="D28" s="7" t="s">
        <v>10</v>
      </c>
      <c r="E28" s="35">
        <f>89.62*30.4*15</f>
        <v>40866.720000000001</v>
      </c>
      <c r="F28" s="2"/>
      <c r="G28" s="35">
        <f t="shared" ref="G28" si="4">89.62*30.4*15</f>
        <v>40866.720000000001</v>
      </c>
    </row>
    <row r="30" spans="1:11" x14ac:dyDescent="0.2">
      <c r="E30" s="48" t="s">
        <v>15</v>
      </c>
      <c r="F30" s="48"/>
      <c r="G30" s="48"/>
    </row>
    <row r="31" spans="1:11" x14ac:dyDescent="0.2">
      <c r="E31" s="48"/>
      <c r="F31" s="48"/>
      <c r="G31" s="48"/>
    </row>
    <row r="32" spans="1:11" x14ac:dyDescent="0.2">
      <c r="E32" s="48"/>
      <c r="F32" s="48"/>
      <c r="G32" s="48"/>
    </row>
  </sheetData>
  <mergeCells count="6">
    <mergeCell ref="E30:G32"/>
    <mergeCell ref="A3:A6"/>
    <mergeCell ref="A7:A9"/>
    <mergeCell ref="G3:I3"/>
    <mergeCell ref="D13:G13"/>
    <mergeCell ref="I13:K1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D128-4F3B-4E3E-8B97-4A7570ECCB98}">
  <dimension ref="A1:I16"/>
  <sheetViews>
    <sheetView topLeftCell="A2" zoomScale="115" zoomScaleNormal="115" workbookViewId="0">
      <selection activeCell="A19" sqref="A19"/>
    </sheetView>
  </sheetViews>
  <sheetFormatPr baseColWidth="10" defaultRowHeight="15" x14ac:dyDescent="0.2"/>
  <cols>
    <col min="1" max="1" width="12" bestFit="1" customWidth="1"/>
    <col min="2" max="2" width="13.44140625" bestFit="1" customWidth="1"/>
    <col min="3" max="3" width="12" bestFit="1" customWidth="1"/>
    <col min="4" max="4" width="13.44140625" bestFit="1" customWidth="1"/>
    <col min="5" max="5" width="6.5546875" customWidth="1"/>
    <col min="6" max="6" width="12" bestFit="1" customWidth="1"/>
    <col min="7" max="7" width="13.44140625" bestFit="1" customWidth="1"/>
    <col min="8" max="8" width="12" bestFit="1" customWidth="1"/>
    <col min="9" max="9" width="13.44140625" bestFit="1" customWidth="1"/>
  </cols>
  <sheetData>
    <row r="1" spans="1:9" ht="15.75" x14ac:dyDescent="0.25">
      <c r="A1" s="54" t="s">
        <v>58</v>
      </c>
      <c r="B1" s="54"/>
      <c r="C1" s="54"/>
      <c r="D1" s="54"/>
      <c r="E1" s="54"/>
      <c r="F1" s="54"/>
      <c r="G1" s="54"/>
      <c r="H1" s="54"/>
      <c r="I1" s="54"/>
    </row>
    <row r="2" spans="1:9" x14ac:dyDescent="0.2">
      <c r="A2" s="53" t="s">
        <v>64</v>
      </c>
      <c r="B2" s="53"/>
      <c r="C2" s="53"/>
      <c r="D2" s="53"/>
      <c r="E2" s="53"/>
      <c r="F2" s="53"/>
      <c r="G2" s="53"/>
      <c r="H2" s="53"/>
      <c r="I2" s="53"/>
    </row>
    <row r="4" spans="1:9" ht="15.75" x14ac:dyDescent="0.25">
      <c r="A4" s="51" t="s">
        <v>59</v>
      </c>
      <c r="B4" s="51"/>
      <c r="C4" s="51"/>
      <c r="D4" s="51"/>
      <c r="F4" s="52" t="s">
        <v>63</v>
      </c>
      <c r="G4" s="52"/>
      <c r="H4" s="52"/>
      <c r="I4" s="52"/>
    </row>
    <row r="5" spans="1:9" ht="15.75" x14ac:dyDescent="0.2">
      <c r="A5" s="27" t="s">
        <v>1</v>
      </c>
      <c r="B5" s="27" t="s">
        <v>60</v>
      </c>
      <c r="C5" s="27" t="s">
        <v>61</v>
      </c>
      <c r="D5" s="27" t="s">
        <v>62</v>
      </c>
      <c r="E5" s="18"/>
      <c r="F5" s="27" t="s">
        <v>1</v>
      </c>
      <c r="G5" s="27" t="s">
        <v>60</v>
      </c>
      <c r="H5" s="27" t="s">
        <v>61</v>
      </c>
      <c r="I5" s="27" t="s">
        <v>62</v>
      </c>
    </row>
    <row r="6" spans="1:9" x14ac:dyDescent="0.2">
      <c r="A6" s="22">
        <v>20000</v>
      </c>
      <c r="B6" s="22">
        <f>A6*23</f>
        <v>460000</v>
      </c>
      <c r="C6" s="22">
        <v>44470</v>
      </c>
      <c r="D6" s="22">
        <f>B6-C6</f>
        <v>415530</v>
      </c>
      <c r="E6" s="17"/>
      <c r="F6" s="22">
        <v>20000</v>
      </c>
      <c r="G6" s="22">
        <f>F6*23</f>
        <v>460000</v>
      </c>
      <c r="H6" s="22">
        <v>0</v>
      </c>
      <c r="I6" s="22">
        <f>G6-H6</f>
        <v>460000</v>
      </c>
    </row>
    <row r="7" spans="1:9" x14ac:dyDescent="0.2">
      <c r="A7" s="22">
        <v>50000</v>
      </c>
      <c r="B7" s="22">
        <f t="shared" ref="B7:B9" si="0">A7*23</f>
        <v>1150000</v>
      </c>
      <c r="C7" s="22">
        <v>212135</v>
      </c>
      <c r="D7" s="22">
        <f t="shared" ref="D7:D9" si="1">B7-C7</f>
        <v>937865</v>
      </c>
      <c r="E7" s="17"/>
      <c r="F7" s="22">
        <v>50000</v>
      </c>
      <c r="G7" s="22">
        <f t="shared" ref="G7:G9" si="2">F7*23</f>
        <v>1150000</v>
      </c>
      <c r="H7" s="22">
        <v>0</v>
      </c>
      <c r="I7" s="22">
        <f t="shared" ref="I7:I9" si="3">G7-H7</f>
        <v>1150000</v>
      </c>
    </row>
    <row r="8" spans="1:9" x14ac:dyDescent="0.2">
      <c r="A8" s="22">
        <v>100000</v>
      </c>
      <c r="B8" s="22">
        <f t="shared" si="0"/>
        <v>2300000</v>
      </c>
      <c r="C8" s="22">
        <v>563100</v>
      </c>
      <c r="D8" s="22">
        <f t="shared" si="1"/>
        <v>1736900</v>
      </c>
      <c r="E8" s="17"/>
      <c r="F8" s="22">
        <v>100000</v>
      </c>
      <c r="G8" s="22">
        <f t="shared" si="2"/>
        <v>2300000</v>
      </c>
      <c r="H8" s="22">
        <v>0</v>
      </c>
      <c r="I8" s="22">
        <f t="shared" si="3"/>
        <v>2300000</v>
      </c>
    </row>
    <row r="9" spans="1:9" x14ac:dyDescent="0.2">
      <c r="A9" s="22">
        <v>150000</v>
      </c>
      <c r="B9" s="22">
        <f t="shared" si="0"/>
        <v>3450000</v>
      </c>
      <c r="C9" s="22">
        <v>950000</v>
      </c>
      <c r="D9" s="22">
        <f t="shared" si="1"/>
        <v>2500000</v>
      </c>
      <c r="E9" s="17"/>
      <c r="F9" s="22">
        <v>150000</v>
      </c>
      <c r="G9" s="22">
        <f t="shared" si="2"/>
        <v>3450000</v>
      </c>
      <c r="H9" s="22">
        <v>232056</v>
      </c>
      <c r="I9" s="22">
        <f t="shared" si="3"/>
        <v>3217944</v>
      </c>
    </row>
    <row r="11" spans="1:9" x14ac:dyDescent="0.2">
      <c r="A11" t="s">
        <v>65</v>
      </c>
    </row>
    <row r="13" spans="1:9" x14ac:dyDescent="0.2">
      <c r="A13" t="s">
        <v>66</v>
      </c>
    </row>
    <row r="14" spans="1:9" x14ac:dyDescent="0.2">
      <c r="A14" t="s">
        <v>67</v>
      </c>
    </row>
    <row r="16" spans="1:9" x14ac:dyDescent="0.2">
      <c r="A16" t="s">
        <v>68</v>
      </c>
    </row>
  </sheetData>
  <mergeCells count="4">
    <mergeCell ref="A4:D4"/>
    <mergeCell ref="F4:I4"/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ISR</vt:lpstr>
      <vt:lpstr>Pensión</vt:lpstr>
      <vt:lpstr>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Villareal Duarte</dc:creator>
  <cp:lastModifiedBy>cecilia Villareal Duarte</cp:lastModifiedBy>
  <dcterms:created xsi:type="dcterms:W3CDTF">2021-09-15T01:03:28Z</dcterms:created>
  <dcterms:modified xsi:type="dcterms:W3CDTF">2021-11-10T01:16:07Z</dcterms:modified>
</cp:coreProperties>
</file>