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4f6e04a260043c7/Documentos/cosas uni/8vo sem/Pensiones/1ER PARCIAL/EJERCICIOS/"/>
    </mc:Choice>
  </mc:AlternateContent>
  <xr:revisionPtr revIDLastSave="866" documentId="8_{7CD8BC5C-5286-4845-A653-3F8273C93159}" xr6:coauthVersionLast="47" xr6:coauthVersionMax="47" xr10:uidLastSave="{C5963FFF-3C5F-4FCA-9ECA-F41514231E68}"/>
  <bookViews>
    <workbookView xWindow="-120" yWindow="-120" windowWidth="20730" windowHeight="11160" xr2:uid="{08DAAC01-9796-485E-A9B0-8026861DEE80}"/>
  </bookViews>
  <sheets>
    <sheet name="LEY73_correcto" sheetId="3" r:id="rId1"/>
    <sheet name="LEY73" sheetId="1" r:id="rId2"/>
    <sheet name="LEY97"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2" l="1"/>
  <c r="F9" i="2"/>
  <c r="G22" i="3"/>
  <c r="R9" i="3"/>
  <c r="T6" i="3"/>
  <c r="T10" i="3"/>
  <c r="G43" i="3"/>
  <c r="G24" i="3"/>
  <c r="G23" i="3"/>
  <c r="G17" i="3"/>
  <c r="H43" i="3" s="1"/>
  <c r="P9" i="3"/>
  <c r="T9" i="3" s="1"/>
  <c r="G16" i="3"/>
  <c r="G15" i="3" s="1"/>
  <c r="U6" i="3" s="1"/>
  <c r="G13" i="3"/>
  <c r="K28" i="3" s="1"/>
  <c r="H10" i="3"/>
  <c r="P10" i="3"/>
  <c r="O15" i="3"/>
  <c r="N11" i="3"/>
  <c r="N12" i="3"/>
  <c r="N13" i="3"/>
  <c r="N14" i="3"/>
  <c r="N10" i="3"/>
  <c r="L9" i="3"/>
  <c r="K9" i="3"/>
  <c r="K10" i="3" s="1"/>
  <c r="G11" i="3"/>
  <c r="S12" i="1"/>
  <c r="R12" i="1"/>
  <c r="Q12" i="1"/>
  <c r="P12" i="1"/>
  <c r="O9" i="1"/>
  <c r="I9" i="2"/>
  <c r="M9" i="1"/>
  <c r="N9" i="1" s="1"/>
  <c r="P9" i="1" s="1"/>
  <c r="M6" i="1"/>
  <c r="G9" i="1" s="1"/>
  <c r="G10" i="1" s="1"/>
  <c r="G11" i="1" s="1"/>
  <c r="G12" i="1" s="1"/>
  <c r="G13" i="1" s="1"/>
  <c r="G14" i="1" s="1"/>
  <c r="J11" i="2"/>
  <c r="K11" i="2" s="1"/>
  <c r="F19" i="2"/>
  <c r="I10" i="1"/>
  <c r="I11" i="1" s="1"/>
  <c r="I12" i="1" s="1"/>
  <c r="I13" i="1" s="1"/>
  <c r="I14" i="1" s="1"/>
  <c r="F10" i="1"/>
  <c r="F11" i="1" s="1"/>
  <c r="F12" i="1" s="1"/>
  <c r="F13" i="1" s="1"/>
  <c r="F14" i="1" s="1"/>
  <c r="J9" i="2"/>
  <c r="K12" i="2" s="1"/>
  <c r="E20" i="2"/>
  <c r="H9" i="2"/>
  <c r="G9" i="2"/>
  <c r="F11" i="2"/>
  <c r="F12" i="2"/>
  <c r="F13" i="2"/>
  <c r="F14" i="2"/>
  <c r="F15" i="2"/>
  <c r="F16" i="2"/>
  <c r="F17" i="2"/>
  <c r="F18" i="2"/>
  <c r="D12" i="2"/>
  <c r="D13" i="2" s="1"/>
  <c r="D14" i="2" s="1"/>
  <c r="D15" i="2" s="1"/>
  <c r="D16" i="2" s="1"/>
  <c r="D17" i="2" s="1"/>
  <c r="D18" i="2" s="1"/>
  <c r="D19" i="2" s="1"/>
  <c r="D10" i="2"/>
  <c r="D11" i="2" s="1"/>
  <c r="B12" i="2"/>
  <c r="B13" i="2" s="1"/>
  <c r="B14" i="2" s="1"/>
  <c r="B15" i="2" s="1"/>
  <c r="B16" i="2" s="1"/>
  <c r="B17" i="2" s="1"/>
  <c r="B18" i="2" s="1"/>
  <c r="B19" i="2" s="1"/>
  <c r="B11" i="2"/>
  <c r="B10" i="2"/>
  <c r="A10" i="2"/>
  <c r="A11" i="2" s="1"/>
  <c r="A12" i="2" s="1"/>
  <c r="A13" i="2" s="1"/>
  <c r="K11" i="3" l="1"/>
  <c r="K12" i="3" s="1"/>
  <c r="K13" i="3" s="1"/>
  <c r="K14" i="3" s="1"/>
  <c r="L14" i="3" s="1"/>
  <c r="L10" i="3"/>
  <c r="L29" i="3"/>
  <c r="K29" i="3"/>
  <c r="Q9" i="3"/>
  <c r="P11" i="3"/>
  <c r="L11" i="3"/>
  <c r="L13" i="3"/>
  <c r="L12" i="3"/>
  <c r="R13" i="1"/>
  <c r="Q13" i="1"/>
  <c r="R9" i="1"/>
  <c r="Q9" i="1"/>
  <c r="K14" i="1"/>
  <c r="K12" i="1"/>
  <c r="K11" i="1"/>
  <c r="K9" i="1"/>
  <c r="L9" i="1" s="1"/>
  <c r="K13" i="1"/>
  <c r="K10" i="1"/>
  <c r="L9" i="2"/>
  <c r="K9" i="2"/>
  <c r="A14" i="2"/>
  <c r="A15" i="2" s="1"/>
  <c r="A16" i="2" s="1"/>
  <c r="A17" i="2" s="1"/>
  <c r="A18" i="2" s="1"/>
  <c r="A19" i="2" s="1"/>
  <c r="P12" i="3" l="1"/>
  <c r="T11" i="3"/>
  <c r="Q10" i="3"/>
  <c r="M9" i="2"/>
  <c r="L12" i="2"/>
  <c r="M12" i="2" s="1"/>
  <c r="L11" i="2"/>
  <c r="M11" i="2" s="1"/>
  <c r="R10" i="3" l="1"/>
  <c r="U10" i="3" s="1"/>
  <c r="Q11" i="3"/>
  <c r="U9" i="3"/>
  <c r="P13" i="3"/>
  <c r="T12" i="3"/>
  <c r="S9" i="1"/>
  <c r="S13" i="1"/>
  <c r="P14" i="3" l="1"/>
  <c r="T14" i="3" s="1"/>
  <c r="T13" i="3"/>
  <c r="T15" i="3" s="1"/>
  <c r="P15" i="3"/>
  <c r="Q12" i="3"/>
  <c r="R11" i="3"/>
  <c r="U11" i="3" l="1"/>
  <c r="Q13" i="3"/>
  <c r="R12" i="3"/>
  <c r="U12" i="3" s="1"/>
  <c r="Q14" i="3" l="1"/>
  <c r="R14" i="3" s="1"/>
  <c r="U14" i="3" s="1"/>
  <c r="R13" i="3"/>
  <c r="U13" i="3" s="1"/>
  <c r="Q15" i="3"/>
  <c r="R15" i="3"/>
  <c r="R18" i="3" s="1"/>
  <c r="U15" i="3"/>
  <c r="G28" i="3" l="1"/>
  <c r="H42" i="3"/>
  <c r="H44" i="3" s="1"/>
  <c r="H47" i="3" s="1"/>
  <c r="G27" i="3"/>
  <c r="G42" i="3"/>
  <c r="H22" i="3"/>
  <c r="S9" i="3" s="1"/>
  <c r="G29" i="3" l="1"/>
  <c r="G34" i="3" l="1"/>
  <c r="G35" i="3" s="1"/>
  <c r="H34" i="3"/>
  <c r="H35" i="3" s="1"/>
  <c r="K48" i="3" l="1"/>
  <c r="L48" i="3"/>
  <c r="G38" i="3"/>
  <c r="G39" i="3" s="1"/>
  <c r="G44" i="3" s="1"/>
  <c r="G47" i="3" s="1"/>
  <c r="K47" i="3"/>
  <c r="H38" i="3"/>
  <c r="H39" i="3" s="1"/>
  <c r="L47" i="3"/>
  <c r="K49" i="3" l="1"/>
  <c r="L4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tc={5748585D-09D6-4180-9B49-90F2AE5A445C}</author>
    <author>tc={109EC76E-E2E8-4226-86D8-D5EF75CC2350}</author>
    <author>tc={491D9483-605B-4AF8-857D-A9540D3D1C61}</author>
    <author>tc={6AC162B6-3323-4561-A8E7-B219CA68A1CD}</author>
    <author>tc={8AEA4241-3214-436C-A173-CBA60FA6DDA1}</author>
    <author>tc={7155C221-42DC-419E-B33D-6B3A0BA1EF8D}</author>
    <author>tc={E723A31F-A900-4514-9B78-B8C686D110A9}</author>
    <author>tc={B08723C4-631F-4838-973B-2BC8F1EF47B9}</author>
    <author>tc={5AA4DE4B-C642-45D8-A23F-8B7E4542AC09}</author>
    <author>tc={A60D9200-4D8F-47EB-9B84-4EA5FDE4F5ED}</author>
    <author>tc={B00884A7-2C8A-4541-87D3-16F040FF8122}</author>
    <author>tc={D61588E4-264E-4DA2-9C14-18F8AFED32F0}</author>
    <author>tc={8701A5B4-9D84-4ED7-9632-C16EF42AD353}</author>
    <author>tc={9E61D3B0-57F3-490E-910A-6670E90E84D4}</author>
    <author>tc={ED640E6A-D81B-4B93-9722-A5A400B7C9E8}</author>
    <author>tc={6D3F6B4C-7FC3-45C1-911C-5612189CA229}</author>
    <author>tc={F7427C6F-B43A-43F4-B666-1FBA1D349893}</author>
    <author>tc={6BF4603D-3463-4E8F-91AB-93CEB40C2922}</author>
    <author>tc={4CCC7BA4-E9D0-4B04-8CAE-ABF777DAF4DC}</author>
  </authors>
  <commentList>
    <comment ref="T6" authorId="0" shapeId="0" xr:uid="{5748585D-09D6-4180-9B49-90F2AE5A445C}">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 sería si quieisera saber cuanto ganaría en 15 años</t>
      </text>
    </comment>
    <comment ref="U6" authorId="1" shapeId="0" xr:uid="{109EC76E-E2E8-4226-86D8-D5EF75CC2350}">
      <text>
        <t>[Comentario encadenado]
Su versión de Excel le permite leer este comentario encadenado; sin embargo, las ediciones que se apliquen se quitarán si el archivo se abre en una versión más reciente de Excel. Más información: https://go.microsoft.com/fwlink/?linkid=870924
Comentario:
    Valor de la UMA dentro de 15 años</t>
      </text>
    </comment>
    <comment ref="P8" authorId="2" shapeId="0" xr:uid="{491D9483-605B-4AF8-857D-A9540D3D1C61}">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datos solo nos lo puede dar el IMSS si ya nos vamos a jubilar, en caso contrario debemos calcularlos nosotros</t>
      </text>
    </comment>
    <comment ref="S9" authorId="3" shapeId="0" xr:uid="{6AC162B6-3323-4561-A8E7-B219CA68A1CD}">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estimo que valdrá la UMA</t>
      </text>
    </comment>
    <comment ref="H10" authorId="4" shapeId="0" xr:uid="{8AEA4241-3214-436C-A173-CBA60FA6DDA1}">
      <text>
        <t>[Comentario encadenado]
Su versión de Excel le permite leer este comentario encadenado; sin embargo, las ediciones que se apliquen se quitarán si el archivo se abre en una versión más reciente de Excel. Más información: https://go.microsoft.com/fwlink/?linkid=870924
Comentario:
    # de años laborado</t>
      </text>
    </comment>
    <comment ref="R10" authorId="5" shapeId="0" xr:uid="{7155C221-42DC-419E-B33D-6B3A0BA1EF8D}">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lo que estimo que va a ganar la persona durante todo el año</t>
      </text>
    </comment>
    <comment ref="G15" authorId="6" shapeId="0" xr:uid="{E723A31F-A900-4514-9B78-B8C686D110A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maximo de Cotización son 25 umas por eso lo multiplicamos por esa cantidad</t>
      </text>
    </comment>
    <comment ref="G18" authorId="7" shapeId="0" xr:uid="{B08723C4-631F-4838-973B-2BC8F1EF47B9}">
      <text>
        <t>[Comentario encadenado]
Su versión de Excel le permite leer este comentario encadenado; sin embargo, las ediciones que se apliquen se quitarán si el archivo se abre en una versión más reciente de Excel. Más información: https://go.microsoft.com/fwlink/?linkid=870924
Comentario:
    Inflación considerada</t>
      </text>
    </comment>
    <comment ref="H22" authorId="8" shapeId="0" xr:uid="{5AA4DE4B-C642-45D8-A23F-8B7E4542AC09}">
      <text>
        <t>[Comentario encadenado]
Su versión de Excel le permite leer este comentario encadenado; sin embargo, las ediciones que se apliquen se quitarán si el archivo se abre en una versión más reciente de Excel. Más información: https://go.microsoft.com/fwlink/?linkid=870924
Comentario:
    # de veces de SBC para ver el grupo que corresponde</t>
      </text>
    </comment>
    <comment ref="L29" authorId="9" shapeId="0" xr:uid="{A60D9200-4D8F-47EB-9B84-4EA5FDE4F5ED}">
      <text>
        <t>[Comentario encadenado]
Su versión de Excel le permite leer este comentario encadenado; sin embargo, las ediciones que se apliquen se quitarán si el archivo se abre en una versión más reciente de Excel. Más información: https://go.microsoft.com/fwlink/?linkid=870924
Comentario:
    Semanas fracción</t>
      </text>
    </comment>
    <comment ref="K30" authorId="10" shapeId="0" xr:uid="{B00884A7-2C8A-4541-87D3-16F040FF8122}">
      <text>
        <t>[Comentario encadenado]
Su versión de Excel le permite leer este comentario encadenado; sin embargo, las ediciones que se apliquen se quitarán si el archivo se abre en una versión más reciente de Excel. Más información: https://go.microsoft.com/fwlink/?linkid=870924
Comentario:
    Son 31 semanas pero al ser fracción se le agrega el .5</t>
      </text>
    </comment>
    <comment ref="G34" authorId="11" shapeId="0" xr:uid="{D61588E4-264E-4DA2-9C14-18F8AFED32F0}">
      <text>
        <t>[Comentario encadenado]
Su versión de Excel le permite leer este comentario encadenado; sin embargo, las ediciones que se apliquen se quitarán si el archivo se abre en una versión más reciente de Excel. Más información: https://go.microsoft.com/fwlink/?linkid=870924
Comentario:
    Reducción por retiro anticipado a la cesantía. Esta parte en invalidez no se considera porque el individuo no quiso dejar de laborar</t>
      </text>
    </comment>
    <comment ref="F47" authorId="12" shapeId="0" xr:uid="{8701A5B4-9D84-4ED7-9632-C16EF42AD353}">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decreto de Fox se les agrego el 11% a las pensiones</t>
      </text>
    </comment>
    <comment ref="K47" authorId="13" shapeId="0" xr:uid="{9E61D3B0-57F3-490E-910A-6670E90E84D4}">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viuda en caso de invalidez</t>
      </text>
    </comment>
    <comment ref="L47" authorId="14" shapeId="0" xr:uid="{ED640E6A-D81B-4B93-9722-A5A400B7C9E8}">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hijo en caso de invalidez</t>
      </text>
    </comment>
    <comment ref="K48" authorId="15" shapeId="0" xr:uid="{6D3F6B4C-7FC3-45C1-911C-5612189CA229}">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viuda en caso de que esposo ya jublado</t>
      </text>
    </comment>
    <comment ref="L48" authorId="16" shapeId="0" xr:uid="{F7427C6F-B43A-43F4-B666-1FBA1D349893}">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hijo en caso de padre jubilado</t>
      </text>
    </comment>
    <comment ref="K49" authorId="17" shapeId="0" xr:uid="{6BF4603D-3463-4E8F-91AB-93CEB40C2922}">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viuda</t>
      </text>
    </comment>
    <comment ref="L49" authorId="18" shapeId="0" xr:uid="{4CCC7BA4-E9D0-4B04-8CAE-ABF777DAF4DC}">
      <text>
        <t>[Comentario encadenado]
Su versión de Excel le permite leer este comentario encadenado; sin embargo, las ediciones que se apliquen se quitarán si el archivo se abre en una versión más reciente de Excel. Más información: https://go.microsoft.com/fwlink/?linkid=870924
Comentario:
    Pensión hijo en caso de fallecimiento padre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tc={B54C6DAC-7AE5-4A24-AFFD-89A0C410C1C9}</author>
    <author>tc={7BA34B1D-17D8-44CC-932E-46803425516D}</author>
    <author>tc={BF43914A-12AC-4FB4-BA88-BC773FCECA32}</author>
    <author>tc={7BAC8000-0A79-4C8D-879B-2E5A3CB89D69}</author>
    <author>tc={356612F4-6BE7-452F-80BC-A83D16AD2E92}</author>
    <author>tc={255C12A6-E81D-4A32-916A-2F090F949AFA}</author>
    <author>tc={A19617F0-1767-4C0F-B45E-5A40F84087F7}</author>
    <author>tc={EC7D7BB4-49E6-4549-96E5-E5D9EBDC717C}</author>
  </authors>
  <commentList>
    <comment ref="H5" authorId="0" shapeId="0" xr:uid="{B54C6DAC-7AE5-4A24-AFFD-89A0C410C1C9}">
      <text>
        <t>[Comentario encadenado]
Su versión de Excel le permite leer este comentario encadenado; sin embargo, las ediciones que se apliquen se quitarán si el archivo se abre en una versión más reciente de Excel. Más información: https://go.microsoft.com/fwlink/?linkid=870924
Comentario:
    SM por día</t>
      </text>
    </comment>
    <comment ref="B9" authorId="1" shapeId="0" xr:uid="{7BA34B1D-17D8-44CC-932E-46803425516D}">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Cuanto ganaba a la hora del accidente profesional</t>
      </text>
    </comment>
    <comment ref="C9" authorId="2" shapeId="0" xr:uid="{BF43914A-12AC-4FB4-BA88-BC773FCECA32}">
      <text>
        <t>[Comentario encadenado]
Su versión de Excel le permite leer este comentario encadenado; sin embargo, las ediciones que se apliquen se quitarán si el archivo se abre en una versión más reciente de Excel. Más información: https://go.microsoft.com/fwlink/?linkid=870924
Comentario:
    Aquí no le agrego la inflación porque es el año en que le voy a hacer el calculo</t>
      </text>
    </comment>
    <comment ref="I9" authorId="3" shapeId="0" xr:uid="{7BAC8000-0A79-4C8D-879B-2E5A3CB89D69}">
      <text>
        <t>[Comentario encadenado]
Su versión de Excel le permite leer este comentario encadenado; sin embargo, las ediciones que se apliquen se quitarán si el archivo se abre en una versión más reciente de Excel. Más información: https://go.microsoft.com/fwlink/?linkid=870924
Comentario:
    Ningun SM debe ser menor a lo que le toca al asegurado por la ley</t>
      </text>
    </comment>
    <comment ref="F10" authorId="4" shapeId="0" xr:uid="{356612F4-6BE7-452F-80BC-A83D16AD2E92}">
      <text>
        <t>[Comentario encadenado]
Su versión de Excel le permite leer este comentario encadenado; sin embargo, las ediciones que se apliquen se quitarán si el archivo se abre en una versión más reciente de Excel. Más información: https://go.microsoft.com/fwlink/?linkid=870924
Comentario:
    Aquí si actualizo mi SBC segun la inflación</t>
      </text>
    </comment>
    <comment ref="J11" authorId="5" shapeId="0" xr:uid="{255C12A6-E81D-4A32-916A-2F090F949AFA}">
      <text>
        <t>[Comentario encadenado]
Su versión de Excel le permite leer este comentario encadenado; sin embargo, las ediciones que se apliquen se quitarán si el archivo se abre en una versión más reciente de Excel. Más información: https://go.microsoft.com/fwlink/?linkid=870924
Comentario:
    Caso en el que le tocara la pensión de salario minimo</t>
      </text>
    </comment>
    <comment ref="K12" authorId="6" shapeId="0" xr:uid="{A19617F0-1767-4C0F-B45E-5A40F84087F7}">
      <text>
        <t>[Comentario encadenado]
Su versión de Excel le permite leer este comentario encadenado; sin embargo, las ediciones que se apliquen se quitarán si el archivo se abre en una versión más reciente de Excel. Más información: https://go.microsoft.com/fwlink/?linkid=870924
Comentario:
    Si la persona fallece, le corresponde el 90% a la viuda</t>
      </text>
    </comment>
    <comment ref="E20" authorId="7" shapeId="0" xr:uid="{EC7D7BB4-49E6-4549-96E5-E5D9EBDC717C}">
      <text>
        <t>[Comentario encadenado]
Su versión de Excel le permite leer este comentario encadenado; sin embargo, las ediciones que se apliquen se quitarán si el archivo se abre en una versión más reciente de Excel. Más información: https://go.microsoft.com/fwlink/?linkid=870924
Comentario:
    Actualizar los sueldos de llas últimas 500 semanas</t>
      </text>
    </comment>
  </commentList>
</comments>
</file>

<file path=xl/sharedStrings.xml><?xml version="1.0" encoding="utf-8"?>
<sst xmlns="http://schemas.openxmlformats.org/spreadsheetml/2006/main" count="124" uniqueCount="89">
  <si>
    <t>PENSIÓN POR INVALIDEZ LEY 73</t>
  </si>
  <si>
    <t>PENSIÓN POR INVALIDEZ LEY 97</t>
  </si>
  <si>
    <t>Nota: promedio de las ultimas 500 semanas, actualizadas a la inflación, considerando el 35%</t>
  </si>
  <si>
    <t>Limite inferior</t>
  </si>
  <si>
    <t>Limite superior</t>
  </si>
  <si>
    <t>% de cuantía básica</t>
  </si>
  <si>
    <t>Los salarios incremento anual %</t>
  </si>
  <si>
    <t>límite</t>
  </si>
  <si>
    <t xml:space="preserve">superior establecido </t>
  </si>
  <si>
    <t>UMA</t>
  </si>
  <si>
    <t>SM</t>
  </si>
  <si>
    <t>SBC</t>
  </si>
  <si>
    <t>Año</t>
  </si>
  <si>
    <t>Semanas</t>
  </si>
  <si>
    <t>SBC actualizado</t>
  </si>
  <si>
    <t>SBC promedio</t>
  </si>
  <si>
    <t>Pensión=SBC*35%</t>
  </si>
  <si>
    <t>Pensión Minima</t>
  </si>
  <si>
    <t>Pensión IMSS</t>
  </si>
  <si>
    <t>Esposa</t>
  </si>
  <si>
    <t>3 hijos</t>
  </si>
  <si>
    <t>Pensión final IMSS</t>
  </si>
  <si>
    <t>inflación</t>
  </si>
  <si>
    <t>Inflación acumulada</t>
  </si>
  <si>
    <t>Riesgo de trabajo. Pensión $10, 500</t>
  </si>
  <si>
    <t>Grupo de salario en veces el SM</t>
  </si>
  <si>
    <t xml:space="preserve">Inflación considerada </t>
  </si>
  <si>
    <t>-</t>
  </si>
  <si>
    <t>Nota : promedio de las ultimas 252 semanas, en caso de que no las tuviera se considera las que tenga acreditadas, siempre que sean suficientes para el otorgamiento de una pensión por invalidez o por muerte</t>
  </si>
  <si>
    <t>% de incremento en fracciones del año</t>
  </si>
  <si>
    <t>13-26</t>
  </si>
  <si>
    <t>26-52</t>
  </si>
  <si>
    <t>Grupo</t>
  </si>
  <si>
    <t>Pensión=SBC*80%</t>
  </si>
  <si>
    <t>Años cumplidos a la pensión</t>
  </si>
  <si>
    <t>Edad al retiro</t>
  </si>
  <si>
    <t>% de pensión</t>
  </si>
  <si>
    <t>Semanas cotizadas</t>
  </si>
  <si>
    <t>SBC diario</t>
  </si>
  <si>
    <t xml:space="preserve">Datos generales del empleado </t>
  </si>
  <si>
    <t>Fecha de calculo</t>
  </si>
  <si>
    <t>Fecha de nacimiento</t>
  </si>
  <si>
    <t>Fecha de Jubilación</t>
  </si>
  <si>
    <t>Año de ingreso al IMSS</t>
  </si>
  <si>
    <t>Edad actual</t>
  </si>
  <si>
    <t>Edad de la jubilación (años)</t>
  </si>
  <si>
    <t>Semanas estimadas cotizadas</t>
  </si>
  <si>
    <t>Incremento anual en SBC</t>
  </si>
  <si>
    <t>Incremento anueal en UMA y Salario Minimo</t>
  </si>
  <si>
    <t>Determinación de la cuantía Basica y del Incremento Anual</t>
  </si>
  <si>
    <t>SBC promedio de últimas 250 semanas</t>
  </si>
  <si>
    <t>Cuantía Básica de la Pensión</t>
  </si>
  <si>
    <t>Incrementos Anuales</t>
  </si>
  <si>
    <t>Estimación de la Pensión del IMSS</t>
  </si>
  <si>
    <t>Cálculo de la Cuantía Básica</t>
  </si>
  <si>
    <t>Cálculo del Incremento Anual</t>
  </si>
  <si>
    <t>Pensión Estimada antes de la Reducción</t>
  </si>
  <si>
    <t>Reducción por Cesantía en Edad Avanzada</t>
  </si>
  <si>
    <t>Estimación del Tope Máximo de Cotización al IMSS</t>
  </si>
  <si>
    <t>Edad</t>
  </si>
  <si>
    <t>Fecha de inicio</t>
  </si>
  <si>
    <t>Fecha de Fin</t>
  </si>
  <si>
    <t>Semanas Acum</t>
  </si>
  <si>
    <t>Promedio de 250 semanas</t>
  </si>
  <si>
    <t xml:space="preserve">SBC Máximo de Cotización </t>
  </si>
  <si>
    <t>#semanas</t>
  </si>
  <si>
    <t>Semanas en exceso a 500</t>
  </si>
  <si>
    <t>Semanas en años</t>
  </si>
  <si>
    <t>Salario diario base de cotización promedio de 250</t>
  </si>
  <si>
    <t>UMA mensual</t>
  </si>
  <si>
    <t>% de Reducción por Cesantía (5% por cada año que se anticipe a 65)</t>
  </si>
  <si>
    <t>Reducción de la Pensión</t>
  </si>
  <si>
    <t>Pensión Estimada después de la reducción</t>
  </si>
  <si>
    <t>Beneficios Adicionales</t>
  </si>
  <si>
    <t>Limite Máximo y Minimo de Pensión</t>
  </si>
  <si>
    <t>Limite Máximo y Minimo de Pensión (B1)</t>
  </si>
  <si>
    <t>Limite Minimo de la Pensión (SM)</t>
  </si>
  <si>
    <t>Pensión Estimada Mensual</t>
  </si>
  <si>
    <t>Pensión Estimada del IMSS</t>
  </si>
  <si>
    <t>Pensión Estimada Mensual del IMSS incluyendo el factor 1.11</t>
  </si>
  <si>
    <t>Asignaciones Familiares (15%)</t>
  </si>
  <si>
    <t>Pensión Estimada despues de Asignaciones</t>
  </si>
  <si>
    <t>Nota : promedio de las ultimas 250 semanas, en caso de que no las tuviera se considera las que tenga acreditadas, siempre que sean suficientes para el otorgamiento de una pensión por invalidez o por muerte. En caso de invalidez, no se hace la reducción, pero los demás cálculos son los mismos</t>
  </si>
  <si>
    <t>SBC mensual</t>
  </si>
  <si>
    <t>SBC Max Mensual</t>
  </si>
  <si>
    <t>Repartición de SM familiares</t>
  </si>
  <si>
    <t>Hijo</t>
  </si>
  <si>
    <t>Invalidez</t>
  </si>
  <si>
    <t>PENSIÓN POR CESANTÏA E INVALIDEZ LEY 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</si>
</sst>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yyyy"/>
    <numFmt numFmtId="165" formatCode="0.0000"/>
  </numFmts>
  <fonts count="8" x14ac:knownFonts="1">
    <font>
      <sz val="12"/>
      <color theme="1"/>
      <name val="Arial"/>
      <family val="2"/>
    </font>
    <font>
      <sz val="12"/>
      <color theme="1"/>
      <name val="Arial"/>
      <family val="2"/>
    </font>
    <font>
      <b/>
      <sz val="12"/>
      <color theme="0"/>
      <name val="Arial"/>
      <family val="2"/>
    </font>
    <font>
      <i/>
      <sz val="11"/>
      <color theme="1"/>
      <name val="Arial"/>
      <family val="2"/>
    </font>
    <font>
      <i/>
      <sz val="12"/>
      <color theme="1"/>
      <name val="Arial"/>
      <family val="2"/>
    </font>
    <font>
      <b/>
      <sz val="12"/>
      <color theme="1"/>
      <name val="Arial"/>
      <family val="2"/>
    </font>
    <font>
      <b/>
      <sz val="12"/>
      <name val="Arial"/>
      <family val="2"/>
    </font>
    <font>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style="dashDotDot">
        <color theme="3" tint="-0.249977111117893"/>
      </left>
      <right style="dashDotDot">
        <color theme="3" tint="-0.249977111117893"/>
      </right>
      <top style="dashDotDot">
        <color theme="3" tint="-0.249977111117893"/>
      </top>
      <bottom style="dashDotDot">
        <color theme="3" tint="-0.249977111117893"/>
      </bottom>
      <diagonal/>
    </border>
    <border>
      <left style="dashDotDot">
        <color theme="3" tint="-0.249977111117893"/>
      </left>
      <right/>
      <top style="dashDotDot">
        <color theme="3" tint="-0.249977111117893"/>
      </top>
      <bottom style="dashDotDot">
        <color theme="3" tint="-0.249977111117893"/>
      </bottom>
      <diagonal/>
    </border>
    <border>
      <left/>
      <right style="dashDotDot">
        <color theme="3" tint="-0.249977111117893"/>
      </right>
      <top style="dashDotDot">
        <color theme="3" tint="-0.249977111117893"/>
      </top>
      <bottom style="dashDotDot">
        <color theme="3" tint="-0.249977111117893"/>
      </bottom>
      <diagonal/>
    </border>
    <border>
      <left style="dashDotDot">
        <color theme="3" tint="-0.249977111117893"/>
      </left>
      <right style="dashDotDot">
        <color theme="3" tint="-0.249977111117893"/>
      </right>
      <top/>
      <bottom style="dashDotDot">
        <color theme="3" tint="-0.249977111117893"/>
      </bottom>
      <diagonal/>
    </border>
    <border>
      <left/>
      <right style="dashDotDot">
        <color theme="3" tint="-0.249977111117893"/>
      </right>
      <top/>
      <bottom/>
      <diagonal/>
    </border>
    <border>
      <left style="dashDotDot">
        <color theme="3" tint="-0.249977111117893"/>
      </left>
      <right style="dashDotDot">
        <color theme="3" tint="-0.249977111117893"/>
      </right>
      <top style="dashDotDot">
        <color theme="3" tint="-0.249977111117893"/>
      </top>
      <bottom/>
      <diagonal/>
    </border>
    <border>
      <left style="dashDotDot">
        <color theme="3" tint="-0.249977111117893"/>
      </left>
      <right style="dashDotDot">
        <color theme="3" tint="-0.249977111117893"/>
      </right>
      <top/>
      <bottom/>
      <diagonal/>
    </border>
    <border>
      <left/>
      <right/>
      <top style="dashDotDot">
        <color theme="3" tint="-0.249977111117893"/>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4">
    <xf numFmtId="0" fontId="0" fillId="0" borderId="0" xfId="0"/>
    <xf numFmtId="0" fontId="2" fillId="4" borderId="0" xfId="0" applyFont="1" applyFill="1" applyAlignment="1">
      <alignment horizontal="center"/>
    </xf>
    <xf numFmtId="0" fontId="0" fillId="5" borderId="0" xfId="0" applyFill="1" applyAlignment="1">
      <alignment horizontal="center" vertical="center" wrapText="1"/>
    </xf>
    <xf numFmtId="0" fontId="0" fillId="5" borderId="0" xfId="0" applyFill="1"/>
    <xf numFmtId="0" fontId="0" fillId="0" borderId="0" xfId="0" applyFill="1" applyAlignment="1">
      <alignment vertical="center" wrapText="1"/>
    </xf>
    <xf numFmtId="0" fontId="2" fillId="0" borderId="0" xfId="0" applyFont="1" applyFill="1" applyAlignment="1">
      <alignment horizontal="center"/>
    </xf>
    <xf numFmtId="0" fontId="2" fillId="4" borderId="0" xfId="0" applyFont="1" applyFill="1" applyAlignment="1">
      <alignment horizontal="center" vertical="center" wrapText="1"/>
    </xf>
    <xf numFmtId="2" fontId="0" fillId="0" borderId="1" xfId="0" applyNumberFormat="1" applyBorder="1" applyAlignment="1">
      <alignment horizontal="center"/>
    </xf>
    <xf numFmtId="0" fontId="4" fillId="0" borderId="1" xfId="0" applyFont="1" applyBorder="1" applyAlignment="1">
      <alignment horizontal="center"/>
    </xf>
    <xf numFmtId="164" fontId="0" fillId="0" borderId="1" xfId="0" applyNumberFormat="1" applyBorder="1" applyAlignment="1">
      <alignment horizontal="center"/>
    </xf>
    <xf numFmtId="44" fontId="0" fillId="0" borderId="1" xfId="1" applyFont="1" applyBorder="1"/>
    <xf numFmtId="2" fontId="0" fillId="0" borderId="1" xfId="0" applyNumberFormat="1" applyBorder="1" applyAlignment="1">
      <alignment horizontal="center" vertical="center"/>
    </xf>
    <xf numFmtId="2" fontId="0" fillId="0" borderId="1" xfId="0" applyNumberFormat="1" applyBorder="1"/>
    <xf numFmtId="0" fontId="0" fillId="0" borderId="1" xfId="0" applyBorder="1" applyAlignment="1">
      <alignment horizontal="center" vertical="center"/>
    </xf>
    <xf numFmtId="44" fontId="0" fillId="0" borderId="1" xfId="0" applyNumberFormat="1" applyBorder="1"/>
    <xf numFmtId="0" fontId="0" fillId="0" borderId="1" xfId="0" applyBorder="1"/>
    <xf numFmtId="165" fontId="0" fillId="0" borderId="1" xfId="0" applyNumberFormat="1" applyBorder="1"/>
    <xf numFmtId="164" fontId="0" fillId="0" borderId="1" xfId="0" applyNumberFormat="1" applyBorder="1" applyAlignment="1">
      <alignment horizontal="center" vertical="center"/>
    </xf>
    <xf numFmtId="0" fontId="0" fillId="0" borderId="0" xfId="0" applyBorder="1"/>
    <xf numFmtId="0" fontId="0" fillId="0" borderId="0" xfId="0" applyBorder="1" applyAlignment="1">
      <alignment horizontal="center" vertical="center"/>
    </xf>
    <xf numFmtId="0" fontId="4" fillId="0" borderId="0" xfId="0" applyFont="1" applyBorder="1" applyAlignment="1">
      <alignment horizontal="center"/>
    </xf>
    <xf numFmtId="2" fontId="0" fillId="0" borderId="0" xfId="0" applyNumberFormat="1" applyBorder="1" applyAlignment="1">
      <alignment horizontal="center"/>
    </xf>
    <xf numFmtId="0" fontId="0" fillId="0" borderId="0" xfId="0" applyFill="1" applyAlignment="1">
      <alignment horizontal="center" vertical="center" wrapText="1"/>
    </xf>
    <xf numFmtId="164" fontId="0" fillId="0" borderId="0" xfId="0" applyNumberFormat="1" applyBorder="1" applyAlignment="1">
      <alignment horizontal="center"/>
    </xf>
    <xf numFmtId="44" fontId="0" fillId="0" borderId="0" xfId="1" applyFont="1" applyBorder="1" applyAlignment="1">
      <alignment horizontal="center" vertical="center"/>
    </xf>
    <xf numFmtId="165" fontId="0" fillId="0" borderId="0" xfId="0" applyNumberFormat="1" applyBorder="1"/>
    <xf numFmtId="44" fontId="0" fillId="0" borderId="1" xfId="1" applyFont="1" applyBorder="1" applyAlignment="1">
      <alignment horizontal="center" vertical="center"/>
    </xf>
    <xf numFmtId="2" fontId="0" fillId="2" borderId="1" xfId="0" applyNumberFormat="1" applyFill="1" applyBorder="1" applyAlignment="1">
      <alignment horizontal="center"/>
    </xf>
    <xf numFmtId="0" fontId="0" fillId="6" borderId="1" xfId="0" applyFill="1" applyBorder="1" applyAlignment="1">
      <alignment horizontal="center" vertical="center"/>
    </xf>
    <xf numFmtId="44" fontId="0" fillId="6" borderId="1" xfId="0" applyNumberFormat="1" applyFill="1" applyBorder="1"/>
    <xf numFmtId="0" fontId="2" fillId="4" borderId="0" xfId="0" applyFont="1" applyFill="1" applyAlignment="1">
      <alignment horizontal="center" vertical="center" wrapText="1"/>
    </xf>
    <xf numFmtId="44" fontId="0" fillId="0" borderId="3" xfId="0" applyNumberFormat="1" applyBorder="1"/>
    <xf numFmtId="0" fontId="0" fillId="0" borderId="2" xfId="0" applyBorder="1" applyAlignment="1">
      <alignment horizontal="center" vertical="center"/>
    </xf>
    <xf numFmtId="0" fontId="0" fillId="7" borderId="1" xfId="0" applyFill="1" applyBorder="1" applyAlignment="1">
      <alignment horizontal="center" vertical="center"/>
    </xf>
    <xf numFmtId="44" fontId="0" fillId="0" borderId="2" xfId="0" applyNumberFormat="1" applyBorder="1"/>
    <xf numFmtId="44" fontId="0" fillId="0" borderId="4" xfId="0" applyNumberFormat="1" applyBorder="1"/>
    <xf numFmtId="0" fontId="2" fillId="4" borderId="0" xfId="0" applyFont="1" applyFill="1" applyAlignment="1">
      <alignment horizontal="center" vertical="center" wrapText="1"/>
    </xf>
    <xf numFmtId="0" fontId="4" fillId="0" borderId="1" xfId="0" applyFont="1" applyBorder="1" applyAlignment="1">
      <alignment horizontal="center"/>
    </xf>
    <xf numFmtId="0" fontId="2" fillId="4" borderId="0" xfId="0" applyFont="1" applyFill="1" applyAlignment="1">
      <alignment wrapText="1"/>
    </xf>
    <xf numFmtId="2" fontId="0" fillId="2" borderId="1" xfId="0" applyNumberFormat="1" applyFill="1" applyBorder="1" applyAlignment="1">
      <alignment horizontal="center" vertical="center"/>
    </xf>
    <xf numFmtId="0" fontId="2" fillId="4" borderId="0" xfId="0" applyFont="1" applyFill="1" applyAlignment="1">
      <alignment horizontal="center"/>
    </xf>
    <xf numFmtId="0" fontId="2" fillId="0"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0" borderId="0" xfId="0" applyFont="1" applyFill="1" applyBorder="1" applyAlignment="1">
      <alignment horizontal="center" vertical="center" wrapText="1"/>
    </xf>
    <xf numFmtId="2" fontId="0" fillId="0" borderId="1" xfId="0" applyNumberFormat="1" applyFill="1" applyBorder="1" applyAlignment="1">
      <alignment horizontal="center"/>
    </xf>
    <xf numFmtId="2" fontId="0" fillId="6" borderId="1" xfId="0" applyNumberFormat="1" applyFill="1" applyBorder="1" applyAlignment="1">
      <alignment horizontal="center"/>
    </xf>
    <xf numFmtId="44" fontId="0" fillId="0" borderId="0" xfId="1" applyFont="1" applyFill="1" applyBorder="1" applyAlignment="1">
      <alignment horizontal="center" vertical="center"/>
    </xf>
    <xf numFmtId="2" fontId="0" fillId="0" borderId="0" xfId="0" applyNumberFormat="1" applyFill="1" applyBorder="1" applyAlignment="1">
      <alignment horizontal="center" vertical="center"/>
    </xf>
    <xf numFmtId="0" fontId="0" fillId="0" borderId="0" xfId="0" applyFill="1" applyBorder="1" applyAlignment="1">
      <alignment horizontal="center" vertical="center"/>
    </xf>
    <xf numFmtId="44" fontId="0" fillId="0" borderId="0" xfId="0" applyNumberFormat="1" applyFill="1" applyBorder="1"/>
    <xf numFmtId="0" fontId="0" fillId="0" borderId="0" xfId="0" applyFill="1" applyBorder="1"/>
    <xf numFmtId="164" fontId="0" fillId="0" borderId="0" xfId="0" applyNumberFormat="1" applyFill="1" applyBorder="1" applyAlignment="1">
      <alignment horizontal="center" vertical="center"/>
    </xf>
    <xf numFmtId="0" fontId="2" fillId="0" borderId="0" xfId="0" applyFont="1" applyFill="1" applyBorder="1" applyAlignment="1">
      <alignment horizontal="center"/>
    </xf>
    <xf numFmtId="0" fontId="2" fillId="0" borderId="0" xfId="0" applyFont="1" applyFill="1" applyBorder="1" applyAlignment="1">
      <alignment wrapText="1"/>
    </xf>
    <xf numFmtId="0" fontId="6"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0" fillId="0" borderId="0" xfId="0" applyAlignment="1">
      <alignment horizontal="left" vertical="center"/>
    </xf>
    <xf numFmtId="164" fontId="0" fillId="0" borderId="0" xfId="0" applyNumberFormat="1" applyFill="1" applyBorder="1" applyAlignment="1">
      <alignment horizontal="left" vertical="center"/>
    </xf>
    <xf numFmtId="164" fontId="0" fillId="0" borderId="0" xfId="0" applyNumberFormat="1" applyBorder="1" applyAlignment="1">
      <alignment horizontal="left" vertical="center"/>
    </xf>
    <xf numFmtId="164" fontId="5" fillId="0" borderId="0" xfId="0" applyNumberFormat="1" applyFont="1" applyBorder="1" applyAlignment="1">
      <alignment horizontal="left" vertical="center"/>
    </xf>
    <xf numFmtId="164" fontId="5" fillId="0" borderId="0" xfId="0" applyNumberFormat="1" applyFont="1" applyFill="1" applyBorder="1" applyAlignment="1">
      <alignment horizontal="left" vertical="center"/>
    </xf>
    <xf numFmtId="15" fontId="7" fillId="0" borderId="0" xfId="0" applyNumberFormat="1" applyFont="1" applyFill="1" applyBorder="1" applyAlignment="1">
      <alignment horizontal="center" vertical="center" wrapText="1"/>
    </xf>
    <xf numFmtId="2" fontId="0" fillId="0" borderId="0" xfId="1" applyNumberFormat="1" applyFont="1" applyFill="1" applyBorder="1" applyAlignment="1">
      <alignment horizontal="center" vertical="center"/>
    </xf>
    <xf numFmtId="15" fontId="0" fillId="0" borderId="0" xfId="0" applyNumberFormat="1" applyAlignment="1">
      <alignment horizontal="center" vertical="center"/>
    </xf>
    <xf numFmtId="10" fontId="0" fillId="0" borderId="0" xfId="1" applyNumberFormat="1" applyFont="1" applyBorder="1" applyAlignment="1">
      <alignment horizontal="center" vertical="center"/>
    </xf>
    <xf numFmtId="44" fontId="0" fillId="0" borderId="0" xfId="0" applyNumberFormat="1"/>
    <xf numFmtId="2" fontId="0" fillId="0" borderId="0" xfId="0" applyNumberFormat="1" applyAlignment="1">
      <alignment horizontal="center" vertical="center"/>
    </xf>
    <xf numFmtId="164" fontId="0" fillId="0" borderId="0" xfId="0" applyNumberFormat="1" applyAlignment="1">
      <alignment horizontal="center" vertical="center"/>
    </xf>
    <xf numFmtId="9" fontId="0" fillId="0" borderId="0" xfId="2" applyFont="1"/>
    <xf numFmtId="10" fontId="0" fillId="0" borderId="0" xfId="2" applyNumberFormat="1" applyFont="1"/>
    <xf numFmtId="2" fontId="7" fillId="0" borderId="0" xfId="0" applyNumberFormat="1" applyFont="1" applyFill="1" applyBorder="1" applyAlignment="1">
      <alignment horizontal="left" vertical="center"/>
    </xf>
    <xf numFmtId="44" fontId="0" fillId="0" borderId="0" xfId="0" applyNumberFormat="1" applyAlignment="1">
      <alignment horizontal="center" vertical="center"/>
    </xf>
    <xf numFmtId="9" fontId="0" fillId="0" borderId="0" xfId="0" applyNumberFormat="1" applyAlignment="1">
      <alignment horizontal="center"/>
    </xf>
    <xf numFmtId="0" fontId="5" fillId="0" borderId="0" xfId="0" applyFont="1"/>
    <xf numFmtId="0" fontId="0" fillId="0" borderId="0" xfId="0" applyAlignment="1">
      <alignment horizontal="center"/>
    </xf>
    <xf numFmtId="0" fontId="0" fillId="0" borderId="1" xfId="0" applyFill="1" applyBorder="1" applyAlignment="1">
      <alignment horizontal="center" vertical="center"/>
    </xf>
    <xf numFmtId="15" fontId="0" fillId="0" borderId="1" xfId="0" applyNumberFormat="1" applyFill="1" applyBorder="1" applyAlignment="1">
      <alignment horizontal="center" vertical="center"/>
    </xf>
    <xf numFmtId="15" fontId="0" fillId="0" borderId="1" xfId="0" applyNumberFormat="1" applyFill="1" applyBorder="1"/>
    <xf numFmtId="2" fontId="0" fillId="0" borderId="1" xfId="0" applyNumberFormat="1" applyFill="1" applyBorder="1"/>
    <xf numFmtId="44" fontId="0" fillId="0" borderId="1" xfId="0" applyNumberFormat="1" applyFill="1" applyBorder="1"/>
    <xf numFmtId="1" fontId="0" fillId="0" borderId="1" xfId="0" applyNumberFormat="1" applyFill="1" applyBorder="1" applyAlignment="1">
      <alignment horizontal="center" vertical="center"/>
    </xf>
    <xf numFmtId="14" fontId="0" fillId="0" borderId="1" xfId="0" applyNumberFormat="1" applyFill="1" applyBorder="1"/>
    <xf numFmtId="0" fontId="0" fillId="0" borderId="1" xfId="0" applyFill="1" applyBorder="1"/>
    <xf numFmtId="44" fontId="0" fillId="0" borderId="1" xfId="0" applyNumberFormat="1" applyBorder="1" applyAlignment="1">
      <alignment horizontal="center" vertical="center"/>
    </xf>
    <xf numFmtId="2" fontId="0" fillId="8" borderId="1" xfId="0" applyNumberFormat="1" applyFill="1" applyBorder="1"/>
    <xf numFmtId="44" fontId="0" fillId="8" borderId="1" xfId="0" applyNumberFormat="1" applyFill="1" applyBorder="1"/>
    <xf numFmtId="0" fontId="5" fillId="0" borderId="0" xfId="0" applyFont="1" applyAlignment="1">
      <alignment horizontal="center"/>
    </xf>
    <xf numFmtId="44" fontId="0" fillId="0" borderId="8" xfId="0" applyNumberFormat="1" applyBorder="1"/>
    <xf numFmtId="44" fontId="0" fillId="0" borderId="8" xfId="0" applyNumberFormat="1" applyBorder="1" applyAlignment="1">
      <alignment horizontal="center" vertical="center"/>
    </xf>
    <xf numFmtId="0" fontId="0" fillId="0" borderId="0" xfId="0" applyFill="1"/>
    <xf numFmtId="165" fontId="0" fillId="0" borderId="0" xfId="0" applyNumberFormat="1" applyFill="1"/>
    <xf numFmtId="0" fontId="5" fillId="0" borderId="0" xfId="0" applyFont="1" applyFill="1" applyAlignment="1">
      <alignment horizontal="center"/>
    </xf>
    <xf numFmtId="9" fontId="0" fillId="0" borderId="0" xfId="0" applyNumberFormat="1" applyFill="1" applyAlignment="1">
      <alignment horizontal="center"/>
    </xf>
    <xf numFmtId="44" fontId="0" fillId="0" borderId="0" xfId="0" applyNumberFormat="1" applyFill="1" applyAlignment="1">
      <alignment horizontal="center" vertical="center"/>
    </xf>
    <xf numFmtId="44" fontId="0" fillId="0" borderId="0" xfId="0" applyNumberFormat="1" applyFill="1"/>
    <xf numFmtId="44" fontId="0" fillId="9" borderId="0" xfId="0" applyNumberFormat="1" applyFill="1"/>
    <xf numFmtId="2" fontId="0" fillId="10" borderId="0" xfId="1" applyNumberFormat="1" applyFont="1" applyFill="1" applyBorder="1" applyAlignment="1">
      <alignment horizontal="center" vertical="center"/>
    </xf>
    <xf numFmtId="165" fontId="0" fillId="10" borderId="0" xfId="0" applyNumberFormat="1" applyFill="1" applyAlignment="1">
      <alignment horizontal="center"/>
    </xf>
    <xf numFmtId="44" fontId="0" fillId="10" borderId="1" xfId="0" applyNumberFormat="1" applyFill="1" applyBorder="1"/>
    <xf numFmtId="44" fontId="0" fillId="10" borderId="1" xfId="1" applyFont="1" applyFill="1" applyBorder="1" applyAlignment="1">
      <alignment horizontal="center" vertical="center"/>
    </xf>
    <xf numFmtId="0" fontId="2" fillId="4" borderId="0" xfId="0" applyFont="1" applyFill="1" applyAlignment="1">
      <alignment horizontal="center" vertical="center" wrapText="1"/>
    </xf>
    <xf numFmtId="0" fontId="2" fillId="4" borderId="5" xfId="0" applyFont="1" applyFill="1" applyBorder="1" applyAlignment="1">
      <alignment horizontal="center" vertical="center" wrapText="1"/>
    </xf>
    <xf numFmtId="0" fontId="0" fillId="0" borderId="6" xfId="0" applyFill="1" applyBorder="1" applyAlignment="1">
      <alignment horizontal="center"/>
    </xf>
    <xf numFmtId="0" fontId="0" fillId="0" borderId="7" xfId="0" applyFill="1" applyBorder="1" applyAlignment="1">
      <alignment horizontal="center"/>
    </xf>
    <xf numFmtId="0" fontId="0" fillId="0" borderId="4" xfId="0" applyFill="1" applyBorder="1" applyAlignment="1">
      <alignment horizontal="center"/>
    </xf>
    <xf numFmtId="0" fontId="2" fillId="4" borderId="0" xfId="0" applyFont="1" applyFill="1" applyAlignment="1">
      <alignment horizontal="center"/>
    </xf>
    <xf numFmtId="0" fontId="0" fillId="3" borderId="0" xfId="0" applyFill="1" applyAlignment="1">
      <alignment horizontal="center" vertical="center" wrapText="1"/>
    </xf>
    <xf numFmtId="0" fontId="3" fillId="3" borderId="0" xfId="0" applyFont="1" applyFill="1" applyAlignment="1">
      <alignment horizontal="center" vertical="top" wrapText="1"/>
    </xf>
    <xf numFmtId="0" fontId="4" fillId="6" borderId="1" xfId="0" applyFont="1" applyFill="1" applyBorder="1" applyAlignment="1">
      <alignment horizontal="center"/>
    </xf>
    <xf numFmtId="0" fontId="4" fillId="0" borderId="1" xfId="0" applyFont="1" applyBorder="1" applyAlignment="1">
      <alignment horizontal="center"/>
    </xf>
    <xf numFmtId="0" fontId="0" fillId="3" borderId="0" xfId="0" applyFill="1" applyAlignment="1">
      <alignment horizontal="center"/>
    </xf>
    <xf numFmtId="44" fontId="0" fillId="0" borderId="0" xfId="1" applyFont="1" applyBorder="1" applyAlignment="1">
      <alignment horizontal="center"/>
    </xf>
    <xf numFmtId="0" fontId="2" fillId="0" borderId="0" xfId="0" applyFont="1" applyFill="1" applyBorder="1" applyAlignment="1">
      <alignment horizontal="center" vertical="center" wrapText="1"/>
    </xf>
    <xf numFmtId="0" fontId="0" fillId="0" borderId="0" xfId="0" applyBorder="1" applyAlignment="1">
      <alignment horizontal="center"/>
    </xf>
  </cellXfs>
  <cellStyles count="3">
    <cellStyle name="Moneda" xfId="1" builtinId="4"/>
    <cellStyle name="Normal" xfId="0" builtinId="0"/>
    <cellStyle name="Porcentaje" xfId="2" builtinId="5"/>
  </cellStyles>
  <dxfs count="0"/>
  <tableStyles count="1" defaultTableStyle="TableStyleMedium2" defaultPivotStyle="PivotStyleLight16">
    <tableStyle name="Invisible" pivot="0" table="0" count="0" xr9:uid="{48F37B48-2034-4963-8171-7CF3FBCE033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ecilia Villareal Duarte" id="{615DF70F-C6F6-44B9-AA5D-90F544E5AD42}" userId="f4f6e04a260043c7"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6" dT="2021-08-25T17:55:58.77" personId="{615DF70F-C6F6-44B9-AA5D-90F544E5AD42}" id="{5748585D-09D6-4180-9B49-90F2AE5A445C}">
    <text>Esto sería si quieisera saber cuanto ganaría en 15 años</text>
  </threadedComment>
  <threadedComment ref="U6" dT="2021-08-25T17:56:15.67" personId="{615DF70F-C6F6-44B9-AA5D-90F544E5AD42}" id="{109EC76E-E2E8-4226-86D8-D5EF75CC2350}">
    <text>Valor de la UMA dentro de 15 años</text>
  </threadedComment>
  <threadedComment ref="P8" dT="2021-08-25T17:01:13.23" personId="{615DF70F-C6F6-44B9-AA5D-90F544E5AD42}" id="{491D9483-605B-4AF8-857D-A9540D3D1C61}">
    <text>Estos datos solo nos lo puede dar el IMSS si ya nos vamos a jubilar, en caso contrario debemos calcularlos nosotros</text>
  </threadedComment>
  <threadedComment ref="S9" dT="2021-08-25T17:32:50.04" personId="{615DF70F-C6F6-44B9-AA5D-90F544E5AD42}" id="{6AC162B6-3323-4561-A8E7-B219CA68A1CD}">
    <text>Lo que estimo que valdrá la UMA</text>
  </threadedComment>
  <threadedComment ref="H10" dT="2021-08-25T16:48:06.65" personId="{615DF70F-C6F6-44B9-AA5D-90F544E5AD42}" id="{8AEA4241-3214-436C-A173-CBA60FA6DDA1}">
    <text># de años laborado</text>
  </threadedComment>
  <threadedComment ref="R10" dT="2021-08-25T17:19:55.46" personId="{615DF70F-C6F6-44B9-AA5D-90F544E5AD42}" id="{7155C221-42DC-419E-B33D-6B3A0BA1EF8D}">
    <text>Es lo que estimo que va a ganar la persona durante todo el año</text>
  </threadedComment>
  <threadedComment ref="G15" dT="2021-08-25T03:24:25.44" personId="{615DF70F-C6F6-44B9-AA5D-90F544E5AD42}" id="{E723A31F-A900-4514-9B78-B8C686D110A9}">
    <text>El maximo de Cotización son 25 umas por eso lo multiplicamos por esa cantidad</text>
  </threadedComment>
  <threadedComment ref="G18" dT="2021-08-25T16:51:12.41" personId="{615DF70F-C6F6-44B9-AA5D-90F544E5AD42}" id="{B08723C4-631F-4838-973B-2BC8F1EF47B9}">
    <text>Inflación considerada</text>
  </threadedComment>
  <threadedComment ref="H22" dT="2021-08-25T16:48:44.12" personId="{615DF70F-C6F6-44B9-AA5D-90F544E5AD42}" id="{5AA4DE4B-C642-45D8-A23F-8B7E4542AC09}">
    <text># de veces de SBC para ver el grupo que corresponde</text>
  </threadedComment>
  <threadedComment ref="L29" dT="2021-08-25T16:49:18.23" personId="{615DF70F-C6F6-44B9-AA5D-90F544E5AD42}" id="{A60D9200-4D8F-47EB-9B84-4EA5FDE4F5ED}">
    <text>Semanas fracción</text>
  </threadedComment>
  <threadedComment ref="K30" dT="2021-08-25T03:45:19.85" personId="{615DF70F-C6F6-44B9-AA5D-90F544E5AD42}" id="{B00884A7-2C8A-4541-87D3-16F040FF8122}">
    <text>Son 31 semanas pero al ser fracción se le agrega el .5</text>
  </threadedComment>
  <threadedComment ref="G34" dT="2021-08-25T16:50:33.32" personId="{615DF70F-C6F6-44B9-AA5D-90F544E5AD42}" id="{D61588E4-264E-4DA2-9C14-18F8AFED32F0}">
    <text>Reducción por retiro anticipado a la cesantía. Esta parte en invalidez no se considera porque el individuo no quiso dejar de laborar</text>
  </threadedComment>
  <threadedComment ref="F47" dT="2021-08-25T03:52:07.92" personId="{615DF70F-C6F6-44B9-AA5D-90F544E5AD42}" id="{8701A5B4-9D84-4ED7-9632-C16EF42AD353}">
    <text>Por decreto de Fox se les agrego el 11% a las pensiones</text>
  </threadedComment>
  <threadedComment ref="K47" dT="2021-08-25T18:10:33.23" personId="{615DF70F-C6F6-44B9-AA5D-90F544E5AD42}" id="{9E61D3B0-57F3-490E-910A-6670E90E84D4}">
    <text>Pensión viuda en caso de invalidez</text>
  </threadedComment>
  <threadedComment ref="L47" dT="2021-08-25T18:10:51.67" personId="{615DF70F-C6F6-44B9-AA5D-90F544E5AD42}" id="{ED640E6A-D81B-4B93-9722-A5A400B7C9E8}">
    <text>Pensión hijo en caso de invalidez</text>
  </threadedComment>
  <threadedComment ref="K48" dT="2021-08-25T18:11:37.17" personId="{615DF70F-C6F6-44B9-AA5D-90F544E5AD42}" id="{6D3F6B4C-7FC3-45C1-911C-5612189CA229}">
    <text>Pensión viuda en caso de que esposo ya jublado</text>
  </threadedComment>
  <threadedComment ref="L48" dT="2021-08-25T18:11:56.93" personId="{615DF70F-C6F6-44B9-AA5D-90F544E5AD42}" id="{F7427C6F-B43A-43F4-B666-1FBA1D349893}">
    <text>Pensión hijo en caso de padre jubilado</text>
  </threadedComment>
  <threadedComment ref="K49" dT="2021-08-25T18:12:19.78" personId="{615DF70F-C6F6-44B9-AA5D-90F544E5AD42}" id="{6BF4603D-3463-4E8F-91AB-93CEB40C2922}">
    <text>Pensión viuda</text>
  </threadedComment>
  <threadedComment ref="L49" dT="2021-08-25T18:12:44.93" personId="{615DF70F-C6F6-44B9-AA5D-90F544E5AD42}" id="{4CCC7BA4-E9D0-4B04-8CAE-ABF777DAF4DC}">
    <text>Pensión hijo en caso de fallecimiento padre</text>
  </threadedComment>
</ThreadedComments>
</file>

<file path=xl/threadedComments/threadedComment2.xml><?xml version="1.0" encoding="utf-8"?>
<ThreadedComments xmlns="http://schemas.microsoft.com/office/spreadsheetml/2018/threadedcomments" xmlns:x="http://schemas.openxmlformats.org/spreadsheetml/2006/main">
  <threadedComment ref="H5" dT="2021-08-22T22:02:53.66" personId="{615DF70F-C6F6-44B9-AA5D-90F544E5AD42}" id="{B54C6DAC-7AE5-4A24-AFFD-89A0C410C1C9}">
    <text>SM por día</text>
  </threadedComment>
  <threadedComment ref="B9" dT="2021-08-22T21:50:40.29" personId="{615DF70F-C6F6-44B9-AA5D-90F544E5AD42}" id="{7BA34B1D-17D8-44CC-932E-46803425516D}">
    <text>Cuanto ganaba a la hora del accidente profesional</text>
  </threadedComment>
  <threadedComment ref="C9" dT="2021-08-22T21:52:02.21" personId="{615DF70F-C6F6-44B9-AA5D-90F544E5AD42}" id="{BF43914A-12AC-4FB4-BA88-BC773FCECA32}">
    <text>Aquí no le agrego la inflación porque es el año en que le voy a hacer el calculo</text>
  </threadedComment>
  <threadedComment ref="I9" dT="2021-08-22T22:03:24.95" personId="{615DF70F-C6F6-44B9-AA5D-90F544E5AD42}" id="{7BAC8000-0A79-4C8D-879B-2E5A3CB89D69}">
    <text>Ningun SM debe ser menor a lo que le toca al asegurado por la ley</text>
  </threadedComment>
  <threadedComment ref="F10" dT="2021-08-22T21:53:47.65" personId="{615DF70F-C6F6-44B9-AA5D-90F544E5AD42}" id="{356612F4-6BE7-452F-80BC-A83D16AD2E92}">
    <text>Aquí si actualizo mi SBC segun la inflación</text>
  </threadedComment>
  <threadedComment ref="J11" dT="2021-08-22T22:16:20.74" personId="{615DF70F-C6F6-44B9-AA5D-90F544E5AD42}" id="{255C12A6-E81D-4A32-916A-2F090F949AFA}">
    <text>Caso en el que le tocara la pensión de salario minimo</text>
  </threadedComment>
  <threadedComment ref="K12" dT="2021-08-22T22:11:01.85" personId="{615DF70F-C6F6-44B9-AA5D-90F544E5AD42}" id="{A19617F0-1767-4C0F-B45E-5A40F84087F7}">
    <text>Si la persona fallece, le corresponde el 90% a la viuda</text>
  </threadedComment>
  <threadedComment ref="E20" dT="2021-08-22T22:07:57.05" personId="{615DF70F-C6F6-44B9-AA5D-90F544E5AD42}" id="{EC7D7BB4-49E6-4549-96E5-E5D9EBDC717C}">
    <text>Actualizar los sueldos de llas últimas 500 semanas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3353-EDAA-44F3-85A1-4C91A9EB8C55}">
  <dimension ref="A1:U57"/>
  <sheetViews>
    <sheetView showGridLines="0" tabSelected="1" zoomScale="56" zoomScaleNormal="100" workbookViewId="0">
      <selection activeCell="N25" sqref="N25"/>
    </sheetView>
  </sheetViews>
  <sheetFormatPr baseColWidth="10" defaultRowHeight="15" x14ac:dyDescent="0.2"/>
  <cols>
    <col min="1" max="1" width="12.109375" customWidth="1"/>
    <col min="2" max="2" width="18.21875" customWidth="1"/>
    <col min="3" max="3" width="14.33203125" customWidth="1"/>
    <col min="4" max="4" width="13" customWidth="1"/>
    <col min="6" max="6" width="64.109375" bestFit="1" customWidth="1"/>
    <col min="7" max="7" width="13.6640625" bestFit="1" customWidth="1"/>
    <col min="8" max="8" width="12.88671875" bestFit="1" customWidth="1"/>
    <col min="9" max="9" width="12.88671875" customWidth="1"/>
    <col min="10" max="10" width="23.21875" bestFit="1" customWidth="1"/>
    <col min="11" max="11" width="13.21875" bestFit="1" customWidth="1"/>
    <col min="12" max="12" width="14.33203125" customWidth="1"/>
    <col min="14" max="14" width="13.44140625" bestFit="1" customWidth="1"/>
    <col min="16" max="16" width="12" bestFit="1" customWidth="1"/>
    <col min="17" max="17" width="20.5546875" customWidth="1"/>
    <col min="18" max="18" width="15.5546875" bestFit="1" customWidth="1"/>
    <col min="19" max="19" width="12.44140625" customWidth="1"/>
    <col min="20" max="20" width="13.21875" bestFit="1" customWidth="1"/>
    <col min="21" max="21" width="16.33203125" bestFit="1" customWidth="1"/>
  </cols>
  <sheetData>
    <row r="1" spans="1:21" ht="15.75" x14ac:dyDescent="0.25">
      <c r="A1" s="105" t="s">
        <v>88</v>
      </c>
      <c r="B1" s="105"/>
      <c r="C1" s="105"/>
      <c r="D1" s="105"/>
      <c r="E1" s="105"/>
      <c r="F1" s="105"/>
      <c r="G1" s="105"/>
      <c r="H1" s="105"/>
      <c r="I1" s="105"/>
      <c r="J1" s="105"/>
      <c r="K1" s="105"/>
      <c r="L1" s="105"/>
      <c r="M1" s="105"/>
      <c r="N1" s="105"/>
      <c r="O1" s="105"/>
      <c r="P1" s="105"/>
      <c r="Q1" s="105"/>
      <c r="R1" s="105"/>
      <c r="S1" s="105"/>
      <c r="T1" s="105"/>
    </row>
    <row r="2" spans="1:21" s="3" customFormat="1" ht="7.5" customHeight="1" x14ac:dyDescent="0.2">
      <c r="A2" s="2"/>
      <c r="B2" s="2"/>
      <c r="C2" s="2"/>
      <c r="D2" s="2"/>
      <c r="E2" s="2"/>
      <c r="F2" s="2"/>
      <c r="G2" s="2"/>
    </row>
    <row r="3" spans="1:21" ht="18" customHeight="1" x14ac:dyDescent="0.2">
      <c r="A3" s="106" t="s">
        <v>82</v>
      </c>
      <c r="B3" s="106"/>
      <c r="C3" s="106"/>
      <c r="D3" s="106"/>
      <c r="E3" s="106"/>
      <c r="F3" s="106"/>
      <c r="G3" s="106"/>
      <c r="H3" s="106"/>
      <c r="I3" s="106"/>
      <c r="J3" s="106"/>
      <c r="K3" s="106"/>
      <c r="L3" s="106"/>
      <c r="M3" s="106"/>
      <c r="N3" s="106"/>
      <c r="O3" s="106"/>
      <c r="P3" s="106"/>
      <c r="Q3" s="106"/>
      <c r="R3" s="106"/>
      <c r="S3" s="106"/>
      <c r="T3" s="106"/>
    </row>
    <row r="4" spans="1:21" ht="10.5" customHeight="1" x14ac:dyDescent="0.2">
      <c r="A4" s="22"/>
      <c r="B4" s="22"/>
      <c r="C4" s="22"/>
      <c r="D4" s="22"/>
      <c r="E4" s="22"/>
      <c r="F4" s="22"/>
      <c r="G4" s="22"/>
      <c r="J4" s="4"/>
      <c r="K4" s="4"/>
      <c r="L4" s="4"/>
      <c r="M4" s="4"/>
      <c r="N4" s="4"/>
      <c r="O4" s="4"/>
      <c r="P4" s="4"/>
      <c r="Q4" s="4"/>
    </row>
    <row r="5" spans="1:21" ht="21.75" customHeight="1" x14ac:dyDescent="0.25">
      <c r="A5" s="22"/>
      <c r="B5" s="22"/>
      <c r="C5" s="22"/>
      <c r="D5" s="22"/>
      <c r="E5" s="22"/>
      <c r="G5" s="51"/>
      <c r="H5" s="51"/>
      <c r="I5" s="51"/>
      <c r="J5" s="50"/>
      <c r="K5" s="50"/>
      <c r="L5" s="50"/>
      <c r="M5" s="52"/>
      <c r="N5" s="46"/>
      <c r="O5" s="50"/>
      <c r="P5" s="50"/>
      <c r="Q5" s="41"/>
      <c r="R5" s="47"/>
      <c r="S5" s="50"/>
      <c r="T5" s="41"/>
      <c r="U5" s="46"/>
    </row>
    <row r="6" spans="1:21" ht="21" customHeight="1" x14ac:dyDescent="0.25">
      <c r="F6" s="54" t="s">
        <v>39</v>
      </c>
      <c r="G6" s="48"/>
      <c r="H6" s="48"/>
      <c r="I6" s="48"/>
      <c r="J6" s="50"/>
      <c r="K6" s="50"/>
      <c r="L6" s="50"/>
      <c r="M6" s="52"/>
      <c r="N6" s="47"/>
      <c r="O6" s="50"/>
      <c r="P6" s="50"/>
      <c r="Q6" s="53"/>
      <c r="R6" s="47"/>
      <c r="S6" s="50"/>
      <c r="T6" s="98">
        <f>G14*POWER(1+G18,15)</f>
        <v>90047.175275345842</v>
      </c>
      <c r="U6" s="99">
        <f>G15*POWER(1+G19,15)</f>
        <v>112608.57165900641</v>
      </c>
    </row>
    <row r="7" spans="1:21" ht="24" customHeight="1" x14ac:dyDescent="0.2">
      <c r="A7" s="107" t="s">
        <v>25</v>
      </c>
      <c r="B7" s="107"/>
      <c r="F7" s="56" t="s">
        <v>40</v>
      </c>
      <c r="G7" s="63">
        <v>44197</v>
      </c>
      <c r="I7" s="89"/>
    </row>
    <row r="8" spans="1:21" ht="40.5" customHeight="1" x14ac:dyDescent="0.2">
      <c r="A8" s="36" t="s">
        <v>3</v>
      </c>
      <c r="B8" s="36" t="s">
        <v>4</v>
      </c>
      <c r="C8" s="36" t="s">
        <v>5</v>
      </c>
      <c r="D8" s="36" t="s">
        <v>6</v>
      </c>
      <c r="F8" s="55" t="s">
        <v>41</v>
      </c>
      <c r="G8" s="61">
        <v>21551</v>
      </c>
      <c r="H8" s="41"/>
      <c r="I8" s="43"/>
      <c r="J8" s="42" t="s">
        <v>59</v>
      </c>
      <c r="K8" s="42" t="s">
        <v>60</v>
      </c>
      <c r="L8" s="42" t="s">
        <v>61</v>
      </c>
      <c r="M8" s="42" t="s">
        <v>65</v>
      </c>
      <c r="N8" s="42" t="s">
        <v>62</v>
      </c>
      <c r="O8" s="42" t="s">
        <v>63</v>
      </c>
      <c r="P8" s="42" t="s">
        <v>38</v>
      </c>
      <c r="Q8" s="42" t="s">
        <v>64</v>
      </c>
      <c r="R8" s="42" t="s">
        <v>11</v>
      </c>
      <c r="S8" s="42" t="s">
        <v>69</v>
      </c>
      <c r="T8" s="42" t="s">
        <v>83</v>
      </c>
      <c r="U8" s="42" t="s">
        <v>84</v>
      </c>
    </row>
    <row r="9" spans="1:21" x14ac:dyDescent="0.2">
      <c r="A9" s="7">
        <v>1.01</v>
      </c>
      <c r="B9" s="7">
        <v>1.25</v>
      </c>
      <c r="C9" s="7">
        <v>80</v>
      </c>
      <c r="D9" s="7">
        <v>0.56299999999999994</v>
      </c>
      <c r="F9" s="57" t="s">
        <v>42</v>
      </c>
      <c r="G9" s="63">
        <v>44197</v>
      </c>
      <c r="H9" s="47"/>
      <c r="I9" s="47"/>
      <c r="J9" s="75">
        <v>62</v>
      </c>
      <c r="K9" s="76">
        <f>G7</f>
        <v>44197</v>
      </c>
      <c r="L9" s="77">
        <f>K9</f>
        <v>44197</v>
      </c>
      <c r="M9" s="78">
        <v>0</v>
      </c>
      <c r="N9" s="78">
        <v>0</v>
      </c>
      <c r="O9" s="78">
        <v>0</v>
      </c>
      <c r="P9" s="79">
        <f>G14/30</f>
        <v>1666.6666666666667</v>
      </c>
      <c r="Q9" s="79">
        <f>G15/30</f>
        <v>2240.5000000000005</v>
      </c>
      <c r="R9" s="79">
        <f>MIN(Q9,P9)*7*O9</f>
        <v>0</v>
      </c>
      <c r="S9" s="79">
        <f>H22*G16</f>
        <v>44655.098029049834</v>
      </c>
      <c r="T9" s="79">
        <f>P9*30</f>
        <v>50000</v>
      </c>
      <c r="U9" s="14">
        <f>R9*30</f>
        <v>0</v>
      </c>
    </row>
    <row r="10" spans="1:21" x14ac:dyDescent="0.2">
      <c r="A10" s="7">
        <v>1.26</v>
      </c>
      <c r="B10" s="7">
        <v>1.5</v>
      </c>
      <c r="C10" s="7">
        <v>77.11</v>
      </c>
      <c r="D10" s="7">
        <v>0.81399999999999995</v>
      </c>
      <c r="F10" s="57" t="s">
        <v>43</v>
      </c>
      <c r="G10" s="67">
        <v>29221</v>
      </c>
      <c r="H10" s="96">
        <f>INT((G9-G10)/365)</f>
        <v>41</v>
      </c>
      <c r="I10" s="62"/>
      <c r="J10" s="80">
        <v>61</v>
      </c>
      <c r="K10" s="76">
        <f>K9-366</f>
        <v>43831</v>
      </c>
      <c r="L10" s="81">
        <f>EOMONTH(K10,0)</f>
        <v>43861</v>
      </c>
      <c r="M10" s="82">
        <v>52</v>
      </c>
      <c r="N10" s="82">
        <f>SUM($M$10:M10)</f>
        <v>52</v>
      </c>
      <c r="O10" s="82">
        <v>52</v>
      </c>
      <c r="P10" s="79">
        <f>P9/(1+$G$18)</f>
        <v>1602.5641025641025</v>
      </c>
      <c r="Q10" s="79">
        <f>Q9/(1+$G$18)</f>
        <v>2154.3269230769233</v>
      </c>
      <c r="R10" s="79">
        <f>MIN(Q10,P10)*7*O10</f>
        <v>583333.33333333337</v>
      </c>
      <c r="S10" s="102"/>
      <c r="T10" s="79">
        <f t="shared" ref="T10:T14" si="0">P10*30</f>
        <v>48076.923076923078</v>
      </c>
      <c r="U10" s="14">
        <f t="shared" ref="U10:U14" si="1">R10*30</f>
        <v>17500000</v>
      </c>
    </row>
    <row r="11" spans="1:21" x14ac:dyDescent="0.2">
      <c r="A11" s="7">
        <v>1.51</v>
      </c>
      <c r="B11" s="7">
        <v>1.75</v>
      </c>
      <c r="C11" s="7">
        <v>58.18</v>
      </c>
      <c r="D11" s="7">
        <v>1.1779999999999999</v>
      </c>
      <c r="F11" s="57" t="s">
        <v>44</v>
      </c>
      <c r="G11" s="62">
        <f>INT((G7-G8)/365)</f>
        <v>62</v>
      </c>
      <c r="H11" s="48"/>
      <c r="I11" s="48"/>
      <c r="J11" s="75">
        <v>60</v>
      </c>
      <c r="K11" s="76">
        <f>K10-365</f>
        <v>43466</v>
      </c>
      <c r="L11" s="81">
        <f t="shared" ref="L11:L14" si="2">EOMONTH(K11,0)</f>
        <v>43496</v>
      </c>
      <c r="M11" s="82">
        <v>52</v>
      </c>
      <c r="N11" s="82">
        <f>SUM($M$10:M11)</f>
        <v>104</v>
      </c>
      <c r="O11" s="82">
        <v>52</v>
      </c>
      <c r="P11" s="79">
        <f t="shared" ref="P11:P14" si="3">P10/(1+$G$18)</f>
        <v>1540.9270216962525</v>
      </c>
      <c r="Q11" s="79">
        <f t="shared" ref="Q11:Q14" si="4">Q10/(1+$G$18)</f>
        <v>2071.4681952662722</v>
      </c>
      <c r="R11" s="79">
        <f t="shared" ref="R11:R14" si="5">MIN(Q11,P11)*7*O11</f>
        <v>560897.43589743588</v>
      </c>
      <c r="S11" s="103"/>
      <c r="T11" s="79">
        <f t="shared" si="0"/>
        <v>46227.810650887572</v>
      </c>
      <c r="U11" s="14">
        <f t="shared" si="1"/>
        <v>16826923.076923076</v>
      </c>
    </row>
    <row r="12" spans="1:21" x14ac:dyDescent="0.2">
      <c r="A12" s="7">
        <v>1.76</v>
      </c>
      <c r="B12" s="7">
        <v>2</v>
      </c>
      <c r="C12" s="7">
        <v>49.23</v>
      </c>
      <c r="D12" s="7">
        <v>1.43</v>
      </c>
      <c r="F12" s="57" t="s">
        <v>45</v>
      </c>
      <c r="G12" s="66">
        <v>62</v>
      </c>
      <c r="H12" s="48"/>
      <c r="I12" s="48"/>
      <c r="J12" s="80">
        <v>59</v>
      </c>
      <c r="K12" s="76">
        <f t="shared" ref="K12:K14" si="6">K11-365</f>
        <v>43101</v>
      </c>
      <c r="L12" s="81">
        <f t="shared" si="2"/>
        <v>43131</v>
      </c>
      <c r="M12" s="82">
        <v>52</v>
      </c>
      <c r="N12" s="82">
        <f>SUM($M$10:M12)</f>
        <v>156</v>
      </c>
      <c r="O12" s="82">
        <v>52</v>
      </c>
      <c r="P12" s="79">
        <f t="shared" si="3"/>
        <v>1481.6605977848581</v>
      </c>
      <c r="Q12" s="79">
        <f t="shared" si="4"/>
        <v>1991.7963416021848</v>
      </c>
      <c r="R12" s="79">
        <f t="shared" si="5"/>
        <v>539324.45759368839</v>
      </c>
      <c r="S12" s="103"/>
      <c r="T12" s="79">
        <f t="shared" si="0"/>
        <v>44449.817933545739</v>
      </c>
      <c r="U12" s="14">
        <f t="shared" si="1"/>
        <v>16179733.727810651</v>
      </c>
    </row>
    <row r="13" spans="1:21" x14ac:dyDescent="0.2">
      <c r="A13" s="7">
        <v>2.0099999999999998</v>
      </c>
      <c r="B13" s="7">
        <v>2.25</v>
      </c>
      <c r="C13" s="7">
        <v>42.67</v>
      </c>
      <c r="D13" s="7">
        <v>1.615</v>
      </c>
      <c r="F13" s="57" t="s">
        <v>46</v>
      </c>
      <c r="G13" s="62">
        <f>ROUND((G9-G10)/365.25,2)*52</f>
        <v>2132</v>
      </c>
      <c r="H13" s="48"/>
      <c r="I13" s="48"/>
      <c r="J13" s="75">
        <v>58</v>
      </c>
      <c r="K13" s="76">
        <f t="shared" si="6"/>
        <v>42736</v>
      </c>
      <c r="L13" s="81">
        <f t="shared" si="2"/>
        <v>42766</v>
      </c>
      <c r="M13" s="82">
        <v>52</v>
      </c>
      <c r="N13" s="82">
        <f>SUM($M$10:M13)</f>
        <v>208</v>
      </c>
      <c r="O13" s="82">
        <v>52</v>
      </c>
      <c r="P13" s="79">
        <f t="shared" si="3"/>
        <v>1424.6736517162096</v>
      </c>
      <c r="Q13" s="79">
        <f t="shared" si="4"/>
        <v>1915.1887900021006</v>
      </c>
      <c r="R13" s="79">
        <f t="shared" si="5"/>
        <v>518581.20922470029</v>
      </c>
      <c r="S13" s="103"/>
      <c r="T13" s="79">
        <f t="shared" si="0"/>
        <v>42740.209551486289</v>
      </c>
      <c r="U13" s="14">
        <f t="shared" si="1"/>
        <v>15557436.276741009</v>
      </c>
    </row>
    <row r="14" spans="1:21" x14ac:dyDescent="0.2">
      <c r="A14" s="7">
        <v>2.2599999999999998</v>
      </c>
      <c r="B14" s="7">
        <v>2.5</v>
      </c>
      <c r="C14" s="7">
        <v>37.65</v>
      </c>
      <c r="D14" s="7">
        <v>1.756</v>
      </c>
      <c r="F14" s="57" t="s">
        <v>11</v>
      </c>
      <c r="G14" s="46">
        <v>50000</v>
      </c>
      <c r="H14" s="48"/>
      <c r="I14" s="48"/>
      <c r="J14" s="80">
        <v>57</v>
      </c>
      <c r="K14" s="76">
        <f t="shared" si="6"/>
        <v>42371</v>
      </c>
      <c r="L14" s="81">
        <f t="shared" si="2"/>
        <v>42400</v>
      </c>
      <c r="M14" s="82">
        <v>52</v>
      </c>
      <c r="N14" s="82">
        <f>SUM($M$10:M14)</f>
        <v>260</v>
      </c>
      <c r="O14" s="82">
        <v>42</v>
      </c>
      <c r="P14" s="79">
        <f t="shared" si="3"/>
        <v>1369.8785112655862</v>
      </c>
      <c r="Q14" s="79">
        <f t="shared" si="4"/>
        <v>1841.5276826943275</v>
      </c>
      <c r="R14" s="79">
        <f t="shared" si="5"/>
        <v>402744.28231208236</v>
      </c>
      <c r="S14" s="103"/>
      <c r="T14" s="79">
        <f t="shared" si="0"/>
        <v>41096.355337967587</v>
      </c>
      <c r="U14" s="14">
        <f t="shared" si="1"/>
        <v>12082328.469362471</v>
      </c>
    </row>
    <row r="15" spans="1:21" x14ac:dyDescent="0.2">
      <c r="A15" s="7">
        <v>2.5099999999999998</v>
      </c>
      <c r="B15" s="7">
        <v>2.75</v>
      </c>
      <c r="C15" s="7">
        <v>33.68</v>
      </c>
      <c r="D15" s="7">
        <v>1.8680000000000001</v>
      </c>
      <c r="F15" s="57" t="s">
        <v>58</v>
      </c>
      <c r="G15" s="65">
        <f>G16*25</f>
        <v>67215.000000000015</v>
      </c>
      <c r="H15" s="19"/>
      <c r="I15" s="48"/>
      <c r="M15" s="50"/>
      <c r="O15" s="84">
        <f>SUM(O9:O14)</f>
        <v>250</v>
      </c>
      <c r="P15" s="85">
        <f>SUM(P9:P14)</f>
        <v>9086.3705516936752</v>
      </c>
      <c r="Q15" s="85">
        <f>SUM(Q9:Q14)</f>
        <v>12214.80793264181</v>
      </c>
      <c r="R15" s="85">
        <f>SUM(R9:R14)</f>
        <v>2604880.7183612408</v>
      </c>
      <c r="S15" s="104"/>
      <c r="T15" s="85">
        <f t="shared" ref="T15:U15" si="7">SUM(T9:T14)</f>
        <v>272591.11655081023</v>
      </c>
      <c r="U15" s="85">
        <f t="shared" si="7"/>
        <v>78146421.550837204</v>
      </c>
    </row>
    <row r="16" spans="1:21" x14ac:dyDescent="0.2">
      <c r="A16" s="7">
        <v>2.76</v>
      </c>
      <c r="B16" s="7">
        <v>3</v>
      </c>
      <c r="C16" s="7">
        <v>30.48</v>
      </c>
      <c r="D16" s="7">
        <v>1.958</v>
      </c>
      <c r="F16" s="57" t="s">
        <v>9</v>
      </c>
      <c r="G16" s="24">
        <f>B44*30</f>
        <v>2688.6000000000004</v>
      </c>
      <c r="H16" s="19"/>
      <c r="I16" s="48"/>
      <c r="J16" s="25"/>
      <c r="K16" s="19"/>
    </row>
    <row r="17" spans="1:18" x14ac:dyDescent="0.2">
      <c r="A17" s="7">
        <v>3.01</v>
      </c>
      <c r="B17" s="7">
        <v>3.25</v>
      </c>
      <c r="C17" s="7">
        <v>27.83</v>
      </c>
      <c r="D17" s="7">
        <v>2.0329999999999999</v>
      </c>
      <c r="F17" s="58" t="s">
        <v>10</v>
      </c>
      <c r="G17" s="24">
        <f>B45*30</f>
        <v>4251</v>
      </c>
      <c r="H17" s="19"/>
      <c r="I17" s="48"/>
      <c r="J17" s="25"/>
      <c r="K17" s="19"/>
    </row>
    <row r="18" spans="1:18" ht="22.5" customHeight="1" x14ac:dyDescent="0.2">
      <c r="A18" s="7">
        <v>3.26</v>
      </c>
      <c r="B18" s="7">
        <v>3.5</v>
      </c>
      <c r="C18" s="7">
        <v>25.6</v>
      </c>
      <c r="D18" s="7">
        <v>2.0960000000000001</v>
      </c>
      <c r="F18" s="58" t="s">
        <v>47</v>
      </c>
      <c r="G18" s="64">
        <v>0.04</v>
      </c>
      <c r="H18" s="19"/>
      <c r="I18" s="48"/>
      <c r="J18" s="25"/>
      <c r="K18" s="19"/>
      <c r="O18" s="100" t="s">
        <v>68</v>
      </c>
      <c r="P18" s="100"/>
      <c r="Q18" s="101"/>
      <c r="R18" s="83">
        <f>R15/(250*7)</f>
        <v>1488.5032676349947</v>
      </c>
    </row>
    <row r="19" spans="1:18" x14ac:dyDescent="0.2">
      <c r="A19" s="44">
        <v>3.51</v>
      </c>
      <c r="B19" s="44">
        <v>3.75</v>
      </c>
      <c r="C19" s="44">
        <v>23.7</v>
      </c>
      <c r="D19" s="44">
        <v>2.149</v>
      </c>
      <c r="F19" s="58" t="s">
        <v>48</v>
      </c>
      <c r="G19" s="64">
        <v>3.5000000000000003E-2</v>
      </c>
      <c r="H19" s="19"/>
      <c r="I19" s="48"/>
      <c r="J19" s="25"/>
      <c r="K19" s="19"/>
    </row>
    <row r="20" spans="1:18" x14ac:dyDescent="0.2">
      <c r="A20" s="7">
        <v>3.75</v>
      </c>
      <c r="B20" s="7">
        <v>4</v>
      </c>
      <c r="C20" s="7">
        <v>22.07</v>
      </c>
      <c r="D20" s="7">
        <v>2.1949999999999998</v>
      </c>
      <c r="F20" s="58"/>
      <c r="G20" s="18"/>
      <c r="H20" s="18"/>
      <c r="I20" s="50"/>
      <c r="J20" s="18"/>
      <c r="K20" s="18"/>
    </row>
    <row r="21" spans="1:18" ht="15.75" x14ac:dyDescent="0.2">
      <c r="A21" s="7">
        <v>4.01</v>
      </c>
      <c r="B21" s="7">
        <v>4.25</v>
      </c>
      <c r="C21" s="7">
        <v>20.65</v>
      </c>
      <c r="D21" s="7">
        <v>2.2349999999999999</v>
      </c>
      <c r="F21" s="59" t="s">
        <v>49</v>
      </c>
      <c r="I21" s="89"/>
    </row>
    <row r="22" spans="1:18" x14ac:dyDescent="0.2">
      <c r="A22" s="7">
        <v>4.26</v>
      </c>
      <c r="B22" s="7">
        <v>4.5</v>
      </c>
      <c r="C22" s="7">
        <v>19.39</v>
      </c>
      <c r="D22" s="7">
        <v>2.2709999999999999</v>
      </c>
      <c r="F22" s="57" t="s">
        <v>50</v>
      </c>
      <c r="G22" s="65">
        <f>R18*30</f>
        <v>44655.098029049841</v>
      </c>
      <c r="H22" s="97">
        <f>G22/G16</f>
        <v>16.609052305679473</v>
      </c>
      <c r="I22" s="90"/>
    </row>
    <row r="23" spans="1:18" x14ac:dyDescent="0.2">
      <c r="A23" s="7">
        <v>4.51</v>
      </c>
      <c r="B23" s="7">
        <v>4.75</v>
      </c>
      <c r="C23" s="7">
        <v>18.29</v>
      </c>
      <c r="D23" s="7">
        <v>2.302</v>
      </c>
      <c r="F23" s="57" t="s">
        <v>51</v>
      </c>
      <c r="G23" s="68">
        <f>C30/100</f>
        <v>0.13</v>
      </c>
      <c r="I23" s="89"/>
    </row>
    <row r="24" spans="1:18" x14ac:dyDescent="0.2">
      <c r="A24" s="7">
        <v>4.76</v>
      </c>
      <c r="B24" s="7">
        <v>5</v>
      </c>
      <c r="C24" s="7">
        <v>17.3</v>
      </c>
      <c r="D24" s="7">
        <v>2.33</v>
      </c>
      <c r="F24" s="57" t="s">
        <v>52</v>
      </c>
      <c r="G24" s="69">
        <f>D30/100</f>
        <v>2.4500000000000001E-2</v>
      </c>
      <c r="I24" s="89"/>
    </row>
    <row r="25" spans="1:18" x14ac:dyDescent="0.2">
      <c r="A25" s="7">
        <v>5.01</v>
      </c>
      <c r="B25" s="7">
        <v>5.25</v>
      </c>
      <c r="C25" s="7">
        <v>16.41</v>
      </c>
      <c r="D25" s="7">
        <v>2.355</v>
      </c>
      <c r="I25" s="89"/>
    </row>
    <row r="26" spans="1:18" ht="15.75" x14ac:dyDescent="0.2">
      <c r="A26" s="7">
        <v>5.26</v>
      </c>
      <c r="B26" s="7">
        <v>5.5</v>
      </c>
      <c r="C26" s="7">
        <v>15.61</v>
      </c>
      <c r="D26" s="7">
        <v>2.3769999999999998</v>
      </c>
      <c r="F26" s="60" t="s">
        <v>53</v>
      </c>
      <c r="I26" s="89"/>
    </row>
    <row r="27" spans="1:18" x14ac:dyDescent="0.2">
      <c r="A27" s="7">
        <v>5.51</v>
      </c>
      <c r="B27" s="7">
        <v>5.75</v>
      </c>
      <c r="C27" s="7">
        <v>14.88</v>
      </c>
      <c r="D27" s="7">
        <v>2.3980000000000001</v>
      </c>
      <c r="F27" s="57" t="s">
        <v>54</v>
      </c>
      <c r="G27" s="65">
        <f>G22*G23</f>
        <v>5805.1627437764791</v>
      </c>
      <c r="I27" s="89"/>
    </row>
    <row r="28" spans="1:18" ht="21.75" customHeight="1" x14ac:dyDescent="0.2">
      <c r="A28" s="7">
        <v>5.76</v>
      </c>
      <c r="B28" s="7">
        <v>6</v>
      </c>
      <c r="C28" s="7">
        <v>14.22</v>
      </c>
      <c r="D28" s="7">
        <v>2.4159999999999999</v>
      </c>
      <c r="F28" s="57" t="s">
        <v>55</v>
      </c>
      <c r="G28" s="65">
        <f>G22*G24*K30</f>
        <v>34462.571903919212</v>
      </c>
      <c r="I28" s="89"/>
      <c r="J28" s="42" t="s">
        <v>66</v>
      </c>
      <c r="K28" s="13">
        <f>G13-500</f>
        <v>1632</v>
      </c>
      <c r="L28" s="13"/>
    </row>
    <row r="29" spans="1:18" ht="21" customHeight="1" x14ac:dyDescent="0.2">
      <c r="A29" s="7">
        <v>6.01</v>
      </c>
      <c r="B29" s="37" t="s">
        <v>7</v>
      </c>
      <c r="C29" s="7">
        <v>13.62</v>
      </c>
      <c r="D29" s="7">
        <v>2.4329999999999998</v>
      </c>
      <c r="F29" s="57" t="s">
        <v>56</v>
      </c>
      <c r="G29" s="87">
        <f>SUM(G27:G28)</f>
        <v>40267.734647695688</v>
      </c>
      <c r="I29" s="89"/>
      <c r="J29" s="42" t="s">
        <v>67</v>
      </c>
      <c r="K29" s="13">
        <f>K28/52</f>
        <v>31.384615384615383</v>
      </c>
      <c r="L29" s="13">
        <f>MOD(K28,52)</f>
        <v>20</v>
      </c>
    </row>
    <row r="30" spans="1:18" x14ac:dyDescent="0.2">
      <c r="A30" s="108" t="s">
        <v>8</v>
      </c>
      <c r="B30" s="108"/>
      <c r="C30" s="45">
        <v>13</v>
      </c>
      <c r="D30" s="45">
        <v>2.4500000000000002</v>
      </c>
      <c r="I30" s="89"/>
      <c r="K30" s="13">
        <v>31.5</v>
      </c>
    </row>
    <row r="31" spans="1:18" x14ac:dyDescent="0.2">
      <c r="A31" s="20"/>
      <c r="B31" s="20"/>
      <c r="C31" s="21"/>
      <c r="D31" s="21"/>
      <c r="I31" s="89"/>
    </row>
    <row r="32" spans="1:18" ht="15.75" x14ac:dyDescent="0.25">
      <c r="A32" s="20"/>
      <c r="B32" s="20"/>
      <c r="C32" s="21"/>
      <c r="D32" s="21"/>
      <c r="F32" s="60" t="s">
        <v>57</v>
      </c>
      <c r="H32" s="86" t="s">
        <v>87</v>
      </c>
      <c r="I32" s="91"/>
    </row>
    <row r="33" spans="1:12" x14ac:dyDescent="0.2">
      <c r="F33" t="s">
        <v>70</v>
      </c>
      <c r="G33" s="72">
        <v>0.15</v>
      </c>
      <c r="H33" s="72">
        <v>0</v>
      </c>
      <c r="I33" s="92"/>
    </row>
    <row r="34" spans="1:12" ht="44.25" customHeight="1" x14ac:dyDescent="0.2">
      <c r="A34" s="36" t="s">
        <v>13</v>
      </c>
      <c r="B34" s="36" t="s">
        <v>29</v>
      </c>
      <c r="C34" s="36" t="s">
        <v>35</v>
      </c>
      <c r="D34" s="36" t="s">
        <v>36</v>
      </c>
      <c r="F34" s="70" t="s">
        <v>71</v>
      </c>
      <c r="G34" s="71">
        <f>G29*0.15</f>
        <v>6040.1601971543532</v>
      </c>
      <c r="H34" s="71">
        <f>G29</f>
        <v>40267.734647695688</v>
      </c>
      <c r="I34" s="93"/>
    </row>
    <row r="35" spans="1:12" x14ac:dyDescent="0.2">
      <c r="A35" s="7" t="s">
        <v>30</v>
      </c>
      <c r="B35" s="7">
        <v>0.5</v>
      </c>
      <c r="C35" s="7">
        <v>60</v>
      </c>
      <c r="D35" s="7">
        <v>0.75</v>
      </c>
      <c r="F35" t="s">
        <v>72</v>
      </c>
      <c r="G35" s="88">
        <f>G29-G34</f>
        <v>34227.574450541331</v>
      </c>
      <c r="H35" s="87">
        <f>H34</f>
        <v>40267.734647695688</v>
      </c>
      <c r="I35" s="49"/>
    </row>
    <row r="36" spans="1:12" x14ac:dyDescent="0.2">
      <c r="A36" s="7" t="s">
        <v>31</v>
      </c>
      <c r="B36" s="7">
        <v>1</v>
      </c>
      <c r="C36" s="7">
        <v>61</v>
      </c>
      <c r="D36" s="7">
        <v>0.8</v>
      </c>
      <c r="I36" s="89"/>
    </row>
    <row r="37" spans="1:12" ht="15.75" x14ac:dyDescent="0.25">
      <c r="C37" s="7">
        <v>62</v>
      </c>
      <c r="D37" s="7">
        <v>0.85</v>
      </c>
      <c r="F37" s="73" t="s">
        <v>73</v>
      </c>
      <c r="I37" s="89"/>
    </row>
    <row r="38" spans="1:12" x14ac:dyDescent="0.2">
      <c r="C38" s="7">
        <v>63</v>
      </c>
      <c r="D38" s="7">
        <v>0.9</v>
      </c>
      <c r="F38" t="s">
        <v>80</v>
      </c>
      <c r="G38" s="65">
        <f>G35*0.15</f>
        <v>5134.1361675811995</v>
      </c>
      <c r="H38" s="65">
        <f>H35*0.15</f>
        <v>6040.1601971543532</v>
      </c>
      <c r="I38" s="94"/>
    </row>
    <row r="39" spans="1:12" x14ac:dyDescent="0.2">
      <c r="C39" s="7">
        <v>64</v>
      </c>
      <c r="D39" s="7">
        <v>0.95</v>
      </c>
      <c r="F39" t="s">
        <v>81</v>
      </c>
      <c r="G39" s="87">
        <f>G35+G38</f>
        <v>39361.710618122532</v>
      </c>
      <c r="H39" s="87">
        <f>H35+H38</f>
        <v>46307.894844850045</v>
      </c>
      <c r="I39" s="49"/>
    </row>
    <row r="40" spans="1:12" x14ac:dyDescent="0.2">
      <c r="C40" s="7">
        <v>65</v>
      </c>
      <c r="D40" s="7">
        <v>1</v>
      </c>
      <c r="I40" s="89"/>
    </row>
    <row r="41" spans="1:12" ht="15.75" x14ac:dyDescent="0.25">
      <c r="F41" s="73" t="s">
        <v>74</v>
      </c>
      <c r="I41" s="89"/>
    </row>
    <row r="42" spans="1:12" x14ac:dyDescent="0.2">
      <c r="F42" t="s">
        <v>75</v>
      </c>
      <c r="G42" s="65">
        <f>G22</f>
        <v>44655.098029049841</v>
      </c>
      <c r="H42" s="65">
        <f>G22</f>
        <v>44655.098029049841</v>
      </c>
      <c r="I42" s="94"/>
    </row>
    <row r="43" spans="1:12" x14ac:dyDescent="0.2">
      <c r="A43" s="100" t="s">
        <v>9</v>
      </c>
      <c r="B43" s="17">
        <v>44197</v>
      </c>
      <c r="C43" s="17">
        <v>43831</v>
      </c>
      <c r="F43" t="s">
        <v>76</v>
      </c>
      <c r="G43" s="65">
        <f>G17</f>
        <v>4251</v>
      </c>
      <c r="H43" s="65">
        <f>G17</f>
        <v>4251</v>
      </c>
      <c r="I43" s="94"/>
    </row>
    <row r="44" spans="1:12" x14ac:dyDescent="0.2">
      <c r="A44" s="100"/>
      <c r="B44" s="13">
        <v>89.62</v>
      </c>
      <c r="C44" s="13">
        <v>86.88</v>
      </c>
      <c r="F44" t="s">
        <v>77</v>
      </c>
      <c r="G44" s="87">
        <f>G39</f>
        <v>39361.710618122532</v>
      </c>
      <c r="H44" s="87">
        <f>H42</f>
        <v>44655.098029049841</v>
      </c>
      <c r="I44" s="49"/>
    </row>
    <row r="45" spans="1:12" ht="24.75" customHeight="1" x14ac:dyDescent="0.25">
      <c r="A45" s="40" t="s">
        <v>10</v>
      </c>
      <c r="B45" s="26">
        <v>141.69999999999999</v>
      </c>
      <c r="C45" s="74"/>
      <c r="I45" s="89"/>
      <c r="K45" s="100" t="s">
        <v>85</v>
      </c>
      <c r="L45" s="100"/>
    </row>
    <row r="46" spans="1:12" ht="15.75" x14ac:dyDescent="0.25">
      <c r="F46" s="73" t="s">
        <v>78</v>
      </c>
      <c r="I46" s="89"/>
      <c r="K46" s="42" t="s">
        <v>19</v>
      </c>
      <c r="L46" s="42" t="s">
        <v>86</v>
      </c>
    </row>
    <row r="47" spans="1:12" x14ac:dyDescent="0.2">
      <c r="F47" t="s">
        <v>79</v>
      </c>
      <c r="G47" s="95">
        <f>G44*1.11</f>
        <v>43691.498786116012</v>
      </c>
      <c r="H47" s="95">
        <f>H44*1.11</f>
        <v>49567.158812245325</v>
      </c>
      <c r="I47" s="94"/>
      <c r="K47" s="26">
        <f>H35*0.9*1.11</f>
        <v>40227.466913047996</v>
      </c>
      <c r="L47" s="26">
        <f>H35*0.1*1.11</f>
        <v>4469.7185458942222</v>
      </c>
    </row>
    <row r="48" spans="1:12" x14ac:dyDescent="0.2">
      <c r="I48" s="89"/>
      <c r="K48" s="26">
        <f>G35*0.9*1.1</f>
        <v>33885.298706035923</v>
      </c>
      <c r="L48" s="26">
        <f>G35*0.1*1.11</f>
        <v>3799.2607640100882</v>
      </c>
    </row>
    <row r="49" spans="9:12" x14ac:dyDescent="0.2">
      <c r="I49" s="89"/>
      <c r="K49" s="26">
        <f>G47*0.9</f>
        <v>39322.348907504413</v>
      </c>
      <c r="L49" s="26">
        <f>G47*0.1</f>
        <v>4369.1498786116017</v>
      </c>
    </row>
    <row r="50" spans="9:12" x14ac:dyDescent="0.2">
      <c r="I50" s="89"/>
    </row>
    <row r="51" spans="9:12" x14ac:dyDescent="0.2">
      <c r="I51" s="89"/>
    </row>
    <row r="52" spans="9:12" x14ac:dyDescent="0.2">
      <c r="I52" s="89"/>
    </row>
    <row r="53" spans="9:12" x14ac:dyDescent="0.2">
      <c r="I53" s="89"/>
    </row>
    <row r="54" spans="9:12" x14ac:dyDescent="0.2">
      <c r="I54" s="89"/>
    </row>
    <row r="55" spans="9:12" x14ac:dyDescent="0.2">
      <c r="I55" s="89"/>
    </row>
    <row r="56" spans="9:12" x14ac:dyDescent="0.2">
      <c r="I56" s="89"/>
    </row>
    <row r="57" spans="9:12" x14ac:dyDescent="0.2">
      <c r="I57" s="89"/>
    </row>
  </sheetData>
  <mergeCells count="8">
    <mergeCell ref="K45:L45"/>
    <mergeCell ref="O18:Q18"/>
    <mergeCell ref="S10:S15"/>
    <mergeCell ref="A43:A44"/>
    <mergeCell ref="A1:T1"/>
    <mergeCell ref="A3:T3"/>
    <mergeCell ref="A7:B7"/>
    <mergeCell ref="A30:B3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8DD90-F145-4251-9059-C8DAFB8C3D47}">
  <dimension ref="A1:S40"/>
  <sheetViews>
    <sheetView showGridLines="0" zoomScale="70" zoomScaleNormal="70" workbookViewId="0">
      <selection activeCell="H9" sqref="H9"/>
    </sheetView>
  </sheetViews>
  <sheetFormatPr baseColWidth="10" defaultRowHeight="15" x14ac:dyDescent="0.2"/>
  <cols>
    <col min="1" max="1" width="12.109375" customWidth="1"/>
    <col min="2" max="2" width="10.5546875" customWidth="1"/>
    <col min="3" max="3" width="14.33203125" customWidth="1"/>
    <col min="4" max="4" width="13" customWidth="1"/>
    <col min="9" max="9" width="13" customWidth="1"/>
    <col min="11" max="11" width="14.33203125" customWidth="1"/>
    <col min="13" max="13" width="13.44140625" bestFit="1" customWidth="1"/>
    <col min="15" max="15" width="12" bestFit="1" customWidth="1"/>
    <col min="16" max="16" width="18.109375" customWidth="1"/>
  </cols>
  <sheetData>
    <row r="1" spans="1:19" ht="15.75" x14ac:dyDescent="0.25">
      <c r="A1" s="105" t="s">
        <v>0</v>
      </c>
      <c r="B1" s="105"/>
      <c r="C1" s="105"/>
      <c r="D1" s="105"/>
      <c r="E1" s="105"/>
      <c r="F1" s="105"/>
      <c r="G1" s="105"/>
      <c r="H1" s="105"/>
      <c r="I1" s="105"/>
      <c r="J1" s="105"/>
      <c r="K1" s="105"/>
      <c r="L1" s="105"/>
      <c r="M1" s="105"/>
      <c r="N1" s="105"/>
      <c r="O1" s="105"/>
      <c r="P1" s="105"/>
      <c r="Q1" s="105"/>
      <c r="R1" s="105"/>
      <c r="S1" s="105"/>
    </row>
    <row r="2" spans="1:19" s="3" customFormat="1" ht="7.5" customHeight="1" x14ac:dyDescent="0.2">
      <c r="A2" s="2"/>
      <c r="B2" s="2"/>
      <c r="C2" s="2"/>
      <c r="D2" s="2"/>
      <c r="E2" s="2"/>
      <c r="F2" s="2"/>
      <c r="G2" s="2"/>
    </row>
    <row r="3" spans="1:19" ht="18" customHeight="1" x14ac:dyDescent="0.2">
      <c r="A3" s="106" t="s">
        <v>28</v>
      </c>
      <c r="B3" s="106"/>
      <c r="C3" s="106"/>
      <c r="D3" s="106"/>
      <c r="E3" s="106"/>
      <c r="F3" s="106"/>
      <c r="G3" s="106"/>
      <c r="H3" s="106"/>
      <c r="I3" s="106"/>
      <c r="J3" s="106"/>
      <c r="K3" s="106"/>
      <c r="L3" s="106"/>
      <c r="M3" s="106"/>
      <c r="N3" s="106"/>
      <c r="O3" s="106"/>
      <c r="P3" s="106"/>
      <c r="Q3" s="106"/>
      <c r="R3" s="106"/>
      <c r="S3" s="106"/>
    </row>
    <row r="4" spans="1:19" ht="10.5" customHeight="1" x14ac:dyDescent="0.2">
      <c r="A4" s="22"/>
      <c r="B4" s="22"/>
      <c r="C4" s="22"/>
      <c r="D4" s="22"/>
      <c r="E4" s="22"/>
      <c r="F4" s="22"/>
      <c r="G4" s="22"/>
      <c r="I4" s="4"/>
      <c r="J4" s="4"/>
      <c r="K4" s="4"/>
      <c r="L4" s="4"/>
      <c r="M4" s="4"/>
      <c r="N4" s="4"/>
      <c r="O4" s="4"/>
      <c r="P4" s="4"/>
    </row>
    <row r="5" spans="1:19" ht="36.75" customHeight="1" x14ac:dyDescent="0.25">
      <c r="A5" s="22"/>
      <c r="B5" s="22"/>
      <c r="C5" s="22"/>
      <c r="D5" s="22"/>
      <c r="E5" s="22"/>
      <c r="F5" s="100" t="s">
        <v>9</v>
      </c>
      <c r="G5" s="17">
        <v>44197</v>
      </c>
      <c r="H5" s="17">
        <v>43831</v>
      </c>
      <c r="L5" s="1" t="s">
        <v>10</v>
      </c>
      <c r="M5" s="26">
        <v>141.69999999999999</v>
      </c>
      <c r="P5" s="30" t="s">
        <v>34</v>
      </c>
      <c r="Q5" s="39">
        <v>61</v>
      </c>
    </row>
    <row r="6" spans="1:19" ht="19.5" customHeight="1" x14ac:dyDescent="0.25">
      <c r="F6" s="100"/>
      <c r="G6" s="13">
        <v>89.62</v>
      </c>
      <c r="H6" s="13">
        <v>86.88</v>
      </c>
      <c r="L6" s="1" t="s">
        <v>32</v>
      </c>
      <c r="M6" s="39">
        <f>3.74</f>
        <v>3.74</v>
      </c>
      <c r="P6" s="38" t="s">
        <v>37</v>
      </c>
      <c r="Q6" s="39">
        <v>21.32</v>
      </c>
    </row>
    <row r="7" spans="1:19" ht="24" customHeight="1" x14ac:dyDescent="0.2">
      <c r="A7" s="107" t="s">
        <v>25</v>
      </c>
      <c r="B7" s="107"/>
    </row>
    <row r="8" spans="1:19" ht="40.5" customHeight="1" x14ac:dyDescent="0.2">
      <c r="A8" s="6" t="s">
        <v>3</v>
      </c>
      <c r="B8" s="6" t="s">
        <v>4</v>
      </c>
      <c r="C8" s="6" t="s">
        <v>5</v>
      </c>
      <c r="D8" s="6" t="s">
        <v>6</v>
      </c>
      <c r="F8" s="6" t="s">
        <v>12</v>
      </c>
      <c r="G8" s="6" t="s">
        <v>11</v>
      </c>
      <c r="H8" s="6" t="s">
        <v>22</v>
      </c>
      <c r="I8" s="6" t="s">
        <v>23</v>
      </c>
      <c r="J8" s="6" t="s">
        <v>13</v>
      </c>
      <c r="K8" s="6" t="s">
        <v>14</v>
      </c>
      <c r="L8" s="6" t="s">
        <v>15</v>
      </c>
      <c r="M8" s="30"/>
      <c r="N8" s="6" t="s">
        <v>33</v>
      </c>
      <c r="O8" s="6" t="s">
        <v>17</v>
      </c>
      <c r="P8" s="6" t="s">
        <v>18</v>
      </c>
      <c r="Q8" s="6" t="s">
        <v>19</v>
      </c>
      <c r="R8" s="6" t="s">
        <v>20</v>
      </c>
      <c r="S8" s="6" t="s">
        <v>21</v>
      </c>
    </row>
    <row r="9" spans="1:19" x14ac:dyDescent="0.2">
      <c r="A9" s="7">
        <v>1.01</v>
      </c>
      <c r="B9" s="7">
        <v>1.25</v>
      </c>
      <c r="C9" s="7">
        <v>80</v>
      </c>
      <c r="D9" s="7">
        <v>0.56299999999999994</v>
      </c>
      <c r="F9" s="9">
        <v>44197</v>
      </c>
      <c r="G9" s="26">
        <f>M5*M6*30</f>
        <v>15898.74</v>
      </c>
      <c r="H9" s="11">
        <v>1</v>
      </c>
      <c r="I9" s="12">
        <v>1</v>
      </c>
      <c r="J9" s="13">
        <v>0</v>
      </c>
      <c r="K9" s="34">
        <f>G9*I9</f>
        <v>15898.74</v>
      </c>
      <c r="L9" s="35">
        <f>AVERAGE(K9:K14)</f>
        <v>15483.119391403525</v>
      </c>
      <c r="M9" s="35">
        <f>((D19*(INT((Q6-500)/52)))+C19)/100*L9</f>
        <v>342.1769385500175</v>
      </c>
      <c r="N9" s="35">
        <f>M9*I36</f>
        <v>273.74155084001399</v>
      </c>
      <c r="O9" s="35">
        <f>M5*30</f>
        <v>4251</v>
      </c>
      <c r="P9" s="35">
        <f>MAX(O9,N9)</f>
        <v>4251</v>
      </c>
      <c r="Q9" s="35">
        <f>P9*0.15</f>
        <v>637.65</v>
      </c>
      <c r="R9" s="35">
        <f>P9*0.1*3</f>
        <v>1275.3000000000002</v>
      </c>
      <c r="S9" s="35">
        <f>SUM(P9:R9)</f>
        <v>6163.95</v>
      </c>
    </row>
    <row r="10" spans="1:19" x14ac:dyDescent="0.2">
      <c r="A10" s="7">
        <v>1.26</v>
      </c>
      <c r="B10" s="7">
        <v>1.5</v>
      </c>
      <c r="C10" s="7">
        <v>77.11</v>
      </c>
      <c r="D10" s="7">
        <v>0.81399999999999995</v>
      </c>
      <c r="F10" s="9">
        <f>F9-366</f>
        <v>43831</v>
      </c>
      <c r="G10" s="26">
        <f>G9/(1+$F$34)</f>
        <v>15141.657142857142</v>
      </c>
      <c r="H10" s="13">
        <v>1.0315000000000001</v>
      </c>
      <c r="I10" s="15">
        <f>H10*I9</f>
        <v>1.0315000000000001</v>
      </c>
      <c r="J10" s="13">
        <v>52</v>
      </c>
      <c r="K10" s="14">
        <f>G10*I10</f>
        <v>15618.619342857144</v>
      </c>
    </row>
    <row r="11" spans="1:19" x14ac:dyDescent="0.2">
      <c r="A11" s="7">
        <v>1.51</v>
      </c>
      <c r="B11" s="7">
        <v>1.75</v>
      </c>
      <c r="C11" s="7">
        <v>58.18</v>
      </c>
      <c r="D11" s="7">
        <v>1.1779999999999999</v>
      </c>
      <c r="F11" s="9">
        <f>F10-365</f>
        <v>43466</v>
      </c>
      <c r="G11" s="26">
        <f t="shared" ref="G11:G14" si="0">G10/(1+$F$34)</f>
        <v>14420.625850340135</v>
      </c>
      <c r="H11" s="13">
        <v>1.0283</v>
      </c>
      <c r="I11" s="16">
        <f>H11*I10</f>
        <v>1.06069145</v>
      </c>
      <c r="J11" s="13">
        <v>52</v>
      </c>
      <c r="K11" s="14">
        <f t="shared" ref="K11:K14" si="1">G11*I11</f>
        <v>15295.83454310476</v>
      </c>
    </row>
    <row r="12" spans="1:19" x14ac:dyDescent="0.2">
      <c r="A12" s="7">
        <v>1.76</v>
      </c>
      <c r="B12" s="7">
        <v>2</v>
      </c>
      <c r="C12" s="7">
        <v>49.23</v>
      </c>
      <c r="D12" s="7">
        <v>1.43</v>
      </c>
      <c r="F12" s="17">
        <f>F11-365</f>
        <v>43101</v>
      </c>
      <c r="G12" s="26">
        <f t="shared" si="0"/>
        <v>13733.929381276319</v>
      </c>
      <c r="H12" s="13">
        <v>1.0483</v>
      </c>
      <c r="I12" s="16">
        <f t="shared" ref="I12:I14" si="2">H12*I11</f>
        <v>1.111922847035</v>
      </c>
      <c r="J12" s="13">
        <v>52</v>
      </c>
      <c r="K12" s="14">
        <f t="shared" si="1"/>
        <v>15271.069858606401</v>
      </c>
      <c r="P12" s="14">
        <f>0.55*O9</f>
        <v>2338.0500000000002</v>
      </c>
      <c r="Q12" s="14">
        <f>P12*0.15</f>
        <v>350.70750000000004</v>
      </c>
      <c r="R12" s="14">
        <f>P12*0.1*3</f>
        <v>701.41500000000008</v>
      </c>
      <c r="S12" s="14">
        <f>O9</f>
        <v>4251</v>
      </c>
    </row>
    <row r="13" spans="1:19" x14ac:dyDescent="0.2">
      <c r="A13" s="7">
        <v>2.0099999999999998</v>
      </c>
      <c r="B13" s="7">
        <v>2.25</v>
      </c>
      <c r="C13" s="7">
        <v>42.67</v>
      </c>
      <c r="D13" s="7">
        <v>1.615</v>
      </c>
      <c r="F13" s="9">
        <f>F12-365</f>
        <v>42736</v>
      </c>
      <c r="G13" s="26">
        <f t="shared" si="0"/>
        <v>13079.932744072685</v>
      </c>
      <c r="H13" s="13">
        <v>1.0677000000000001</v>
      </c>
      <c r="I13" s="16">
        <f t="shared" si="2"/>
        <v>1.1872000237792697</v>
      </c>
      <c r="J13" s="13">
        <v>52</v>
      </c>
      <c r="K13" s="14">
        <f t="shared" si="1"/>
        <v>15528.49646479434</v>
      </c>
      <c r="Q13" s="35">
        <f>MAX(P9*0.7,O9)</f>
        <v>4251</v>
      </c>
      <c r="R13" s="35">
        <f>P9*0.1*3</f>
        <v>1275.3000000000002</v>
      </c>
      <c r="S13" s="35">
        <f>Q13+R13</f>
        <v>5526.3</v>
      </c>
    </row>
    <row r="14" spans="1:19" x14ac:dyDescent="0.2">
      <c r="A14" s="7">
        <v>2.2599999999999998</v>
      </c>
      <c r="B14" s="7">
        <v>2.5</v>
      </c>
      <c r="C14" s="7">
        <v>37.65</v>
      </c>
      <c r="D14" s="7">
        <v>1.756</v>
      </c>
      <c r="F14" s="9">
        <f>F13-365</f>
        <v>42371</v>
      </c>
      <c r="G14" s="26">
        <f t="shared" si="0"/>
        <v>12457.078803878747</v>
      </c>
      <c r="H14" s="13">
        <v>1.0336000000000001</v>
      </c>
      <c r="I14" s="16">
        <f t="shared" si="2"/>
        <v>1.2270899445782533</v>
      </c>
      <c r="J14" s="28">
        <v>0.42</v>
      </c>
      <c r="K14" s="29">
        <f t="shared" si="1"/>
        <v>15285.956139058504</v>
      </c>
    </row>
    <row r="15" spans="1:19" x14ac:dyDescent="0.2">
      <c r="A15" s="7">
        <v>2.5099999999999998</v>
      </c>
      <c r="B15" s="7">
        <v>2.75</v>
      </c>
      <c r="C15" s="7">
        <v>33.68</v>
      </c>
      <c r="D15" s="7">
        <v>1.8680000000000001</v>
      </c>
      <c r="F15" s="23"/>
      <c r="G15" s="24"/>
      <c r="H15" s="19"/>
      <c r="I15" s="25"/>
      <c r="J15" s="19"/>
    </row>
    <row r="16" spans="1:19" x14ac:dyDescent="0.2">
      <c r="A16" s="7">
        <v>2.76</v>
      </c>
      <c r="B16" s="7">
        <v>3</v>
      </c>
      <c r="C16" s="7">
        <v>30.48</v>
      </c>
      <c r="D16" s="7">
        <v>1.958</v>
      </c>
      <c r="F16" s="23"/>
      <c r="G16" s="24"/>
      <c r="H16" s="19"/>
      <c r="I16" s="25"/>
      <c r="J16" s="19"/>
    </row>
    <row r="17" spans="1:10" x14ac:dyDescent="0.2">
      <c r="A17" s="7">
        <v>3.01</v>
      </c>
      <c r="B17" s="7">
        <v>3.25</v>
      </c>
      <c r="C17" s="7">
        <v>27.83</v>
      </c>
      <c r="D17" s="7">
        <v>2.0329999999999999</v>
      </c>
      <c r="F17" s="23"/>
      <c r="G17" s="24"/>
      <c r="H17" s="19"/>
      <c r="I17" s="25"/>
      <c r="J17" s="19"/>
    </row>
    <row r="18" spans="1:10" x14ac:dyDescent="0.2">
      <c r="A18" s="7">
        <v>3.26</v>
      </c>
      <c r="B18" s="7">
        <v>3.5</v>
      </c>
      <c r="C18" s="7">
        <v>25.6</v>
      </c>
      <c r="D18" s="7">
        <v>2.0960000000000001</v>
      </c>
      <c r="F18" s="23"/>
      <c r="G18" s="24"/>
      <c r="H18" s="19"/>
      <c r="I18" s="25"/>
      <c r="J18" s="19"/>
    </row>
    <row r="19" spans="1:10" x14ac:dyDescent="0.2">
      <c r="A19" s="27">
        <v>3.51</v>
      </c>
      <c r="B19" s="27">
        <v>3.75</v>
      </c>
      <c r="C19" s="27">
        <v>23.7</v>
      </c>
      <c r="D19" s="27">
        <v>2.149</v>
      </c>
      <c r="F19" s="23"/>
      <c r="G19" s="24"/>
      <c r="H19" s="19"/>
      <c r="I19" s="25"/>
      <c r="J19" s="19"/>
    </row>
    <row r="20" spans="1:10" x14ac:dyDescent="0.2">
      <c r="A20" s="7">
        <v>3.75</v>
      </c>
      <c r="B20" s="7">
        <v>4</v>
      </c>
      <c r="C20" s="7">
        <v>22.07</v>
      </c>
      <c r="D20" s="7">
        <v>2.1949999999999998</v>
      </c>
      <c r="F20" s="18"/>
      <c r="G20" s="18"/>
      <c r="H20" s="18"/>
      <c r="I20" s="18"/>
      <c r="J20" s="18"/>
    </row>
    <row r="21" spans="1:10" x14ac:dyDescent="0.2">
      <c r="A21" s="7">
        <v>4.01</v>
      </c>
      <c r="B21" s="7">
        <v>4.25</v>
      </c>
      <c r="C21" s="7">
        <v>20.65</v>
      </c>
      <c r="D21" s="7">
        <v>2.2349999999999999</v>
      </c>
    </row>
    <row r="22" spans="1:10" x14ac:dyDescent="0.2">
      <c r="A22" s="7">
        <v>4.26</v>
      </c>
      <c r="B22" s="7">
        <v>4.5</v>
      </c>
      <c r="C22" s="7">
        <v>19.39</v>
      </c>
      <c r="D22" s="7">
        <v>2.2709999999999999</v>
      </c>
    </row>
    <row r="23" spans="1:10" x14ac:dyDescent="0.2">
      <c r="A23" s="7">
        <v>4.51</v>
      </c>
      <c r="B23" s="7">
        <v>4.75</v>
      </c>
      <c r="C23" s="7">
        <v>18.29</v>
      </c>
      <c r="D23" s="7">
        <v>2.302</v>
      </c>
    </row>
    <row r="24" spans="1:10" x14ac:dyDescent="0.2">
      <c r="A24" s="7">
        <v>4.76</v>
      </c>
      <c r="B24" s="7">
        <v>5</v>
      </c>
      <c r="C24" s="7">
        <v>17.3</v>
      </c>
      <c r="D24" s="7">
        <v>2.33</v>
      </c>
    </row>
    <row r="25" spans="1:10" x14ac:dyDescent="0.2">
      <c r="A25" s="7">
        <v>5.01</v>
      </c>
      <c r="B25" s="7">
        <v>5.25</v>
      </c>
      <c r="C25" s="7">
        <v>16.41</v>
      </c>
      <c r="D25" s="7">
        <v>2.355</v>
      </c>
    </row>
    <row r="26" spans="1:10" x14ac:dyDescent="0.2">
      <c r="A26" s="7">
        <v>5.26</v>
      </c>
      <c r="B26" s="7">
        <v>5.5</v>
      </c>
      <c r="C26" s="7">
        <v>15.61</v>
      </c>
      <c r="D26" s="7">
        <v>2.3769999999999998</v>
      </c>
    </row>
    <row r="27" spans="1:10" x14ac:dyDescent="0.2">
      <c r="A27" s="7">
        <v>5.51</v>
      </c>
      <c r="B27" s="7">
        <v>5.75</v>
      </c>
      <c r="C27" s="7">
        <v>14.88</v>
      </c>
      <c r="D27" s="7">
        <v>2.3980000000000001</v>
      </c>
    </row>
    <row r="28" spans="1:10" x14ac:dyDescent="0.2">
      <c r="A28" s="7">
        <v>5.76</v>
      </c>
      <c r="B28" s="7">
        <v>6</v>
      </c>
      <c r="C28" s="7">
        <v>14.22</v>
      </c>
      <c r="D28" s="7">
        <v>2.4159999999999999</v>
      </c>
    </row>
    <row r="29" spans="1:10" x14ac:dyDescent="0.2">
      <c r="A29" s="7">
        <v>6.01</v>
      </c>
      <c r="B29" s="8" t="s">
        <v>7</v>
      </c>
      <c r="C29" s="7">
        <v>13.62</v>
      </c>
      <c r="D29" s="7">
        <v>2.4329999999999998</v>
      </c>
    </row>
    <row r="30" spans="1:10" x14ac:dyDescent="0.2">
      <c r="A30" s="109" t="s">
        <v>8</v>
      </c>
      <c r="B30" s="109"/>
      <c r="C30" s="7">
        <v>13</v>
      </c>
      <c r="D30" s="7">
        <v>2.4500000000000002</v>
      </c>
    </row>
    <row r="31" spans="1:10" x14ac:dyDescent="0.2">
      <c r="A31" s="20"/>
      <c r="B31" s="20"/>
      <c r="C31" s="21"/>
      <c r="D31" s="21"/>
    </row>
    <row r="32" spans="1:10" x14ac:dyDescent="0.2">
      <c r="A32" s="20"/>
      <c r="B32" s="20"/>
      <c r="C32" s="21"/>
      <c r="D32" s="21"/>
    </row>
    <row r="34" spans="2:9" ht="63" x14ac:dyDescent="0.2">
      <c r="B34" s="6" t="s">
        <v>13</v>
      </c>
      <c r="C34" s="6" t="s">
        <v>29</v>
      </c>
      <c r="E34" s="6" t="s">
        <v>26</v>
      </c>
      <c r="F34" s="11">
        <v>0.05</v>
      </c>
      <c r="H34" s="30" t="s">
        <v>35</v>
      </c>
      <c r="I34" s="30" t="s">
        <v>36</v>
      </c>
    </row>
    <row r="35" spans="2:9" x14ac:dyDescent="0.2">
      <c r="B35" s="7" t="s">
        <v>30</v>
      </c>
      <c r="C35" s="7">
        <v>0.52</v>
      </c>
      <c r="H35" s="7">
        <v>60</v>
      </c>
      <c r="I35" s="7">
        <v>0.75</v>
      </c>
    </row>
    <row r="36" spans="2:9" x14ac:dyDescent="0.2">
      <c r="B36" s="7" t="s">
        <v>31</v>
      </c>
      <c r="C36" s="7">
        <v>1</v>
      </c>
      <c r="H36" s="7">
        <v>61</v>
      </c>
      <c r="I36" s="7">
        <v>0.8</v>
      </c>
    </row>
    <row r="37" spans="2:9" x14ac:dyDescent="0.2">
      <c r="H37" s="7">
        <v>62</v>
      </c>
      <c r="I37" s="7">
        <v>0.85</v>
      </c>
    </row>
    <row r="38" spans="2:9" x14ac:dyDescent="0.2">
      <c r="H38" s="7">
        <v>63</v>
      </c>
      <c r="I38" s="7">
        <v>0.9</v>
      </c>
    </row>
    <row r="39" spans="2:9" x14ac:dyDescent="0.2">
      <c r="H39" s="7">
        <v>64</v>
      </c>
      <c r="I39" s="7">
        <v>0.95</v>
      </c>
    </row>
    <row r="40" spans="2:9" x14ac:dyDescent="0.2">
      <c r="H40" s="7">
        <v>65</v>
      </c>
      <c r="I40" s="7">
        <v>1</v>
      </c>
    </row>
  </sheetData>
  <mergeCells count="5">
    <mergeCell ref="A30:B30"/>
    <mergeCell ref="A1:S1"/>
    <mergeCell ref="A3:S3"/>
    <mergeCell ref="A7:B7"/>
    <mergeCell ref="F5: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FD723-8A11-4517-A7FC-B49F74AA57D0}">
  <dimension ref="A1:M22"/>
  <sheetViews>
    <sheetView showGridLines="0" zoomScale="52" zoomScaleNormal="55" workbookViewId="0">
      <selection activeCell="F19" sqref="F19"/>
    </sheetView>
  </sheetViews>
  <sheetFormatPr baseColWidth="10" defaultRowHeight="15" x14ac:dyDescent="0.2"/>
  <cols>
    <col min="6" max="6" width="13.5546875" customWidth="1"/>
  </cols>
  <sheetData>
    <row r="1" spans="1:13" ht="15.75" x14ac:dyDescent="0.25">
      <c r="A1" s="105" t="s">
        <v>1</v>
      </c>
      <c r="B1" s="105"/>
      <c r="C1" s="105"/>
      <c r="D1" s="105"/>
      <c r="E1" s="105"/>
      <c r="F1" s="105"/>
      <c r="G1" s="105"/>
      <c r="H1" s="105"/>
      <c r="I1" s="105"/>
      <c r="J1" s="105"/>
      <c r="K1" s="105"/>
      <c r="L1" s="105"/>
      <c r="M1" s="105"/>
    </row>
    <row r="2" spans="1:13" ht="8.25" customHeight="1" x14ac:dyDescent="0.25">
      <c r="A2" s="5"/>
      <c r="B2" s="5"/>
      <c r="C2" s="5"/>
      <c r="D2" s="5"/>
      <c r="E2" s="5"/>
      <c r="F2" s="5"/>
      <c r="G2" s="5"/>
      <c r="H2" s="5"/>
      <c r="I2" s="5"/>
      <c r="J2" s="5"/>
    </row>
    <row r="3" spans="1:13" x14ac:dyDescent="0.2">
      <c r="A3" s="110" t="s">
        <v>2</v>
      </c>
      <c r="B3" s="110"/>
      <c r="C3" s="110"/>
      <c r="D3" s="110"/>
      <c r="E3" s="110"/>
      <c r="F3" s="110"/>
      <c r="G3" s="110"/>
      <c r="H3" s="110"/>
      <c r="I3" s="110"/>
      <c r="J3" s="110"/>
      <c r="K3" s="110"/>
      <c r="L3" s="110"/>
      <c r="M3" s="110"/>
    </row>
    <row r="5" spans="1:13" ht="15.75" x14ac:dyDescent="0.25">
      <c r="A5" s="100" t="s">
        <v>9</v>
      </c>
      <c r="B5" s="17">
        <v>44197</v>
      </c>
      <c r="C5" s="17">
        <v>43831</v>
      </c>
      <c r="G5" s="1" t="s">
        <v>10</v>
      </c>
      <c r="H5" s="15">
        <v>141.69999999999999</v>
      </c>
    </row>
    <row r="6" spans="1:13" ht="15.75" x14ac:dyDescent="0.25">
      <c r="A6" s="100"/>
      <c r="B6" s="13">
        <v>89.62</v>
      </c>
      <c r="C6" s="13">
        <v>86.88</v>
      </c>
      <c r="G6" s="1"/>
    </row>
    <row r="8" spans="1:13" ht="31.5" x14ac:dyDescent="0.2">
      <c r="A8" s="6" t="s">
        <v>12</v>
      </c>
      <c r="B8" s="6" t="s">
        <v>11</v>
      </c>
      <c r="C8" s="6" t="s">
        <v>22</v>
      </c>
      <c r="D8" s="6" t="s">
        <v>23</v>
      </c>
      <c r="E8" s="6" t="s">
        <v>13</v>
      </c>
      <c r="F8" s="6" t="s">
        <v>14</v>
      </c>
      <c r="G8" s="6" t="s">
        <v>15</v>
      </c>
      <c r="H8" s="6" t="s">
        <v>16</v>
      </c>
      <c r="I8" s="6" t="s">
        <v>17</v>
      </c>
      <c r="J8" s="6" t="s">
        <v>18</v>
      </c>
      <c r="K8" s="6" t="s">
        <v>19</v>
      </c>
      <c r="L8" s="6" t="s">
        <v>20</v>
      </c>
      <c r="M8" s="6" t="s">
        <v>21</v>
      </c>
    </row>
    <row r="9" spans="1:13" x14ac:dyDescent="0.2">
      <c r="A9" s="9">
        <v>44197</v>
      </c>
      <c r="B9" s="10">
        <v>15000</v>
      </c>
      <c r="C9" s="11">
        <v>1</v>
      </c>
      <c r="D9" s="12">
        <v>1</v>
      </c>
      <c r="E9" s="32">
        <v>0</v>
      </c>
      <c r="F9" s="31">
        <f>B9*D9</f>
        <v>15000</v>
      </c>
      <c r="G9" s="31">
        <f>AVERAGE(F9:F19)</f>
        <v>14183.043721478041</v>
      </c>
      <c r="H9" s="31">
        <f>G9*0.35</f>
        <v>4964.0653025173142</v>
      </c>
      <c r="I9" s="31">
        <f>H5*30</f>
        <v>4251</v>
      </c>
      <c r="J9" s="31">
        <f>MAX(H9,I9)</f>
        <v>4964.0653025173142</v>
      </c>
      <c r="K9" s="14">
        <f>J9*0.15</f>
        <v>744.60979537759715</v>
      </c>
      <c r="L9" s="14">
        <f>J9*0.1*3</f>
        <v>1489.2195907551943</v>
      </c>
      <c r="M9" s="14">
        <f>L9+K9+J9</f>
        <v>7197.8946886501053</v>
      </c>
    </row>
    <row r="10" spans="1:13" x14ac:dyDescent="0.2">
      <c r="A10" s="9">
        <f>A9-366</f>
        <v>43831</v>
      </c>
      <c r="B10" s="10">
        <f>B9/1.05</f>
        <v>14285.714285714284</v>
      </c>
      <c r="C10" s="13">
        <v>1.0315000000000001</v>
      </c>
      <c r="D10" s="15">
        <f>C10*D9</f>
        <v>1.0315000000000001</v>
      </c>
      <c r="E10" s="32">
        <v>52</v>
      </c>
      <c r="F10" s="31">
        <f>B10*D10</f>
        <v>14735.714285714286</v>
      </c>
      <c r="G10" s="111"/>
      <c r="H10" s="111"/>
      <c r="I10" s="111"/>
      <c r="J10" s="31"/>
      <c r="K10" s="31"/>
      <c r="L10" s="31"/>
      <c r="M10" s="31"/>
    </row>
    <row r="11" spans="1:13" x14ac:dyDescent="0.2">
      <c r="A11" s="9">
        <f>A10-365</f>
        <v>43466</v>
      </c>
      <c r="B11" s="10">
        <f>B10/1.05</f>
        <v>13605.442176870747</v>
      </c>
      <c r="C11" s="13">
        <v>1.0283</v>
      </c>
      <c r="D11" s="16">
        <f>C11*D10</f>
        <v>1.06069145</v>
      </c>
      <c r="E11" s="32">
        <v>52</v>
      </c>
      <c r="F11" s="31">
        <f t="shared" ref="F11:F18" si="0">B11*D11</f>
        <v>14431.17619047619</v>
      </c>
      <c r="G11" s="111"/>
      <c r="H11" s="111"/>
      <c r="I11" s="111"/>
      <c r="J11" s="31">
        <f>I9</f>
        <v>4251</v>
      </c>
      <c r="K11" s="31">
        <f>J11*0.15</f>
        <v>637.65</v>
      </c>
      <c r="L11" s="31">
        <f>L9</f>
        <v>1489.2195907551943</v>
      </c>
      <c r="M11" s="31">
        <f>J11+K11+L11</f>
        <v>6377.8695907551937</v>
      </c>
    </row>
    <row r="12" spans="1:13" ht="15.75" customHeight="1" x14ac:dyDescent="0.2">
      <c r="A12" s="17">
        <f>A11-365</f>
        <v>43101</v>
      </c>
      <c r="B12" s="10">
        <f t="shared" ref="B12:B19" si="1">B11/1.05</f>
        <v>12957.563977972139</v>
      </c>
      <c r="C12" s="13">
        <v>1.0483</v>
      </c>
      <c r="D12" s="16">
        <f t="shared" ref="D12:D19" si="2">C12*D11</f>
        <v>1.111922847035</v>
      </c>
      <c r="E12" s="32">
        <v>52</v>
      </c>
      <c r="F12" s="31">
        <f t="shared" si="0"/>
        <v>14407.81142902494</v>
      </c>
      <c r="G12" s="111"/>
      <c r="H12" s="111"/>
      <c r="I12" s="111"/>
      <c r="J12" s="112" t="s">
        <v>27</v>
      </c>
      <c r="K12" s="31">
        <f>MAX(J9*0.9,I9)</f>
        <v>4467.6587722655831</v>
      </c>
      <c r="L12" s="31">
        <f>L9</f>
        <v>1489.2195907551943</v>
      </c>
      <c r="M12" s="31">
        <f>K12+L12</f>
        <v>5956.8783630207772</v>
      </c>
    </row>
    <row r="13" spans="1:13" x14ac:dyDescent="0.2">
      <c r="A13" s="9">
        <f>A12-365</f>
        <v>42736</v>
      </c>
      <c r="B13" s="10">
        <f t="shared" si="1"/>
        <v>12340.537121878227</v>
      </c>
      <c r="C13" s="13">
        <v>1.0677000000000001</v>
      </c>
      <c r="D13" s="16">
        <f t="shared" si="2"/>
        <v>1.1872000237792697</v>
      </c>
      <c r="E13" s="32">
        <v>52</v>
      </c>
      <c r="F13" s="31">
        <f t="shared" si="0"/>
        <v>14650.685964542792</v>
      </c>
      <c r="G13" s="111"/>
      <c r="H13" s="111"/>
      <c r="I13" s="111"/>
      <c r="J13" s="112"/>
      <c r="K13" s="113"/>
      <c r="L13" s="113"/>
      <c r="M13" s="113"/>
    </row>
    <row r="14" spans="1:13" x14ac:dyDescent="0.2">
      <c r="A14" s="9">
        <f t="shared" ref="A14" si="3">A13-366</f>
        <v>42370</v>
      </c>
      <c r="B14" s="10">
        <f t="shared" si="1"/>
        <v>11752.892497026884</v>
      </c>
      <c r="C14" s="13">
        <v>1.0336000000000001</v>
      </c>
      <c r="D14" s="16">
        <f t="shared" si="2"/>
        <v>1.2270899445782533</v>
      </c>
      <c r="E14" s="32">
        <v>52</v>
      </c>
      <c r="F14" s="31">
        <f t="shared" si="0"/>
        <v>14421.856202810886</v>
      </c>
      <c r="G14" s="111"/>
      <c r="H14" s="111"/>
      <c r="I14" s="111"/>
      <c r="J14" s="112"/>
      <c r="K14" s="113"/>
      <c r="L14" s="113"/>
      <c r="M14" s="113"/>
    </row>
    <row r="15" spans="1:13" x14ac:dyDescent="0.2">
      <c r="A15" s="9">
        <f>A14-365</f>
        <v>42005</v>
      </c>
      <c r="B15" s="10">
        <f t="shared" si="1"/>
        <v>11193.230949549412</v>
      </c>
      <c r="C15" s="13">
        <v>1.0213000000000001</v>
      </c>
      <c r="D15" s="16">
        <f t="shared" si="2"/>
        <v>1.2532269603977702</v>
      </c>
      <c r="E15" s="32">
        <v>52</v>
      </c>
      <c r="F15" s="31">
        <f t="shared" si="0"/>
        <v>14027.658799934055</v>
      </c>
      <c r="G15" s="111"/>
      <c r="H15" s="111"/>
      <c r="I15" s="111"/>
      <c r="J15" s="112"/>
      <c r="K15" s="113"/>
      <c r="L15" s="113"/>
      <c r="M15" s="113"/>
    </row>
    <row r="16" spans="1:13" ht="15.75" customHeight="1" x14ac:dyDescent="0.2">
      <c r="A16" s="9">
        <f>A15-365</f>
        <v>41640</v>
      </c>
      <c r="B16" s="10">
        <f t="shared" si="1"/>
        <v>10660.21995195182</v>
      </c>
      <c r="C16" s="13">
        <v>1.0409999999999999</v>
      </c>
      <c r="D16" s="16">
        <f t="shared" si="2"/>
        <v>1.3046092657740787</v>
      </c>
      <c r="E16" s="32">
        <v>52</v>
      </c>
      <c r="F16" s="31">
        <f t="shared" si="0"/>
        <v>13907.421724506048</v>
      </c>
      <c r="G16" s="111"/>
      <c r="H16" s="111"/>
      <c r="I16" s="111"/>
      <c r="J16" s="112"/>
      <c r="K16" s="113"/>
      <c r="L16" s="113"/>
      <c r="M16" s="113"/>
    </row>
    <row r="17" spans="1:13" x14ac:dyDescent="0.2">
      <c r="A17" s="9">
        <f t="shared" ref="A17:A19" si="4">A16-365</f>
        <v>41275</v>
      </c>
      <c r="B17" s="10">
        <f t="shared" si="1"/>
        <v>10152.590430430304</v>
      </c>
      <c r="C17" s="13">
        <v>1.0286999999999999</v>
      </c>
      <c r="D17" s="16">
        <f t="shared" si="2"/>
        <v>1.3420515517017946</v>
      </c>
      <c r="E17" s="32">
        <v>52</v>
      </c>
      <c r="F17" s="31">
        <f t="shared" si="0"/>
        <v>13625.299740951779</v>
      </c>
      <c r="G17" s="111"/>
      <c r="H17" s="111"/>
      <c r="I17" s="111"/>
      <c r="J17" s="112"/>
      <c r="K17" s="113"/>
      <c r="L17" s="113"/>
      <c r="M17" s="113"/>
    </row>
    <row r="18" spans="1:13" x14ac:dyDescent="0.2">
      <c r="A18" s="9">
        <f>A17-366</f>
        <v>40909</v>
      </c>
      <c r="B18" s="10">
        <f t="shared" si="1"/>
        <v>9669.1337432669552</v>
      </c>
      <c r="C18" s="13">
        <v>1.0387</v>
      </c>
      <c r="D18" s="16">
        <f t="shared" si="2"/>
        <v>1.3939889467526541</v>
      </c>
      <c r="E18" s="32">
        <v>52</v>
      </c>
      <c r="F18" s="31">
        <f t="shared" si="0"/>
        <v>13478.66556278725</v>
      </c>
      <c r="G18" s="111"/>
      <c r="H18" s="111"/>
      <c r="I18" s="111"/>
      <c r="J18" s="112"/>
      <c r="K18" s="113"/>
      <c r="L18" s="113"/>
      <c r="M18" s="113"/>
    </row>
    <row r="19" spans="1:13" x14ac:dyDescent="0.2">
      <c r="A19" s="9">
        <f t="shared" si="4"/>
        <v>40544</v>
      </c>
      <c r="B19" s="10">
        <f t="shared" si="1"/>
        <v>9208.6988031113851</v>
      </c>
      <c r="C19" s="13">
        <v>1.0382</v>
      </c>
      <c r="D19" s="16">
        <f t="shared" si="2"/>
        <v>1.4472393245186055</v>
      </c>
      <c r="E19" s="32">
        <v>32</v>
      </c>
      <c r="F19" s="31">
        <f>B19*D19</f>
        <v>13327.191035510212</v>
      </c>
      <c r="G19" s="111"/>
      <c r="H19" s="111"/>
      <c r="I19" s="111"/>
      <c r="J19" s="112"/>
      <c r="K19" s="113"/>
      <c r="L19" s="113"/>
      <c r="M19" s="113"/>
    </row>
    <row r="20" spans="1:13" x14ac:dyDescent="0.2">
      <c r="A20" s="18"/>
      <c r="B20" s="18"/>
      <c r="C20" s="18"/>
      <c r="D20" s="18"/>
      <c r="E20" s="33">
        <f>SUM(E9:E19)</f>
        <v>500</v>
      </c>
      <c r="F20" s="18"/>
      <c r="G20" s="18"/>
      <c r="H20" s="18"/>
      <c r="I20" s="18"/>
      <c r="J20" s="18"/>
      <c r="K20" s="18"/>
      <c r="L20" s="18"/>
      <c r="M20" s="18"/>
    </row>
    <row r="22" spans="1:13" ht="63" x14ac:dyDescent="0.2">
      <c r="A22" s="6" t="s">
        <v>24</v>
      </c>
    </row>
  </sheetData>
  <mergeCells count="6">
    <mergeCell ref="A1:M1"/>
    <mergeCell ref="A3:M3"/>
    <mergeCell ref="G10:I19"/>
    <mergeCell ref="J12:J19"/>
    <mergeCell ref="K13:M19"/>
    <mergeCell ref="A5:A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LEY73_correcto</vt:lpstr>
      <vt:lpstr>LEY73</vt:lpstr>
      <vt:lpstr>LEY97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Villareal Duarte</dc:creator>
  <cp:lastModifiedBy>cecilia Villareal Duarte</cp:lastModifiedBy>
  <dcterms:created xsi:type="dcterms:W3CDTF">2021-08-22T20:35:40Z</dcterms:created>
  <dcterms:modified xsi:type="dcterms:W3CDTF">2021-08-31T23:11:49Z</dcterms:modified>
</cp:coreProperties>
</file>