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7495" windowHeight="12720" firstSheet="7" activeTab="8"/>
  </bookViews>
  <sheets>
    <sheet name="Cópia de % de perda" sheetId="2" state="hidden" r:id="rId1"/>
    <sheet name="Página21" sheetId="7" state="hidden" r:id="rId2"/>
    <sheet name="Custo contabil" sheetId="8" state="hidden" r:id="rId3"/>
    <sheet name="Página22" sheetId="9" state="hidden" r:id="rId4"/>
    <sheet name="Detalhe1-480095-25052023" sheetId="10" state="hidden" r:id="rId5"/>
    <sheet name="Valores finais + embalagem" sheetId="11" state="hidden" r:id="rId6"/>
    <sheet name="Página17" sheetId="14" state="hidden" r:id="rId7"/>
    <sheet name="Promocional" sheetId="16" r:id="rId8"/>
    <sheet name="Frete" sheetId="17" r:id="rId9"/>
  </sheets>
  <definedNames>
    <definedName name="Z_F2A77CF4_59D0_4F55_8065_E003F1E0AC73_.wvu.FilterData" localSheetId="6" hidden="1">Página17!$A$1:$I$20</definedName>
  </definedNames>
  <calcPr calcId="145621"/>
  <customWorkbookViews>
    <customWorkbookView name="Filtro 1" guid="{F2A77CF4-59D0-4F55-8065-E003F1E0AC73}" maximized="1" windowWidth="0" windowHeight="0" activeSheetId="0"/>
  </customWorkbookViews>
</workbook>
</file>

<file path=xl/calcChain.xml><?xml version="1.0" encoding="utf-8"?>
<calcChain xmlns="http://schemas.openxmlformats.org/spreadsheetml/2006/main">
  <c r="B36" i="14" l="1"/>
  <c r="B35" i="14"/>
  <c r="B34" i="14"/>
  <c r="B33" i="14"/>
  <c r="B32" i="14"/>
  <c r="B31" i="14"/>
  <c r="B30" i="14"/>
  <c r="B29" i="14"/>
  <c r="B28" i="14"/>
  <c r="B27" i="14"/>
  <c r="B26" i="14"/>
  <c r="B25" i="14"/>
  <c r="B24" i="14"/>
  <c r="C24" i="14" s="1"/>
  <c r="Q30" i="7"/>
  <c r="Q29" i="7"/>
  <c r="Q28" i="7"/>
  <c r="Q27" i="7"/>
  <c r="Q26" i="7"/>
  <c r="Q25" i="7"/>
  <c r="Q24" i="7"/>
  <c r="Q23" i="7"/>
  <c r="Q22" i="7"/>
  <c r="Q21" i="7"/>
  <c r="B21" i="7"/>
  <c r="Q20" i="7"/>
  <c r="B20" i="7"/>
  <c r="Q19" i="7"/>
  <c r="B19" i="7"/>
  <c r="Q18" i="7"/>
  <c r="B18" i="7"/>
  <c r="Q17" i="7"/>
  <c r="B17" i="7"/>
  <c r="Q16" i="7"/>
  <c r="B16" i="7"/>
  <c r="Q15" i="7"/>
  <c r="B15" i="7"/>
  <c r="Q14" i="7"/>
  <c r="B14" i="7"/>
  <c r="Q13" i="7"/>
  <c r="B13" i="7"/>
  <c r="Q12" i="7"/>
  <c r="B12" i="7"/>
  <c r="Q11" i="7"/>
  <c r="B11" i="7"/>
  <c r="Q10" i="7"/>
  <c r="B10" i="7"/>
  <c r="Q9" i="7"/>
  <c r="B9" i="7"/>
  <c r="Q8" i="7"/>
  <c r="B8" i="7"/>
  <c r="Q7" i="7"/>
  <c r="B7" i="7"/>
  <c r="Q6" i="7"/>
  <c r="B6" i="7"/>
  <c r="Q5" i="7"/>
  <c r="B5" i="7"/>
  <c r="Q4" i="7"/>
  <c r="B4" i="7"/>
  <c r="Q3" i="7"/>
  <c r="B3" i="7"/>
  <c r="Q2" i="7"/>
  <c r="B2" i="7"/>
  <c r="Q1" i="7"/>
  <c r="B1" i="7"/>
  <c r="M15" i="7" s="1"/>
  <c r="C3" i="2"/>
  <c r="M2" i="7" l="1"/>
  <c r="M6" i="7"/>
  <c r="M10" i="7"/>
  <c r="M14" i="7"/>
  <c r="M1" i="7"/>
  <c r="M5" i="7"/>
  <c r="M9" i="7"/>
  <c r="M13" i="7"/>
  <c r="M4" i="7"/>
  <c r="M8" i="7"/>
  <c r="M12" i="7"/>
  <c r="M16" i="7"/>
  <c r="M3" i="7"/>
  <c r="M7" i="7"/>
  <c r="M11" i="7"/>
  <c r="B257" i="8"/>
  <c r="A172" i="8"/>
  <c r="C219" i="8"/>
  <c r="B267" i="8"/>
  <c r="A182" i="8"/>
  <c r="C209" i="8"/>
  <c r="B127" i="8"/>
  <c r="A42" i="8"/>
  <c r="A260" i="8"/>
  <c r="C174" i="8"/>
  <c r="B222" i="8"/>
  <c r="A270" i="8"/>
  <c r="C184" i="8"/>
  <c r="B212" i="8"/>
  <c r="A248" i="8"/>
  <c r="C162" i="8"/>
  <c r="B210" i="8"/>
  <c r="A258" i="8"/>
  <c r="C285" i="8"/>
  <c r="B200" i="8"/>
  <c r="A181" i="8"/>
  <c r="A146" i="8"/>
  <c r="C32" i="8"/>
  <c r="B96" i="8"/>
  <c r="A11" i="8"/>
  <c r="A84" i="8"/>
  <c r="C164" i="8"/>
  <c r="A73" i="8"/>
  <c r="B229" i="8"/>
  <c r="A267" i="8"/>
  <c r="C92" i="8"/>
  <c r="C141" i="8"/>
  <c r="C230" i="8"/>
  <c r="B278" i="8"/>
  <c r="A193" i="8"/>
  <c r="C240" i="8"/>
  <c r="B268" i="8"/>
  <c r="A183" i="8"/>
  <c r="C100" i="8"/>
  <c r="B15" i="8"/>
  <c r="B233" i="8"/>
  <c r="A281" i="8"/>
  <c r="C195" i="8"/>
  <c r="B243" i="8"/>
  <c r="A271" i="8"/>
  <c r="C185" i="8"/>
  <c r="B221" i="8"/>
  <c r="A269" i="8"/>
  <c r="C183" i="8"/>
  <c r="B231" i="8"/>
  <c r="A259" i="8"/>
  <c r="C282" i="8"/>
  <c r="B207" i="8"/>
  <c r="A110" i="8"/>
  <c r="C157" i="8"/>
  <c r="C69" i="8"/>
  <c r="C142" i="8"/>
  <c r="B57" i="8"/>
  <c r="C131" i="8"/>
  <c r="B46" i="8"/>
  <c r="C255" i="8"/>
  <c r="B168" i="8"/>
  <c r="C56" i="8"/>
  <c r="A115" i="8"/>
  <c r="A204" i="8"/>
  <c r="C251" i="8"/>
  <c r="B166" i="8"/>
  <c r="A214" i="8"/>
  <c r="C241" i="8"/>
  <c r="C168" i="8"/>
  <c r="A74" i="8"/>
  <c r="A302" i="8"/>
  <c r="C206" i="8"/>
  <c r="B254" i="8"/>
  <c r="A169" i="8"/>
  <c r="C216" i="8"/>
  <c r="B244" i="8"/>
  <c r="A280" i="8"/>
  <c r="C194" i="8"/>
  <c r="B242" i="8"/>
  <c r="A157" i="8"/>
  <c r="C204" i="8"/>
  <c r="B232" i="8"/>
  <c r="A176" i="8"/>
  <c r="C213" i="8"/>
  <c r="B75" i="8"/>
  <c r="B128" i="8"/>
  <c r="A43" i="8"/>
  <c r="A116" i="8"/>
  <c r="C30" i="8"/>
  <c r="A105" i="8"/>
  <c r="C19" i="8"/>
  <c r="A282" i="8"/>
  <c r="B135" i="8"/>
  <c r="A22" i="8"/>
  <c r="A284" i="8"/>
  <c r="C208" i="8"/>
  <c r="C286" i="8"/>
  <c r="B211" i="8"/>
  <c r="A237" i="8"/>
  <c r="A301" i="8"/>
  <c r="C37" i="8"/>
  <c r="C272" i="8"/>
  <c r="B47" i="8"/>
  <c r="B275" i="8"/>
  <c r="A168" i="8"/>
  <c r="C205" i="8"/>
  <c r="C101" i="8"/>
  <c r="B78" i="8"/>
  <c r="A147" i="8"/>
  <c r="C29" i="8"/>
  <c r="C102" i="8"/>
  <c r="B17" i="8"/>
  <c r="C91" i="8"/>
  <c r="A229" i="8"/>
  <c r="A159" i="8"/>
  <c r="C48" i="8"/>
  <c r="B108" i="8"/>
  <c r="A23" i="8"/>
  <c r="A96" i="8"/>
  <c r="C10" i="8"/>
  <c r="A85" i="8"/>
  <c r="C80" i="8"/>
  <c r="C34" i="8"/>
  <c r="B218" i="8"/>
  <c r="C103" i="8"/>
  <c r="C8" i="8"/>
  <c r="A236" i="8"/>
  <c r="C283" i="8"/>
  <c r="B198" i="8"/>
  <c r="A246" i="8"/>
  <c r="C273" i="8"/>
  <c r="B188" i="8"/>
  <c r="A106" i="8"/>
  <c r="C20" i="8"/>
  <c r="C238" i="8"/>
  <c r="B286" i="8"/>
  <c r="A201" i="8"/>
  <c r="C248" i="8"/>
  <c r="B276" i="8"/>
  <c r="A191" i="8"/>
  <c r="C226" i="8"/>
  <c r="B274" i="8"/>
  <c r="A189" i="8"/>
  <c r="C236" i="8"/>
  <c r="B264" i="8"/>
  <c r="A179" i="8"/>
  <c r="C228" i="8"/>
  <c r="A118" i="8"/>
  <c r="B3" i="8"/>
  <c r="A75" i="8"/>
  <c r="A148" i="8"/>
  <c r="C62" i="8"/>
  <c r="A137" i="8"/>
  <c r="C51" i="8"/>
  <c r="A277" i="8"/>
  <c r="C181" i="8"/>
  <c r="C64" i="8"/>
  <c r="B120" i="8"/>
  <c r="B209" i="8"/>
  <c r="A257" i="8"/>
  <c r="C171" i="8"/>
  <c r="B219" i="8"/>
  <c r="A247" i="8"/>
  <c r="C161" i="8"/>
  <c r="B79" i="8"/>
  <c r="C153" i="8"/>
  <c r="A212" i="8"/>
  <c r="C259" i="8"/>
  <c r="B174" i="8"/>
  <c r="A222" i="8"/>
  <c r="C249" i="8"/>
  <c r="B285" i="8"/>
  <c r="A200" i="8"/>
  <c r="C247" i="8"/>
  <c r="B162" i="8"/>
  <c r="A210" i="8"/>
  <c r="C237" i="8"/>
  <c r="B197" i="8"/>
  <c r="A235" i="8"/>
  <c r="A82" i="8"/>
  <c r="C133" i="8"/>
  <c r="B48" i="8"/>
  <c r="B121" i="8"/>
  <c r="A36" i="8"/>
  <c r="B110" i="8"/>
  <c r="A25" i="8"/>
  <c r="B170" i="8"/>
  <c r="A142" i="8"/>
  <c r="C28" i="8"/>
  <c r="A268" i="8"/>
  <c r="C182" i="8"/>
  <c r="B230" i="8"/>
  <c r="A278" i="8"/>
  <c r="C192" i="8"/>
  <c r="B220" i="8"/>
  <c r="A138" i="8"/>
  <c r="C52" i="8"/>
  <c r="C270" i="8"/>
  <c r="B185" i="8"/>
  <c r="A233" i="8"/>
  <c r="C280" i="8"/>
  <c r="B195" i="8"/>
  <c r="A223" i="8"/>
  <c r="C258" i="8"/>
  <c r="B173" i="8"/>
  <c r="A221" i="8"/>
  <c r="C268" i="8"/>
  <c r="B183" i="8"/>
  <c r="A211" i="8"/>
  <c r="C223" i="8"/>
  <c r="A174" i="8"/>
  <c r="A46" i="8"/>
  <c r="A107" i="8"/>
  <c r="C21" i="8"/>
  <c r="C94" i="8"/>
  <c r="B9" i="8"/>
  <c r="C83" i="8"/>
  <c r="A272" i="8"/>
  <c r="C196" i="8"/>
  <c r="B107" i="8"/>
  <c r="B152" i="8"/>
  <c r="C198" i="8"/>
  <c r="B236" i="8"/>
  <c r="B201" i="8"/>
  <c r="A239" i="8"/>
  <c r="C284" i="8"/>
  <c r="B192" i="8"/>
  <c r="C262" i="8"/>
  <c r="B187" i="8"/>
  <c r="B265" i="8"/>
  <c r="A190" i="8"/>
  <c r="C215" i="8"/>
  <c r="B202" i="8"/>
  <c r="B16" i="8"/>
  <c r="C250" i="8"/>
  <c r="C93" i="8"/>
  <c r="B8" i="8"/>
  <c r="B81" i="8"/>
  <c r="B156" i="8"/>
  <c r="B70" i="8"/>
  <c r="C276" i="8"/>
  <c r="A134" i="8"/>
  <c r="B19" i="8"/>
  <c r="A87" i="8"/>
  <c r="B171" i="8"/>
  <c r="C74" i="8"/>
  <c r="A149" i="8"/>
  <c r="C63" i="8"/>
  <c r="B132" i="8"/>
  <c r="A109" i="8"/>
  <c r="A130" i="8"/>
  <c r="A5" i="8"/>
  <c r="A79" i="8"/>
  <c r="B262" i="8"/>
  <c r="C224" i="8"/>
  <c r="A167" i="8"/>
  <c r="B167" i="8"/>
  <c r="A265" i="8"/>
  <c r="B227" i="8"/>
  <c r="C169" i="8"/>
  <c r="A253" i="8"/>
  <c r="B215" i="8"/>
  <c r="C218" i="8"/>
  <c r="C88" i="8"/>
  <c r="C53" i="8"/>
  <c r="B41" i="8"/>
  <c r="B30" i="8"/>
  <c r="A150" i="8"/>
  <c r="B273" i="8"/>
  <c r="C235" i="8"/>
  <c r="A198" i="8"/>
  <c r="B143" i="8"/>
  <c r="A276" i="8"/>
  <c r="B238" i="8"/>
  <c r="C200" i="8"/>
  <c r="A264" i="8"/>
  <c r="B226" i="8"/>
  <c r="C188" i="8"/>
  <c r="A245" i="8"/>
  <c r="A54" i="8"/>
  <c r="A27" i="8"/>
  <c r="C14" i="8"/>
  <c r="C3" i="8"/>
  <c r="A114" i="8"/>
  <c r="C246" i="8"/>
  <c r="A209" i="8"/>
  <c r="B284" i="8"/>
  <c r="C116" i="8"/>
  <c r="B249" i="8"/>
  <c r="C211" i="8"/>
  <c r="A299" i="8"/>
  <c r="B237" i="8"/>
  <c r="C199" i="8"/>
  <c r="A275" i="8"/>
  <c r="B271" i="8"/>
  <c r="A18" i="8"/>
  <c r="A166" i="8"/>
  <c r="C147" i="8"/>
  <c r="C186" i="8"/>
  <c r="A78" i="8"/>
  <c r="B246" i="8"/>
  <c r="A249" i="8"/>
  <c r="B199" i="8"/>
  <c r="B177" i="8"/>
  <c r="A180" i="8"/>
  <c r="B263" i="8"/>
  <c r="B89" i="8"/>
  <c r="B72" i="8"/>
  <c r="A60" i="8"/>
  <c r="C266" i="8"/>
  <c r="C104" i="8"/>
  <c r="C65" i="8"/>
  <c r="B53" i="8"/>
  <c r="A192" i="8"/>
  <c r="B42" i="8"/>
  <c r="C244" i="8"/>
  <c r="A141" i="8"/>
  <c r="C11" i="8"/>
  <c r="C73" i="8"/>
  <c r="B50" i="8"/>
  <c r="C47" i="8"/>
  <c r="C222" i="8"/>
  <c r="A156" i="8"/>
  <c r="C193" i="8"/>
  <c r="C158" i="8"/>
  <c r="B196" i="8"/>
  <c r="A242" i="8"/>
  <c r="C124" i="8"/>
  <c r="A68" i="8"/>
  <c r="A203" i="8"/>
  <c r="A67" i="8"/>
  <c r="A140" i="8"/>
  <c r="C54" i="8"/>
  <c r="A129" i="8"/>
  <c r="B245" i="8"/>
  <c r="A283" i="8"/>
  <c r="A98" i="8"/>
  <c r="C145" i="8"/>
  <c r="B60" i="8"/>
  <c r="B133" i="8"/>
  <c r="A48" i="8"/>
  <c r="B122" i="8"/>
  <c r="C239" i="8"/>
  <c r="C25" i="8"/>
  <c r="B34" i="8"/>
  <c r="B148" i="8"/>
  <c r="B272" i="8"/>
  <c r="C130" i="8"/>
  <c r="A17" i="8"/>
  <c r="B87" i="8"/>
  <c r="A40" i="8"/>
  <c r="A63" i="8"/>
  <c r="A230" i="8"/>
  <c r="B270" i="8"/>
  <c r="C96" i="8"/>
  <c r="A14" i="8"/>
  <c r="A108" i="8"/>
  <c r="A97" i="8"/>
  <c r="C165" i="8"/>
  <c r="C113" i="8"/>
  <c r="B101" i="8"/>
  <c r="B90" i="8"/>
  <c r="A56" i="8"/>
  <c r="B146" i="8"/>
  <c r="C2" i="8"/>
  <c r="A95" i="8"/>
  <c r="A125" i="8"/>
  <c r="B56" i="8"/>
  <c r="C140" i="8"/>
  <c r="A80" i="8"/>
  <c r="A202" i="8"/>
  <c r="B18" i="8"/>
  <c r="C175" i="8"/>
  <c r="B43" i="8"/>
  <c r="C59" i="8"/>
  <c r="A119" i="8"/>
  <c r="B21" i="8"/>
  <c r="A72" i="8"/>
  <c r="A171" i="8"/>
  <c r="B248" i="8"/>
  <c r="A158" i="8"/>
  <c r="C134" i="8"/>
  <c r="C278" i="8"/>
  <c r="A241" i="8"/>
  <c r="B203" i="8"/>
  <c r="C148" i="8"/>
  <c r="B281" i="8"/>
  <c r="C243" i="8"/>
  <c r="A206" i="8"/>
  <c r="B269" i="8"/>
  <c r="C231" i="8"/>
  <c r="A194" i="8"/>
  <c r="B266" i="8"/>
  <c r="C60" i="8"/>
  <c r="B32" i="8"/>
  <c r="A20" i="8"/>
  <c r="A9" i="8"/>
  <c r="C120" i="8"/>
  <c r="A252" i="8"/>
  <c r="B214" i="8"/>
  <c r="C176" i="8"/>
  <c r="A122" i="8"/>
  <c r="C254" i="8"/>
  <c r="A217" i="8"/>
  <c r="B179" i="8"/>
  <c r="C242" i="8"/>
  <c r="A205" i="8"/>
  <c r="B280" i="8"/>
  <c r="C159" i="8"/>
  <c r="C24" i="8"/>
  <c r="C5" i="8"/>
  <c r="A153" i="8"/>
  <c r="A208" i="8"/>
  <c r="A86" i="8"/>
  <c r="B225" i="8"/>
  <c r="C187" i="8"/>
  <c r="A263" i="8"/>
  <c r="B95" i="8"/>
  <c r="A228" i="8"/>
  <c r="B190" i="8"/>
  <c r="C265" i="8"/>
  <c r="A216" i="8"/>
  <c r="B178" i="8"/>
  <c r="C253" i="8"/>
  <c r="A186" i="8"/>
  <c r="C149" i="8"/>
  <c r="B137" i="8"/>
  <c r="B126" i="8"/>
  <c r="B234" i="8"/>
  <c r="A50" i="8"/>
  <c r="A161" i="8"/>
  <c r="C163" i="8"/>
  <c r="A227" i="8"/>
  <c r="A225" i="8"/>
  <c r="C227" i="8"/>
  <c r="A178" i="8"/>
  <c r="A4" i="8"/>
  <c r="A51" i="8"/>
  <c r="C38" i="8"/>
  <c r="B181" i="8"/>
  <c r="C76" i="8"/>
  <c r="B44" i="8"/>
  <c r="A32" i="8"/>
  <c r="C229" i="8"/>
  <c r="A13" i="8"/>
  <c r="B123" i="8"/>
  <c r="C55" i="8"/>
  <c r="B223" i="8"/>
  <c r="C146" i="8"/>
  <c r="B22" i="8"/>
  <c r="C267" i="8"/>
  <c r="A185" i="8"/>
  <c r="C203" i="8"/>
  <c r="B111" i="8"/>
  <c r="B206" i="8"/>
  <c r="A232" i="8"/>
  <c r="C269" i="8"/>
  <c r="B11" i="8"/>
  <c r="B142" i="8"/>
  <c r="B71" i="8"/>
  <c r="C45" i="8"/>
  <c r="C118" i="8"/>
  <c r="B33" i="8"/>
  <c r="C107" i="8"/>
  <c r="A160" i="8"/>
  <c r="C197" i="8"/>
  <c r="A70" i="8"/>
  <c r="B124" i="8"/>
  <c r="A39" i="8"/>
  <c r="A112" i="8"/>
  <c r="C26" i="8"/>
  <c r="A101" i="8"/>
  <c r="A163" i="8"/>
  <c r="C98" i="8"/>
  <c r="B6" i="8"/>
  <c r="C114" i="8"/>
  <c r="A94" i="8"/>
  <c r="B45" i="8"/>
  <c r="B29" i="8"/>
  <c r="C137" i="8"/>
  <c r="B114" i="8"/>
  <c r="C50" i="8"/>
  <c r="C257" i="8"/>
  <c r="C232" i="8"/>
  <c r="C110" i="8"/>
  <c r="C77" i="8"/>
  <c r="B65" i="8"/>
  <c r="B54" i="8"/>
  <c r="C112" i="8"/>
  <c r="A71" i="8"/>
  <c r="C58" i="8"/>
  <c r="B277" i="8"/>
  <c r="A49" i="8"/>
  <c r="A197" i="8"/>
  <c r="C31" i="8"/>
  <c r="C82" i="8"/>
  <c r="A37" i="8"/>
  <c r="B175" i="8"/>
  <c r="B83" i="8"/>
  <c r="B37" i="8"/>
  <c r="A155" i="8"/>
  <c r="B151" i="8"/>
  <c r="C9" i="8"/>
  <c r="B40" i="8"/>
  <c r="C271" i="8"/>
  <c r="B76" i="8"/>
  <c r="A53" i="8"/>
  <c r="A66" i="8"/>
  <c r="B116" i="8"/>
  <c r="C214" i="8"/>
  <c r="A177" i="8"/>
  <c r="B252" i="8"/>
  <c r="C84" i="8"/>
  <c r="B217" i="8"/>
  <c r="C179" i="8"/>
  <c r="A255" i="8"/>
  <c r="B205" i="8"/>
  <c r="C167" i="8"/>
  <c r="A243" i="8"/>
  <c r="B256" i="8"/>
  <c r="A139" i="8"/>
  <c r="C126" i="8"/>
  <c r="C115" i="8"/>
  <c r="C191" i="8"/>
  <c r="B35" i="8"/>
  <c r="A188" i="8"/>
  <c r="B283" i="8"/>
  <c r="C225" i="8"/>
  <c r="A58" i="8"/>
  <c r="C190" i="8"/>
  <c r="A286" i="8"/>
  <c r="B228" i="8"/>
  <c r="C178" i="8"/>
  <c r="A274" i="8"/>
  <c r="B216" i="8"/>
  <c r="B164" i="8"/>
  <c r="B112" i="8"/>
  <c r="A100" i="8"/>
  <c r="A89" i="8"/>
  <c r="A218" i="8"/>
  <c r="C172" i="8"/>
  <c r="B161" i="8"/>
  <c r="C256" i="8"/>
  <c r="A199" i="8"/>
  <c r="B31" i="8"/>
  <c r="A164" i="8"/>
  <c r="B259" i="8"/>
  <c r="C201" i="8"/>
  <c r="A285" i="8"/>
  <c r="B247" i="8"/>
  <c r="C189" i="8"/>
  <c r="B131" i="8"/>
  <c r="C85" i="8"/>
  <c r="B73" i="8"/>
  <c r="B62" i="8"/>
  <c r="B224" i="8"/>
  <c r="A131" i="8"/>
  <c r="A154" i="8"/>
  <c r="C274" i="8"/>
  <c r="B67" i="8"/>
  <c r="A215" i="8"/>
  <c r="C217" i="8"/>
  <c r="C152" i="8"/>
  <c r="B302" i="8"/>
  <c r="B145" i="8"/>
  <c r="B134" i="8"/>
  <c r="B191" i="8"/>
  <c r="A151" i="8"/>
  <c r="C138" i="8"/>
  <c r="C127" i="8"/>
  <c r="A47" i="8"/>
  <c r="C16" i="8"/>
  <c r="A152" i="8"/>
  <c r="C23" i="8"/>
  <c r="B115" i="8"/>
  <c r="B61" i="8"/>
  <c r="A127" i="8"/>
  <c r="B182" i="8"/>
  <c r="B260" i="8"/>
  <c r="B251" i="8"/>
  <c r="A26" i="8"/>
  <c r="A254" i="8"/>
  <c r="C279" i="8"/>
  <c r="B184" i="8"/>
  <c r="B80" i="8"/>
  <c r="A57" i="8"/>
  <c r="C125" i="8"/>
  <c r="B24" i="8"/>
  <c r="B97" i="8"/>
  <c r="A12" i="8"/>
  <c r="B86" i="8"/>
  <c r="C207" i="8"/>
  <c r="B155" i="8"/>
  <c r="C40" i="8"/>
  <c r="A103" i="8"/>
  <c r="C17" i="8"/>
  <c r="C90" i="8"/>
  <c r="B5" i="8"/>
  <c r="C79" i="8"/>
  <c r="B51" i="8"/>
  <c r="B13" i="8"/>
  <c r="A266" i="8"/>
  <c r="A61" i="8"/>
  <c r="A143" i="8"/>
  <c r="C119" i="8"/>
  <c r="B213" i="8"/>
  <c r="A231" i="8"/>
  <c r="C233" i="8"/>
  <c r="C173" i="8"/>
  <c r="B239" i="8"/>
  <c r="B204" i="8"/>
  <c r="A207" i="8"/>
  <c r="B139" i="8"/>
  <c r="C245" i="8"/>
  <c r="C177" i="8"/>
  <c r="B180" i="8"/>
  <c r="B103" i="8"/>
  <c r="B160" i="8"/>
  <c r="A123" i="8"/>
  <c r="B99" i="8"/>
  <c r="C129" i="8"/>
  <c r="B20" i="8"/>
  <c r="C135" i="8"/>
  <c r="A279" i="8"/>
  <c r="A250" i="8"/>
  <c r="A3" i="8"/>
  <c r="B255" i="8"/>
  <c r="C154" i="8"/>
  <c r="A111" i="8"/>
  <c r="C57" i="8"/>
  <c r="B125" i="8"/>
  <c r="C220" i="8"/>
  <c r="C150" i="8"/>
  <c r="C212" i="8"/>
  <c r="A144" i="8"/>
  <c r="B63" i="8"/>
  <c r="A184" i="8"/>
  <c r="C117" i="8"/>
  <c r="B7" i="8"/>
  <c r="C36" i="8"/>
  <c r="B157" i="8"/>
  <c r="A91" i="8"/>
  <c r="B136" i="8"/>
  <c r="A10" i="8"/>
  <c r="C263" i="8"/>
  <c r="B64" i="8"/>
  <c r="C109" i="8"/>
  <c r="C132" i="8"/>
  <c r="A124" i="8"/>
  <c r="B117" i="8"/>
  <c r="C66" i="8"/>
  <c r="B93" i="8"/>
  <c r="A244" i="8"/>
  <c r="B153" i="8"/>
  <c r="A76" i="8"/>
  <c r="A126" i="8"/>
  <c r="B69" i="8"/>
  <c r="C87" i="8"/>
  <c r="A45" i="8"/>
  <c r="C43" i="8"/>
  <c r="B172" i="8"/>
  <c r="C99" i="8"/>
  <c r="C22" i="8"/>
  <c r="B55" i="8"/>
  <c r="A16" i="8"/>
  <c r="C170" i="8"/>
  <c r="A33" i="8"/>
  <c r="B258" i="8"/>
  <c r="A135" i="8"/>
  <c r="B130" i="8"/>
  <c r="B159" i="8"/>
  <c r="B176" i="8"/>
  <c r="B77" i="8"/>
  <c r="A8" i="8"/>
  <c r="C35" i="8"/>
  <c r="A92" i="8"/>
  <c r="A81" i="8"/>
  <c r="B147" i="8"/>
  <c r="C97" i="8"/>
  <c r="B85" i="8"/>
  <c r="B74" i="8"/>
  <c r="C151" i="8"/>
  <c r="C39" i="8"/>
  <c r="B193" i="8"/>
  <c r="A196" i="8"/>
  <c r="B279" i="8"/>
  <c r="B105" i="8"/>
  <c r="C166" i="8"/>
  <c r="B169" i="8"/>
  <c r="C252" i="8"/>
  <c r="C78" i="8"/>
  <c r="A273" i="8"/>
  <c r="C275" i="8"/>
  <c r="A226" i="8"/>
  <c r="A52" i="8"/>
  <c r="C68" i="8"/>
  <c r="B253" i="8"/>
  <c r="A113" i="8"/>
  <c r="B106" i="8"/>
  <c r="C41" i="8"/>
  <c r="A90" i="8"/>
  <c r="C281" i="8"/>
  <c r="B165" i="8"/>
  <c r="B150" i="8"/>
  <c r="C12" i="8"/>
  <c r="C143" i="8"/>
  <c r="A102" i="8"/>
  <c r="A251" i="8"/>
  <c r="C15" i="8"/>
  <c r="C4" i="8"/>
  <c r="C260" i="8"/>
  <c r="C139" i="8"/>
  <c r="A162" i="8"/>
  <c r="A133" i="8"/>
  <c r="C44" i="8"/>
  <c r="C144" i="8"/>
  <c r="B14" i="8"/>
  <c r="B92" i="8"/>
  <c r="B163" i="8"/>
  <c r="C277" i="8"/>
  <c r="A6" i="8"/>
  <c r="A256" i="8"/>
  <c r="C210" i="8"/>
  <c r="B104" i="8"/>
  <c r="B49" i="8"/>
  <c r="A224" i="8"/>
  <c r="B91" i="8"/>
  <c r="A55" i="8"/>
  <c r="C42" i="8"/>
  <c r="A300" i="8"/>
  <c r="C27" i="8"/>
  <c r="A187" i="8"/>
  <c r="B10" i="8"/>
  <c r="C18" i="8"/>
  <c r="B25" i="8"/>
  <c r="B129" i="8"/>
  <c r="A165" i="8"/>
  <c r="A7" i="8"/>
  <c r="A21" i="8"/>
  <c r="A30" i="8"/>
  <c r="A132" i="8"/>
  <c r="C156" i="8"/>
  <c r="A234" i="8"/>
  <c r="B149" i="8"/>
  <c r="C89" i="8"/>
  <c r="A24" i="8"/>
  <c r="C7" i="8"/>
  <c r="C155" i="8"/>
  <c r="B158" i="8"/>
  <c r="C221" i="8"/>
  <c r="B94" i="8"/>
  <c r="A262" i="8"/>
  <c r="C264" i="8"/>
  <c r="A195" i="8"/>
  <c r="C67" i="8"/>
  <c r="B235" i="8"/>
  <c r="A238" i="8"/>
  <c r="B261" i="8"/>
  <c r="A41" i="8"/>
  <c r="B189" i="8"/>
  <c r="B39" i="8"/>
  <c r="A219" i="8"/>
  <c r="A120" i="8"/>
  <c r="A2" i="8"/>
  <c r="B241" i="8"/>
  <c r="B194" i="8"/>
  <c r="B88" i="8"/>
  <c r="A65" i="8"/>
  <c r="C81" i="8"/>
  <c r="B58" i="8"/>
  <c r="C234" i="8"/>
  <c r="B52" i="8"/>
  <c r="B26" i="8"/>
  <c r="A175" i="8"/>
  <c r="A35" i="8"/>
  <c r="B250" i="8"/>
  <c r="B28" i="8"/>
  <c r="C108" i="8"/>
  <c r="A38" i="8"/>
  <c r="C71" i="8"/>
  <c r="C75" i="8"/>
  <c r="C111" i="8"/>
  <c r="B100" i="8"/>
  <c r="B113" i="8"/>
  <c r="C106" i="8"/>
  <c r="B36" i="8"/>
  <c r="B144" i="8"/>
  <c r="C61" i="8"/>
  <c r="C6" i="8"/>
  <c r="B186" i="8"/>
  <c r="A34" i="8"/>
  <c r="B12" i="8"/>
  <c r="A170" i="8"/>
  <c r="B23" i="8"/>
  <c r="B208" i="8"/>
  <c r="C121" i="8"/>
  <c r="A261" i="8"/>
  <c r="C160" i="8"/>
  <c r="C128" i="8"/>
  <c r="C86" i="8"/>
  <c r="B240" i="8"/>
  <c r="C122" i="8"/>
  <c r="B84" i="8"/>
  <c r="A29" i="8"/>
  <c r="A121" i="8"/>
  <c r="A28" i="8"/>
  <c r="B119" i="8"/>
  <c r="B138" i="8"/>
  <c r="B66" i="8"/>
  <c r="B82" i="8"/>
  <c r="A220" i="8"/>
  <c r="C202" i="8"/>
  <c r="A64" i="8"/>
  <c r="C123" i="8"/>
  <c r="A117" i="8"/>
  <c r="B98" i="8"/>
  <c r="A59" i="8"/>
  <c r="B118" i="8"/>
  <c r="B141" i="8"/>
  <c r="A173" i="8"/>
  <c r="B102" i="8"/>
  <c r="C136" i="8"/>
  <c r="A93" i="8"/>
  <c r="A69" i="8"/>
  <c r="B38" i="8"/>
  <c r="C261" i="8"/>
  <c r="B4" i="8"/>
  <c r="B59" i="8"/>
  <c r="B27" i="8"/>
  <c r="A88" i="8"/>
  <c r="A213" i="8"/>
  <c r="A62" i="8"/>
  <c r="C72" i="8"/>
  <c r="B2" i="8"/>
  <c r="B140" i="8"/>
  <c r="C105" i="8"/>
  <c r="C13" i="8"/>
  <c r="A83" i="8"/>
  <c r="B282" i="8"/>
  <c r="C70" i="8"/>
  <c r="A240" i="8"/>
  <c r="B154" i="8"/>
  <c r="B68" i="8"/>
  <c r="A99" i="8"/>
  <c r="C46" i="8"/>
  <c r="A31" i="8"/>
  <c r="A77" i="8"/>
  <c r="C33" i="8"/>
  <c r="C180" i="8"/>
  <c r="A19" i="8"/>
  <c r="A44" i="8"/>
  <c r="A136" i="8"/>
  <c r="A145" i="8"/>
  <c r="A104" i="8"/>
  <c r="A15" i="8"/>
  <c r="C49" i="8"/>
  <c r="A128" i="8"/>
  <c r="B109" i="8"/>
  <c r="C95" i="8"/>
</calcChain>
</file>

<file path=xl/sharedStrings.xml><?xml version="1.0" encoding="utf-8"?>
<sst xmlns="http://schemas.openxmlformats.org/spreadsheetml/2006/main" count="7557" uniqueCount="3763">
  <si>
    <t>Categoria</t>
  </si>
  <si>
    <t>Categoria 2</t>
  </si>
  <si>
    <t>Perda %</t>
  </si>
  <si>
    <t>AÇO</t>
  </si>
  <si>
    <t>Aço</t>
  </si>
  <si>
    <t>ACO</t>
  </si>
  <si>
    <t>CHA</t>
  </si>
  <si>
    <t>Chapa</t>
  </si>
  <si>
    <t>TUB</t>
  </si>
  <si>
    <t>Tubo</t>
  </si>
  <si>
    <t>ESM</t>
  </si>
  <si>
    <t>Tinta</t>
  </si>
  <si>
    <t>VER</t>
  </si>
  <si>
    <t>ARA</t>
  </si>
  <si>
    <t>Arame</t>
  </si>
  <si>
    <t>MAD</t>
  </si>
  <si>
    <t>Madeira</t>
  </si>
  <si>
    <t>OUT</t>
  </si>
  <si>
    <t>Outros</t>
  </si>
  <si>
    <t>Código</t>
  </si>
  <si>
    <t>CBH3,5 UG CS RS M21</t>
  </si>
  <si>
    <t>CANHÃO MONITOR C/ ESGUICHO MANUAL 1.1/2</t>
  </si>
  <si>
    <t>CBH3,5 UG SS RS M21</t>
  </si>
  <si>
    <t>BOMBA LOBULAR 4" BL4001</t>
  </si>
  <si>
    <t>F6 CS RS/RS A60 MT M22</t>
  </si>
  <si>
    <t>CBH3,5 UG SS RS MM M21</t>
  </si>
  <si>
    <t>KIT BOMBA MULTI-FLEX SEMI-COMPLETO (SEM GAIOLA)</t>
  </si>
  <si>
    <t>CBHM5000 CA SC T ABA MM P750(I) M20</t>
  </si>
  <si>
    <t>PNEU RODOV. 700X16 CT52 10 Pr - 10</t>
  </si>
  <si>
    <t>CBH5 FO CS RD M21</t>
  </si>
  <si>
    <t>010121CO</t>
  </si>
  <si>
    <t>PNEU 7.50-16 IMPL (16TT 10PR RA45)</t>
  </si>
  <si>
    <t>CBH5 FO SC RD BE M21</t>
  </si>
  <si>
    <t>CBH9 SS T R15,5 P400 M22</t>
  </si>
  <si>
    <t>PNEU 750X16 10 LONAS</t>
  </si>
  <si>
    <t>CBH5 FO SC RD BE MM M21</t>
  </si>
  <si>
    <t>CBH7-2E FO SS RS/T R15,5 M21</t>
  </si>
  <si>
    <t>PNEU RODOV. 650 X16 CT52 6 Pr - 06</t>
  </si>
  <si>
    <t>CBH5 FO SC RD M21</t>
  </si>
  <si>
    <t>PNEU 165/70 ARO 13</t>
  </si>
  <si>
    <t>CBH5 FO SC RD MM M21</t>
  </si>
  <si>
    <t>PNEU 400/60-15.5 SMHF I3 14L S/C</t>
  </si>
  <si>
    <t>CBH5 FO SC RD MM P750(I) M21</t>
  </si>
  <si>
    <t>CAMARA AR 750X16 (16" L430)</t>
  </si>
  <si>
    <t>CBH5 FO SC T M21</t>
  </si>
  <si>
    <t>CAMARA AR 600X16 (16" L360)</t>
  </si>
  <si>
    <t>CBH5 FO SC T MM M21</t>
  </si>
  <si>
    <t>CBH5 FO SS RD M21</t>
  </si>
  <si>
    <t>CBH5 FO SS RD MM M21</t>
  </si>
  <si>
    <t>CBH5 FO SS RD MM P750(I) M21</t>
  </si>
  <si>
    <t>CBH5 FO SS RD P750(I) M21</t>
  </si>
  <si>
    <t>CBH5 FO SS T BE M21</t>
  </si>
  <si>
    <t>CBH5 FO SS T M21</t>
  </si>
  <si>
    <t>CBH5 FO SS T MM M21</t>
  </si>
  <si>
    <t>CBH5 FO-1M CS RD M21</t>
  </si>
  <si>
    <t>CBH5 FO-1M CS RD P750(I) M21</t>
  </si>
  <si>
    <t>CBH5 FO-1M SC RD M21</t>
  </si>
  <si>
    <t>CBH5 FO-1M SC RD MM P750(I) M21</t>
  </si>
  <si>
    <t>CBH5 FO-1M SS RD BE M21</t>
  </si>
  <si>
    <t>CBH5 FO-1M SS RD M21</t>
  </si>
  <si>
    <t>CBH5 FO-1M SS RD MM M21</t>
  </si>
  <si>
    <t>CBH5 FO-1M SS RD MM P750(I) M21</t>
  </si>
  <si>
    <t>CBH5 FO-1M SS RD P750(I) M21</t>
  </si>
  <si>
    <t>CBH5 FO-1M SS T BE M21</t>
  </si>
  <si>
    <t>CBH5 FO-1M SS T BE MM P750(I) M21</t>
  </si>
  <si>
    <t>CBH5 FO-1M SS T M21</t>
  </si>
  <si>
    <t>CBH5 FO-1M SS T MM M21</t>
  </si>
  <si>
    <t>CBH5 UG CS RD M21</t>
  </si>
  <si>
    <t>CBH5 UG CS RD P750(I) M21</t>
  </si>
  <si>
    <t>CBH5 UG SC T M21</t>
  </si>
  <si>
    <t>CBH5 UG SS RD M21</t>
  </si>
  <si>
    <t>CBH5 UG SS RD P750(I) M21</t>
  </si>
  <si>
    <t>CBH5 UG SS T M21</t>
  </si>
  <si>
    <t>CBH5 UG SS T MM M21</t>
  </si>
  <si>
    <t>CBH5 UG SS T P750(I) M21</t>
  </si>
  <si>
    <t>CBH6 FO SC RD M22</t>
  </si>
  <si>
    <t>CBH6 FO SC RD MM M22</t>
  </si>
  <si>
    <t>CBH6 FO SS RD P750(I) M22</t>
  </si>
  <si>
    <t>CBH6 FO SS T M22</t>
  </si>
  <si>
    <t>CBH6 FO SS T MM M22</t>
  </si>
  <si>
    <t>CBH6 FO-1M SC RD M22</t>
  </si>
  <si>
    <t>CBH6 FO-1M SS RD M22</t>
  </si>
  <si>
    <t>CBH6 FO-1M SS RD MM M22</t>
  </si>
  <si>
    <t>CBH6 FO-1M SS RD P750(I) M22</t>
  </si>
  <si>
    <t>CBH6 FO-1M SS T M22</t>
  </si>
  <si>
    <t>CBH6 FO-1M SS T P750(I) M22</t>
  </si>
  <si>
    <t>CBH6 UG SC RD M22</t>
  </si>
  <si>
    <t>CBH6 UG SS RD M22</t>
  </si>
  <si>
    <t>CBH6 UG SS RD P750(I) M22</t>
  </si>
  <si>
    <t>CBH6 UG SS T M22</t>
  </si>
  <si>
    <t>CBH6-2E FO SS RS/RD M21</t>
  </si>
  <si>
    <t>CBH6-2E FO SS RS/RD P750(I) M21</t>
  </si>
  <si>
    <t>CBH6-2E FO SS RS/T M21</t>
  </si>
  <si>
    <t>CBH6-2E FO SS RS/T P750(I) M21</t>
  </si>
  <si>
    <t>CBH6-2E FO-1M SS RS/RD M21</t>
  </si>
  <si>
    <t>CBH6-2E FO-1M SS RS/T M21</t>
  </si>
  <si>
    <t>CBH6-2E UG SS RS/RD M21</t>
  </si>
  <si>
    <t>CBH6R FO SC T M21</t>
  </si>
  <si>
    <t>CBH6R FO SC T P750(I) M21</t>
  </si>
  <si>
    <t>CBH6R FO SS T M21</t>
  </si>
  <si>
    <t>CBH6R FO SS T MM M21</t>
  </si>
  <si>
    <t>CBH6R FO SS T P750(I) M21</t>
  </si>
  <si>
    <t>CBH7 FO SC RD M21</t>
  </si>
  <si>
    <t>CBH7 FO SC RD MM M21</t>
  </si>
  <si>
    <t>CBH7 FO SC T M21</t>
  </si>
  <si>
    <t>CBH7 FO SC T MM M21</t>
  </si>
  <si>
    <t>CBH7 FO SS RD M21</t>
  </si>
  <si>
    <t>CBH7 FO SS RD MM M21</t>
  </si>
  <si>
    <t>CBH7 FO SS RD MM P750(I) M21</t>
  </si>
  <si>
    <t>CBH7 FO SS RD P750(I) M21</t>
  </si>
  <si>
    <t>CBH7 FO SS T M21</t>
  </si>
  <si>
    <t>CBH7 FO SS T MM M21</t>
  </si>
  <si>
    <t>CBH7 FO SS T MM P750(I) M21</t>
  </si>
  <si>
    <t>CBH7 FO SS T P750(I) M21</t>
  </si>
  <si>
    <t>CBH7 FO-1M SS RD M21</t>
  </si>
  <si>
    <t>CBH7 FO-1M SS RD P750(I) M21</t>
  </si>
  <si>
    <t>CBH7 FO-1M SS T M21</t>
  </si>
  <si>
    <t>CBH7 UG SC RD M21</t>
  </si>
  <si>
    <t>CBH7 UG SS RD M21</t>
  </si>
  <si>
    <t>CBH7 UG SS RD P750(I) M21</t>
  </si>
  <si>
    <t>CBH7 UG SS T M21</t>
  </si>
  <si>
    <t>CBH9 SS T R15,5 M22</t>
  </si>
  <si>
    <t>CBHL6000 CS RS/RS M20</t>
  </si>
  <si>
    <t>CBHM10000 SS RD M17</t>
  </si>
  <si>
    <t>CBHM10000 SS RD P750(I) M17</t>
  </si>
  <si>
    <t>CBHM10000-2E SS RS/RD M17</t>
  </si>
  <si>
    <t>CBHM10000-2E SS RS/RD P750(I) M17</t>
  </si>
  <si>
    <t>CBHM10000-2E SS RS/RS M17</t>
  </si>
  <si>
    <t>CBHM10000-2E SS RS/T M20</t>
  </si>
  <si>
    <t>CBHM3500 CS RD M17</t>
  </si>
  <si>
    <t>CBHM3500 CS RS M17</t>
  </si>
  <si>
    <t>CBHM3500 SC RD BE M17</t>
  </si>
  <si>
    <t>CBHM3500 SC RD M17</t>
  </si>
  <si>
    <t>CBHM3500 SC RS M17</t>
  </si>
  <si>
    <t>CBHM3500 SS RD M17</t>
  </si>
  <si>
    <t>CBHM3500 SS RD MM M17</t>
  </si>
  <si>
    <t>CBHM3500 SS RD P750(I) M17</t>
  </si>
  <si>
    <t>CBHM3500 SS RS M17</t>
  </si>
  <si>
    <t>CBHM3500 SS RS MM M17</t>
  </si>
  <si>
    <t>CBHM3500 SS RS P750(I) M17</t>
  </si>
  <si>
    <t>CBHM4500 SC RD M17</t>
  </si>
  <si>
    <t>CBHM4500 SC RS M17</t>
  </si>
  <si>
    <t>CBHM4500 SS RD M17</t>
  </si>
  <si>
    <t>CBHM4500 SS RD MM M17</t>
  </si>
  <si>
    <t>CBHM4500 SS RD MM P750(I) M17</t>
  </si>
  <si>
    <t>CBHM4500 SS RD P750(I) M17</t>
  </si>
  <si>
    <t>CBHM4500 SS RS M17</t>
  </si>
  <si>
    <t>CBHM5000 CA SC RD ABA MM P750(I) M17</t>
  </si>
  <si>
    <t>CBHM5000 CA SC RD M17</t>
  </si>
  <si>
    <t>CBHM5000 CA SC RD MM M17</t>
  </si>
  <si>
    <t>CBHM5000 CA SC RD MM P750(I) M17</t>
  </si>
  <si>
    <t>CBHM5000 CA SS RD MM M17</t>
  </si>
  <si>
    <t>CBHM5000 GR CS RD M17</t>
  </si>
  <si>
    <t>CBHM5000 GR SC RD BE M17</t>
  </si>
  <si>
    <t>CBHM5000 GR SC RD BE MM M17</t>
  </si>
  <si>
    <t>CBHM5000 GR SC RD BE P750(I) M17</t>
  </si>
  <si>
    <t>CBHM5000 GR SC RD M17</t>
  </si>
  <si>
    <t>CBHM5000 GR SC RD MM M17</t>
  </si>
  <si>
    <t>CBHM5000 GR SC RD MM P750(I) M17</t>
  </si>
  <si>
    <t>CBHM5000 GR SC RD P750(I) M17</t>
  </si>
  <si>
    <t>CBHM5000 GR SC T M20</t>
  </si>
  <si>
    <t>CBHM5000 GR SC T MM M20</t>
  </si>
  <si>
    <t>CBHM5000 GR SC T MM P750(I) M20</t>
  </si>
  <si>
    <t>CBHM5000 GR SS RD BE M17</t>
  </si>
  <si>
    <t>CBHM5000 GR SS RD BE MM M17</t>
  </si>
  <si>
    <t>CBHM5000 GR SS RD BE MM P750(I) M17</t>
  </si>
  <si>
    <t>CBHM5000 GR SS RD M17</t>
  </si>
  <si>
    <t>CBHM5000 GR SS RD MM M17</t>
  </si>
  <si>
    <t>CBHM5000 GR SS RD P750(I) M17</t>
  </si>
  <si>
    <t>CBHM5000 GR SS T M20</t>
  </si>
  <si>
    <t>CBHM5000 GR SS T MM M20</t>
  </si>
  <si>
    <t>CBHM5000 GR SS T P700(R) M20</t>
  </si>
  <si>
    <t>CBHM5000 GR SS T P750(I) M20</t>
  </si>
  <si>
    <t>CBHM6000 CA SC RD ABA MM P750(I) M21</t>
  </si>
  <si>
    <t>CBHM6000 CA SC RD M21</t>
  </si>
  <si>
    <t>CBHM6000 CA SC RD MM M21</t>
  </si>
  <si>
    <t>CBHM6000 CA SC RD MM P750(I) M21</t>
  </si>
  <si>
    <t>CBHM6000 CA SC RD P750(I) M21</t>
  </si>
  <si>
    <t>CBHM6000 CA SC T M21</t>
  </si>
  <si>
    <t>CBHM6000 CA SC T MM M21</t>
  </si>
  <si>
    <t>CBHM6000 CA SS RD ABA P750(I) M21</t>
  </si>
  <si>
    <t>CBHM6000 CA SS RD M21</t>
  </si>
  <si>
    <t>CBHM6000 CA SS RD MM M21</t>
  </si>
  <si>
    <t>CBHM6000 CA SS RD MM P750(I) M21</t>
  </si>
  <si>
    <t>CBHM6000 CA SS RD P750(I) M21</t>
  </si>
  <si>
    <t>CBHM6000 CA SS T M21</t>
  </si>
  <si>
    <t>CBHM6000 CA SS T MM M21</t>
  </si>
  <si>
    <t>CBHM6000 UG SC RD M17</t>
  </si>
  <si>
    <t>CBHM6000 UG SC RD MM M17</t>
  </si>
  <si>
    <t>CBHM6000 UG SC RD MM P750(I) M17</t>
  </si>
  <si>
    <t>CBHM6000 UG SC RD P750(I) M17</t>
  </si>
  <si>
    <t>CBHM6000 UG SS RD M17</t>
  </si>
  <si>
    <t>CBHM6000 UG SS RD MM M17</t>
  </si>
  <si>
    <t>CBHM6000 UG SS RD P750(I) M17</t>
  </si>
  <si>
    <t>CBHM6000 UG SS T M20</t>
  </si>
  <si>
    <t>CBHM6000 UG SS T MM M20</t>
  </si>
  <si>
    <t>CBHM6000 UG SS T P750(I) M20</t>
  </si>
  <si>
    <t>CBHM6000-2E SS RS/RD M17</t>
  </si>
  <si>
    <t>CBHM6000-2E SS RS/RD P750(I) M17</t>
  </si>
  <si>
    <t>CBHM6000-2E SS RS/RS M17</t>
  </si>
  <si>
    <t>CBHM6000-2E SS RS/RS P750(I) M17</t>
  </si>
  <si>
    <t>CBHM8000 CS RD M17</t>
  </si>
  <si>
    <t>CBHM8000 SC RD BE M17</t>
  </si>
  <si>
    <t>CBHM8000 SC RD M17</t>
  </si>
  <si>
    <t>CBHM8000 SS RD M17</t>
  </si>
  <si>
    <t>CBHM8000 SS RD MM M17</t>
  </si>
  <si>
    <t>CBHM8000 SS RD P750(I) M17</t>
  </si>
  <si>
    <t>CBHM8000 SS T M20</t>
  </si>
  <si>
    <t>F4 CS RS/RS A45 M22</t>
  </si>
  <si>
    <t>F4 CS RS/RS A45 MT M22</t>
  </si>
  <si>
    <t>F4 CS RS/RS A45 MT P750(I) M22</t>
  </si>
  <si>
    <t>F4 CS RS/RS A45 P750(I) M22</t>
  </si>
  <si>
    <t>F4 CS RS/RS A60 M22</t>
  </si>
  <si>
    <t>F4 CS RS/RS A90 M22</t>
  </si>
  <si>
    <t>F4 CS RS/RS A90 MT M22</t>
  </si>
  <si>
    <t>F4 CS RS/RS A90 MT P750(I) M22</t>
  </si>
  <si>
    <t>F4 SS RS/RS A45 M22</t>
  </si>
  <si>
    <t>F4 SS RS/RS A45 MT M22</t>
  </si>
  <si>
    <t>F4 SS RS/RS A45 MT P750(I) M22</t>
  </si>
  <si>
    <t>F4 SS RS/RS A45 P750(I) M22</t>
  </si>
  <si>
    <t>F4 SS RS/RS A60 M22</t>
  </si>
  <si>
    <t>F4 SS RS/RS A90 CB M22</t>
  </si>
  <si>
    <t>F4 SS RS/RS A90 M22</t>
  </si>
  <si>
    <t>F4 SS RS/RS A90 MT M22</t>
  </si>
  <si>
    <t>F6 CS RS/RS A45 CB M22</t>
  </si>
  <si>
    <t>F6 CS RS/RS A45 CB P750(I) M22</t>
  </si>
  <si>
    <t>F6 CS RS/RS A45 M22</t>
  </si>
  <si>
    <t>F6 CS RS/RS A45 MT CB M22</t>
  </si>
  <si>
    <t>F6 CS RS/RS A45 MT M22</t>
  </si>
  <si>
    <t>F6 CS RS/RS A45 P750(I) M22</t>
  </si>
  <si>
    <t>F6 CS RS/RS A60 M22</t>
  </si>
  <si>
    <t>F6 CS RS/RS A90 CB P750(I) M22</t>
  </si>
  <si>
    <t>F6 CS RS/RS A90 M22</t>
  </si>
  <si>
    <t>F6 CS RS/RS A90 MT M22</t>
  </si>
  <si>
    <t>F6 CS RS/RS A90 P750(I) M22</t>
  </si>
  <si>
    <t>F6 SS RS/RS A45 M22</t>
  </si>
  <si>
    <t>F6 SS RS/RS A45 MT M22</t>
  </si>
  <si>
    <t>F6 SS RS/RS A45 P750(I) M22</t>
  </si>
  <si>
    <t>F6 SS RS/RS A60 M22</t>
  </si>
  <si>
    <t>F6 SS RS/RS A60 P750(I) M22</t>
  </si>
  <si>
    <t>F6 SS RS/RS A90 M22</t>
  </si>
  <si>
    <t>F6 SS RS/RS A90 MT M22</t>
  </si>
  <si>
    <t>F6B SS RS/RD M22</t>
  </si>
  <si>
    <t>F6B SS RS/RD P750(I) M22</t>
  </si>
  <si>
    <t>F6C SS RS/RS B2M CB M22</t>
  </si>
  <si>
    <t>F6C SS RS/RS CB P750(I) M22</t>
  </si>
  <si>
    <t>FA2 SS T M23</t>
  </si>
  <si>
    <t>FA2 SS T P175(R) M23</t>
  </si>
  <si>
    <t>FA2A SS T M23</t>
  </si>
  <si>
    <t>FA2A SS T P175(R) M23</t>
  </si>
  <si>
    <t>FA4 CS RD A45 M22</t>
  </si>
  <si>
    <t>FA4 CS RD A60 M22</t>
  </si>
  <si>
    <t>FA4 CS RD A90 M22</t>
  </si>
  <si>
    <t>FA4 CS RS A45 M22</t>
  </si>
  <si>
    <t>FA4 CS RS A60 M22</t>
  </si>
  <si>
    <t>FA4 CS RS A90 M22</t>
  </si>
  <si>
    <t>FA4 FB CS RD A45 M22</t>
  </si>
  <si>
    <t>FA4 FB CS RD A90 M22</t>
  </si>
  <si>
    <t>FA4 FB SS RD A45 M22</t>
  </si>
  <si>
    <t>FA4 FB SS RD A45 P750(I) M22</t>
  </si>
  <si>
    <t>FA4 FB SS RD A60 M22</t>
  </si>
  <si>
    <t>FA4 FB SS RD A90 M22</t>
  </si>
  <si>
    <t>FA4 FB SS RS A45 P750(I) M22</t>
  </si>
  <si>
    <t>FA4 FB SS RS A60 M22</t>
  </si>
  <si>
    <t>FA4 FB SS RS A60 P750(I) M22</t>
  </si>
  <si>
    <t>FA4 FB SS RS A90 M22</t>
  </si>
  <si>
    <t>FA4 SS RS A90 M22</t>
  </si>
  <si>
    <t>FA6 SS RD A45 M22</t>
  </si>
  <si>
    <t>FA6 SS T A45 M22</t>
  </si>
  <si>
    <t>FA6 SS T A90 M22</t>
  </si>
  <si>
    <t>FA6F SS T M22</t>
  </si>
  <si>
    <t>FA6F SS T P750(I) M22</t>
  </si>
  <si>
    <t>FT10500-2E SS RS/RS R15,5 BB P400 M22</t>
  </si>
  <si>
    <t>FT12500 SS RS/T R15,5 BB M22</t>
  </si>
  <si>
    <t>FT12500 SS RS/T R15,5 BB P400 M22</t>
  </si>
  <si>
    <t>FTC4300 CS RS/RS BB M22</t>
  </si>
  <si>
    <t>FTC4300 CS RS/RS BB P750(I) M22</t>
  </si>
  <si>
    <t>FTC4300 CS RS/RS M22</t>
  </si>
  <si>
    <t>FTC4300 CS RS/RS P750(I) M22</t>
  </si>
  <si>
    <t>FTC4300 SS RS/RS BB M22</t>
  </si>
  <si>
    <t>FTC4300 SS RS/RS BB P750(I) M22</t>
  </si>
  <si>
    <t>FTC4300 SS RS/RS M22</t>
  </si>
  <si>
    <t>FTC4300 SS RS/RS P750(I) M22</t>
  </si>
  <si>
    <t>FTC4300 SS RS/RS PL M22</t>
  </si>
  <si>
    <t>FTC4300 SS RS/RS PL P750(I) M22</t>
  </si>
  <si>
    <t>FTC4300-1E CS RD M22</t>
  </si>
  <si>
    <t>FTC4300-1E SS RD BB M22</t>
  </si>
  <si>
    <t>FTC4300-1E SS RD BB P750(I) M22</t>
  </si>
  <si>
    <t>FTC4300-1E SS RD M22</t>
  </si>
  <si>
    <t>FTC4300-1E SS RD P750(I) M22</t>
  </si>
  <si>
    <t>FTC4300-1E SS RD PL P750(I) M22</t>
  </si>
  <si>
    <t>FTC6500 CS RS/RS BB P750(I) M22</t>
  </si>
  <si>
    <t>FTC6500 CS RS/RS M22</t>
  </si>
  <si>
    <t>FTC6500 CS RS/RS P750(I) M22</t>
  </si>
  <si>
    <t>FTC6500 CS RS/RS PL M22</t>
  </si>
  <si>
    <t>FTC6500 CS RS/RS PL P750(I) M22</t>
  </si>
  <si>
    <t>FTC6500 SS RS/RD M22</t>
  </si>
  <si>
    <t>FTC6500 SS RS/RD PL M22</t>
  </si>
  <si>
    <t>FTC6500 SS RS/RS BB M22</t>
  </si>
  <si>
    <t>FTC6500 SS RS/RS BB P750(I) M22</t>
  </si>
  <si>
    <t>FTC6500 SS RS/RS M22</t>
  </si>
  <si>
    <t>FTC6500 SS RS/RS P750(I) M22</t>
  </si>
  <si>
    <t>FTC6500 SS RS/RS PL M22</t>
  </si>
  <si>
    <t>FTC6500 SS RS/RS PL P750(I) M22</t>
  </si>
  <si>
    <t>FTC6500-1E SS T BB M22</t>
  </si>
  <si>
    <t>FTC6500-1E SS T M22</t>
  </si>
  <si>
    <t>FTD5000 SS T M22</t>
  </si>
  <si>
    <t>FTC4300-1E CS RD P750(I) M22</t>
  </si>
  <si>
    <t>FTC4300-1E SS RD PL M22</t>
  </si>
  <si>
    <t>FTC6500-1E SS RD PL M22</t>
  </si>
  <si>
    <t>FTC6500-1E SS RD M22</t>
  </si>
  <si>
    <t>FA6 SS RD A90 M22</t>
  </si>
  <si>
    <t>622646M20</t>
  </si>
  <si>
    <t>622647M20</t>
  </si>
  <si>
    <t>622654M20</t>
  </si>
  <si>
    <t>622667M20</t>
  </si>
  <si>
    <t>DataRef.</t>
  </si>
  <si>
    <t>Carreta</t>
  </si>
  <si>
    <t>#N/D</t>
  </si>
  <si>
    <t>610045M17</t>
  </si>
  <si>
    <t>610082M17</t>
  </si>
  <si>
    <t>614993M17</t>
  </si>
  <si>
    <t>619336M17</t>
  </si>
  <si>
    <t>619365M17</t>
  </si>
  <si>
    <t>621500M21</t>
  </si>
  <si>
    <t>622151M23</t>
  </si>
  <si>
    <t>622300M23</t>
  </si>
  <si>
    <t>622704M21</t>
  </si>
  <si>
    <t>622812M21</t>
  </si>
  <si>
    <t>622858M20</t>
  </si>
  <si>
    <t>622935M17</t>
  </si>
  <si>
    <t>622981M22</t>
  </si>
  <si>
    <t>623063LC</t>
  </si>
  <si>
    <t>623075LC</t>
  </si>
  <si>
    <t>623233M22</t>
  </si>
  <si>
    <t>623302M22</t>
  </si>
  <si>
    <t>CBH12 SS RS/T R15,5 M22</t>
  </si>
  <si>
    <t>CBH12 SS RS/T R15,5 P400 M22</t>
  </si>
  <si>
    <t>CBH5 FO SS RD P750(I) M21 VM</t>
  </si>
  <si>
    <t>CBH5 FO SS RS R20 M21</t>
  </si>
  <si>
    <t>CBH5 FO SS T MM P750(I) M21</t>
  </si>
  <si>
    <t>CBH5 FO SS T R20 M21</t>
  </si>
  <si>
    <t>CBH5 FO-1M SC RD BE M21</t>
  </si>
  <si>
    <t>CBH5 FO-1M SS T MM P750(I) M21</t>
  </si>
  <si>
    <t>CBH5 UG SS RS R20 M21</t>
  </si>
  <si>
    <t>CBH5 UG SS T R20 M21</t>
  </si>
  <si>
    <t>CBH6 FO SC RD MM P750(I) M22</t>
  </si>
  <si>
    <t>CBH6 FO SS RD M22</t>
  </si>
  <si>
    <t>CBH6 FO SS RD MM M22</t>
  </si>
  <si>
    <t>CBH6 FO SS RD MM P750(I) M22</t>
  </si>
  <si>
    <t>CBH6 FO SS T MM P750(I) M22</t>
  </si>
  <si>
    <t>CBH6 FO SS T P750(I) M22</t>
  </si>
  <si>
    <t>CBH6 FO SS T R20 M22</t>
  </si>
  <si>
    <t>CBH6 FO SS T TTUG P750(I) M22</t>
  </si>
  <si>
    <t>CBH6 FO-1M SS T R15,5 P400 M22</t>
  </si>
  <si>
    <t>CBH6 UG SS T R20 M22</t>
  </si>
  <si>
    <t>CBH6-2E FO SS RS/RD CB P750(I) M21</t>
  </si>
  <si>
    <t>CBH6-2E FO SS RS/RD TTUG P750(I) M21</t>
  </si>
  <si>
    <t>CBH6-2E FO SS RS/RS R20 M21</t>
  </si>
  <si>
    <t>CBH6R FO SS RD M21</t>
  </si>
  <si>
    <t>CBH7 FO SS T R15,5 M21</t>
  </si>
  <si>
    <t>CBH7 FO SS T R15,5 P400 M21</t>
  </si>
  <si>
    <t>CBH7 FO SS T R20 M21</t>
  </si>
  <si>
    <t>CBH7 FO+UG SS RD P750(I) M21</t>
  </si>
  <si>
    <t>CBH7 UG SS T R20 M21</t>
  </si>
  <si>
    <t>CBH7-2E FO SS R15,5 RS/RS M23</t>
  </si>
  <si>
    <t>CBH7-2E FO SS RS/RD M21</t>
  </si>
  <si>
    <t>CBH7-2E FO SS RS/RS R20 M21</t>
  </si>
  <si>
    <t>CBH7-2E FO SS RS/T M21</t>
  </si>
  <si>
    <t>CBH7-2E FO SS RS/T R15,5 P400 M21</t>
  </si>
  <si>
    <t>CBH7-2E FO-1M SS RS/RD M21</t>
  </si>
  <si>
    <t>CBH7-2E UG SS RS/RD M21</t>
  </si>
  <si>
    <t>CBH9 SS T M22</t>
  </si>
  <si>
    <t>CBH9 SS T R15,5 P400 M23</t>
  </si>
  <si>
    <t>CBH9 SS T R15,5" M22</t>
  </si>
  <si>
    <t>CBH9-2E SS RS/RS M22</t>
  </si>
  <si>
    <t>CBH9-2E SS RS/RS P900(I) M22</t>
  </si>
  <si>
    <t>CBH9-2E SS RS/RS R15,5 M22</t>
  </si>
  <si>
    <t>CBH9-2E SS RS/RS R15,5 P400 M22</t>
  </si>
  <si>
    <t>CBH9-2E SS RS/RS R15,5 P400 M23</t>
  </si>
  <si>
    <t>CBHL3000 CS RS/RS TH CB M23</t>
  </si>
  <si>
    <t>CBHL6000 CS RS/RS CB M20</t>
  </si>
  <si>
    <t>CBHL6000 CS RS/RS P750(I) M20</t>
  </si>
  <si>
    <t>CBHM10000 SS T M20</t>
  </si>
  <si>
    <t>CBHM10000 SS T R15,5 M20</t>
  </si>
  <si>
    <t>CBHM10000 SS T R15,5 P400 M20</t>
  </si>
  <si>
    <t>CBHM10000-2E SS RS/RS R15,5 M17</t>
  </si>
  <si>
    <t>CBHM10000-2E SS RS/RS R15,5 P400 M17</t>
  </si>
  <si>
    <t>CBHM3500 CC RD M17</t>
  </si>
  <si>
    <t>CBHM3500 CC RS M17</t>
  </si>
  <si>
    <t>CBHM3500 SC RD P750(I) M17</t>
  </si>
  <si>
    <t>CBHM3500 SS RD MM M17 VM</t>
  </si>
  <si>
    <t>CBHM5000 CA SC RD ABA MM M17</t>
  </si>
  <si>
    <t>CBHM5000 CA SS RD ABA MM P750(I) M17</t>
  </si>
  <si>
    <t>CBHM5000 CA SS RD MM P750(I) M17</t>
  </si>
  <si>
    <t>CBHM5000 CA SS T ABA MM M20</t>
  </si>
  <si>
    <t>CBHM5000 CA SS T ABA MM P750(I) M20</t>
  </si>
  <si>
    <t>CBHM5000 GR CC RD M17</t>
  </si>
  <si>
    <t>CBHM5000 GR SS T MM P750(I) M20</t>
  </si>
  <si>
    <t>CBHM6000 CA SC RD ABA MM M21</t>
  </si>
  <si>
    <t>CBHM6000 CA SC T MM P750(I) M21</t>
  </si>
  <si>
    <t>CBHM6000 CA SS RD ABA MM P750(I) M21</t>
  </si>
  <si>
    <t>CBHM6000 UG SS T R15,5 M20</t>
  </si>
  <si>
    <t>CBHM6000 UG SS T R15,5 P400 M20</t>
  </si>
  <si>
    <t>CBHM6000-2E SS RS/RS R15,5 M17</t>
  </si>
  <si>
    <t>CBHM6000-2E SS RS/RS R15,5 P400 M17</t>
  </si>
  <si>
    <t>CBHM6000-2E SS RS/T M20</t>
  </si>
  <si>
    <t>CBHM6000-2E SS RS/T P750(I) M20</t>
  </si>
  <si>
    <t>CHASSI F4 CS M17</t>
  </si>
  <si>
    <t>CHASSI F4 SS M17</t>
  </si>
  <si>
    <t>CHASSI F6 CS M17</t>
  </si>
  <si>
    <t>CHASSI F6 SS M17</t>
  </si>
  <si>
    <t>F4 SS RS/RS A60 P750(I) M22</t>
  </si>
  <si>
    <t>F4 SS RS/RS A60 P750(I) M23</t>
  </si>
  <si>
    <t>F4 SS RS/RS A90 CB P750(I) M22</t>
  </si>
  <si>
    <t>F6 CS RS/RS A90 MT P750(I) M22</t>
  </si>
  <si>
    <t>F6 CS RS/RS MT A45 M22</t>
  </si>
  <si>
    <t>F6 CS RS/RS MT A90 M22</t>
  </si>
  <si>
    <t>F6 SS RS/RS A45 MT P750(I) M22</t>
  </si>
  <si>
    <t>F6 SS RS/RS MT A45 M22</t>
  </si>
  <si>
    <t>F6 SS RS/RS MT A90 M22</t>
  </si>
  <si>
    <t>F6B SS RS/RD M23</t>
  </si>
  <si>
    <t>F6C SS RS/RS B2M CB M23</t>
  </si>
  <si>
    <t>F6C SS RS/RS CB M22</t>
  </si>
  <si>
    <t>F6C SS RS/RS CB M23</t>
  </si>
  <si>
    <t>F6C SS RS/RS M22</t>
  </si>
  <si>
    <t>F6C SS RS/RS P750(I) M22</t>
  </si>
  <si>
    <t>FA4 FB CS RD A60 M22</t>
  </si>
  <si>
    <t>FA4 FB SC RD A45 M22</t>
  </si>
  <si>
    <t>FA4 FB SC RD A45 M23</t>
  </si>
  <si>
    <t>FA4 FB SC RD A45 P750(I) M22</t>
  </si>
  <si>
    <t>FA4 FB SC RS A45 M22</t>
  </si>
  <si>
    <t>FA4 FB SC RS A45 M23</t>
  </si>
  <si>
    <t>FA4 FB SC RS A45 P750(I) M22</t>
  </si>
  <si>
    <t>FA4 FB SC RS A60 M22</t>
  </si>
  <si>
    <t>FA4 FB SC RS A60 M23</t>
  </si>
  <si>
    <t>FA4 FB SC RS A60 P750(I) M22</t>
  </si>
  <si>
    <t>FA4 FB SS RD A45 M23</t>
  </si>
  <si>
    <t>FA4 FB SS RD A60 M23</t>
  </si>
  <si>
    <t>FA4 FB SS RD A90 M23</t>
  </si>
  <si>
    <t>FA4 FB SS RD A90 P750(I) M22</t>
  </si>
  <si>
    <t>FA4 FB SS RS A45 M22</t>
  </si>
  <si>
    <t>FA4 FB SS RS A45 M23</t>
  </si>
  <si>
    <t>FA4 FB SS RS A60 M23</t>
  </si>
  <si>
    <t>FA4 SS RS A90 P750(I) M22</t>
  </si>
  <si>
    <t>FA5 SS T AD M23</t>
  </si>
  <si>
    <t>FA5 SS T AD P750(I) M23</t>
  </si>
  <si>
    <t>FA5 SS T M23</t>
  </si>
  <si>
    <t>FA6 SC RD A45 M22</t>
  </si>
  <si>
    <t>FA6 SS RD A45 M23</t>
  </si>
  <si>
    <t>FA6 SS RD A45 P750(I) M22</t>
  </si>
  <si>
    <t>FA6 SS RD A90 M23</t>
  </si>
  <si>
    <t>FA6 SS T A45 M23</t>
  </si>
  <si>
    <t>FA6 SS T A45 P750(I) M22</t>
  </si>
  <si>
    <t>FA6 SS T A90 M23</t>
  </si>
  <si>
    <t>FT10500 SS T BB KB R15,5 M22</t>
  </si>
  <si>
    <t>FT10500 SS T BB KB R15,5 P400 M22</t>
  </si>
  <si>
    <t>FT10500 SS T R15,5 M22</t>
  </si>
  <si>
    <t>FT10500 SS T R15,5 M23</t>
  </si>
  <si>
    <t>FT10500 SS T R20" M22</t>
  </si>
  <si>
    <t>FT10500-2E SS RS/RD BB BD M23</t>
  </si>
  <si>
    <t>FT10500-2E SS RS/RD BB M23</t>
  </si>
  <si>
    <t>FT10500-2E SS RS/RD M23</t>
  </si>
  <si>
    <t>FT10500-2E SS RS/RS BB M22</t>
  </si>
  <si>
    <t>FT10500-2E SS RS/RS BB P900(I) M22</t>
  </si>
  <si>
    <t>FT10500-2E SS RS/RS M22</t>
  </si>
  <si>
    <t>FT10500-2E SS RS/RS R15,5 BB BD M23</t>
  </si>
  <si>
    <t>FT10500-2E SS RS/RS R15,5 BB BD P400 M23</t>
  </si>
  <si>
    <t>FT10500-2E SS RS/RS R15,5 BB M23</t>
  </si>
  <si>
    <t>FT10500-2E SS RS/RS R15,5 BB P400 M23</t>
  </si>
  <si>
    <t>FT10500-2E SS RS/RS R15,5 M22</t>
  </si>
  <si>
    <t>FT10500-2E SS RS/RS R15,5 M23</t>
  </si>
  <si>
    <t>FT12500 SS RS/T BB BD M23</t>
  </si>
  <si>
    <t>FT12500 SS RS/T BB BD P900(I) M23</t>
  </si>
  <si>
    <t>FT12500 SS RS/T BB M22</t>
  </si>
  <si>
    <t>FT12500 SS RS/T BB M23</t>
  </si>
  <si>
    <t>FT12500 SS RS/T BB P900(I) M22</t>
  </si>
  <si>
    <t>FT12500 SS RS/T BB P900(I) M23</t>
  </si>
  <si>
    <t>FT12500 SS RS/T M22</t>
  </si>
  <si>
    <t>FT12500 SS RS/T M23</t>
  </si>
  <si>
    <t>FT12500 SS RS/T R15,5 BB BD M23</t>
  </si>
  <si>
    <t>FT12500 SS RS/T R15,5 BB BD P400 M23</t>
  </si>
  <si>
    <t>FT12500 SS RS/T R15,5 BB M23</t>
  </si>
  <si>
    <t>FT12500 SS RS/T R15,5 BB P400 M23</t>
  </si>
  <si>
    <t>FT12500 SS RS/T R15,5 M22</t>
  </si>
  <si>
    <t>FT12500 SS RS/T R15,5 M23</t>
  </si>
  <si>
    <t>FT6500 SS RS/RS M23</t>
  </si>
  <si>
    <t>FTC4300 CS RS/RS PL SPG P750(I) M22</t>
  </si>
  <si>
    <t>FTC4300-1E SS T M22</t>
  </si>
  <si>
    <t>FTC6500 CC RS/RS BB P750(I) M22</t>
  </si>
  <si>
    <t>FTC6500-1E SS RD BB M22</t>
  </si>
  <si>
    <t>FTC6500-1E SS RD BB P750(I) M22</t>
  </si>
  <si>
    <t>FTC6500-1E SS T BB P750(I) M22</t>
  </si>
  <si>
    <t>FTC6500-1E SS T PL M22</t>
  </si>
  <si>
    <t>FTD4000 SS RD BB M22</t>
  </si>
  <si>
    <t>FTD5000 SS T BB P750(I) M22</t>
  </si>
  <si>
    <t>MCF SS RS M23</t>
  </si>
  <si>
    <t>TESTE FTD5000 SS T BB M22+</t>
  </si>
  <si>
    <t>Recurso</t>
  </si>
  <si>
    <t>Nome</t>
  </si>
  <si>
    <t>Procedência</t>
  </si>
  <si>
    <t>Qtd.</t>
  </si>
  <si>
    <t>Un.</t>
  </si>
  <si>
    <t>Custo</t>
  </si>
  <si>
    <t>Nacional - 0</t>
  </si>
  <si>
    <t>KG</t>
  </si>
  <si>
    <t>120054</t>
  </si>
  <si>
    <t>CHAPA GQ 5/8 (15,8) 1010</t>
  </si>
  <si>
    <t>120121</t>
  </si>
  <si>
    <t>CHAPA FF #18 (1,21) 1010</t>
  </si>
  <si>
    <t>120133</t>
  </si>
  <si>
    <t>CHAPA FQ #14 (1,20 x 5,60m) 1010</t>
  </si>
  <si>
    <t>120157</t>
  </si>
  <si>
    <t>CHAPA GQ 3/8 (9,53) 1010</t>
  </si>
  <si>
    <t>120200</t>
  </si>
  <si>
    <t>CHAPA GQ 1/4 (1,20 x 4,05m) 1010</t>
  </si>
  <si>
    <t>120250</t>
  </si>
  <si>
    <t>120255</t>
  </si>
  <si>
    <t>CHAPA FQ #13 (1,20 x 3,51m) 1010</t>
  </si>
  <si>
    <t>120273</t>
  </si>
  <si>
    <t>CHAPA FQ 3,75mm. SAE-1006</t>
  </si>
  <si>
    <t>120303</t>
  </si>
  <si>
    <t>CHAPA FQ 3/16 (1,20 x 6,00m) 1010</t>
  </si>
  <si>
    <t>120352</t>
  </si>
  <si>
    <t>CHAPA GQ 1/2 (12,7) 1010</t>
  </si>
  <si>
    <t>120650</t>
  </si>
  <si>
    <t>CHAPA GQ 5/16(7,94) 1010</t>
  </si>
  <si>
    <t>Un</t>
  </si>
  <si>
    <t>212258</t>
  </si>
  <si>
    <t>ARR. DE PRES. MÉDIA - ZB 3/4"</t>
  </si>
  <si>
    <t>212301</t>
  </si>
  <si>
    <t>ARR. DE PRES. MÉDIA - ZB 1/2"</t>
  </si>
  <si>
    <t>258532</t>
  </si>
  <si>
    <t>PARAF SEX 1/2 X 2 " UNC ZB</t>
  </si>
  <si>
    <t>274124</t>
  </si>
  <si>
    <t>PORCA SEX 1/2 UNC ZB</t>
  </si>
  <si>
    <t>274203</t>
  </si>
  <si>
    <t>PORCA SEX 3/4" UNC ZB</t>
  </si>
  <si>
    <t>318416</t>
  </si>
  <si>
    <t>TINTA PÓ 26 LI LARANJA W RAL 2002 BR</t>
  </si>
  <si>
    <t>120900</t>
  </si>
  <si>
    <t>CHAPA FF #20 (0,91) 1010</t>
  </si>
  <si>
    <t>212028</t>
  </si>
  <si>
    <t>ARRUELA LISA 7/8"</t>
  </si>
  <si>
    <t>120535</t>
  </si>
  <si>
    <t>CHAPA FQ #12 (1,50 x 3,80m) 1010</t>
  </si>
  <si>
    <t>126202</t>
  </si>
  <si>
    <t>AÇO CHATO LAM 1/2 X 3" SAE-1020</t>
  </si>
  <si>
    <t>120509</t>
  </si>
  <si>
    <t>CHAPA GQ 3/4 (19,0) 1010</t>
  </si>
  <si>
    <t>120264</t>
  </si>
  <si>
    <t>CHAPA FQ #13 (1.20 x 3,20m) 1010</t>
  </si>
  <si>
    <t>258210</t>
  </si>
  <si>
    <t>PARAF SEX 3/4 X 1.1/2 UNC ZB</t>
  </si>
  <si>
    <t>120262</t>
  </si>
  <si>
    <t>CHAPA FQ #13 (1.50 x 4,00m) 1010</t>
  </si>
  <si>
    <t>120705</t>
  </si>
  <si>
    <t>CHAPA FQ #13 (1,20 x 6,00m) 1010</t>
  </si>
  <si>
    <t>120927</t>
  </si>
  <si>
    <t>CHAPA FQ #12 (1,50 x 2,55m) 1010</t>
  </si>
  <si>
    <t>120202</t>
  </si>
  <si>
    <t>CHAPA 1/4 (6.30 x 2440 x 6000) A36-CIVIL300</t>
  </si>
  <si>
    <t>CHAPA #11(3,04) A36/CIVIL300</t>
  </si>
  <si>
    <t>120305</t>
  </si>
  <si>
    <t>BOBINA CHAPA LQ 4.75 X 1,20 A36/CIVIL300</t>
  </si>
  <si>
    <t>120203</t>
  </si>
  <si>
    <t>BOBINA CHAPA LQ 6.30 X 1,20 1008/1010</t>
  </si>
  <si>
    <t>Referência Principal</t>
  </si>
  <si>
    <t>623207M22</t>
  </si>
  <si>
    <t xml:space="preserve">FT10500 SS T R15,5 M22 - </t>
  </si>
  <si>
    <t>codigo_nome</t>
  </si>
  <si>
    <t>REFERÊNCIA:</t>
  </si>
  <si>
    <t>033283LC</t>
  </si>
  <si>
    <t>TANQUE COMPLETO 5000L LARANJA [FTD5000 M22]</t>
  </si>
  <si>
    <t>623271M22</t>
  </si>
  <si>
    <t xml:space="preserve">FT10500 SS T R20" M22 - </t>
  </si>
  <si>
    <t>ACRE</t>
  </si>
  <si>
    <t>033495LC</t>
  </si>
  <si>
    <t>TANQUE COMPLETO LARANJA [FT10500 M22]</t>
  </si>
  <si>
    <t>623338M23</t>
  </si>
  <si>
    <t xml:space="preserve">FT10500-2E SS RS/RS R15,5 BB BD M23 - </t>
  </si>
  <si>
    <t>622813M21</t>
  </si>
  <si>
    <t>033517LC</t>
  </si>
  <si>
    <t>TANQUE COMPLETO LARANJA [FT12500 M22]</t>
  </si>
  <si>
    <t>623209M23</t>
  </si>
  <si>
    <t xml:space="preserve">FT10500-2E SS RS/RS R15,5 BB BD P400 M23 - </t>
  </si>
  <si>
    <t>033517VJ</t>
  </si>
  <si>
    <t>TANQUE COMPLETO VERDE [FT12500 M22]</t>
  </si>
  <si>
    <t>623337M23</t>
  </si>
  <si>
    <t xml:space="preserve">FT10500-2E SS RS/RS R15,5 BB M23 - </t>
  </si>
  <si>
    <t>623111M21</t>
  </si>
  <si>
    <t>033594LC</t>
  </si>
  <si>
    <t>TANQUE COMPLETO LARANJA [FT10500-2E M22]</t>
  </si>
  <si>
    <t>623336M23</t>
  </si>
  <si>
    <t xml:space="preserve">FT10500-2E SS RS/RS R15,5 BB P400 M23 - </t>
  </si>
  <si>
    <t>034318LC</t>
  </si>
  <si>
    <t>TANQUE COMPLETO LARANJA [FT10500-2E M23]</t>
  </si>
  <si>
    <t xml:space="preserve">FT12500 SS RS/T BB BD M23 - </t>
  </si>
  <si>
    <t>CBH3,5 UG SS RS P750(I) M21</t>
  </si>
  <si>
    <t>622779M21</t>
  </si>
  <si>
    <t>034400LC</t>
  </si>
  <si>
    <t>TANQUE COMPLETO LARANJA [FT12500 M23]</t>
  </si>
  <si>
    <t>623333M23</t>
  </si>
  <si>
    <t xml:space="preserve">FT12500 SS RS/T BB BD P900(I) M23 - </t>
  </si>
  <si>
    <t>621468M21</t>
  </si>
  <si>
    <t>034456LC</t>
  </si>
  <si>
    <t>TANQUE COMPLETO LARANJA [FT6500 M23]</t>
  </si>
  <si>
    <t>623241M23</t>
  </si>
  <si>
    <t xml:space="preserve">FT12500 SS RS/T BB M23 - </t>
  </si>
  <si>
    <t>622774M21</t>
  </si>
  <si>
    <t>610045M17RT</t>
  </si>
  <si>
    <t>F4 SS M17 "COM CUBO DE 5000" [CHASSI COM RODAS PARA CARRETA AGRICOLA 4,0T]</t>
  </si>
  <si>
    <t>623275M23</t>
  </si>
  <si>
    <t xml:space="preserve">FT12500 SS RS/T BB P900(I) M23 - </t>
  </si>
  <si>
    <t>622763M21</t>
  </si>
  <si>
    <t>610060M17</t>
  </si>
  <si>
    <t>FTC4300 SS M17 "IÇAMENTO LONGO" [CHASSI COM RODAS PARA CARRETA TANQUE  4,0T]</t>
  </si>
  <si>
    <t>623334M23</t>
  </si>
  <si>
    <t xml:space="preserve">FT12500 SS RS/T R15,5 BB BD M23 - </t>
  </si>
  <si>
    <t>621550M21</t>
  </si>
  <si>
    <t>610062M17</t>
  </si>
  <si>
    <t>FTC4300 CS M17 "IÇAMENTO LONGO" [CHASSI COM RODAS PARA CARRETA TANQUE 4,0T)</t>
  </si>
  <si>
    <t>623314M23</t>
  </si>
  <si>
    <t xml:space="preserve">FT12500 SS RS/T R15,5 BB BD P400 M23 - </t>
  </si>
  <si>
    <t>623112M21</t>
  </si>
  <si>
    <t>610082M17RT</t>
  </si>
  <si>
    <t>F6 SS M17 "COM CUBO DE 5000" [CHASSI COM RODAS PARA CARRETA AGRICOLA 6,0T]</t>
  </si>
  <si>
    <t>623165M22</t>
  </si>
  <si>
    <t xml:space="preserve">FT12500 SS RS/T R15,5 BB M22 - </t>
  </si>
  <si>
    <t>622930M21</t>
  </si>
  <si>
    <t>610083M17RTPB</t>
  </si>
  <si>
    <t>FTC6500 SS M17 - PLAT. P/ BOMBA "COM CUBO DE 5000" PRETA [CHASSI COM RODAS PARA CARRETA TANQUE 6,0T]</t>
  </si>
  <si>
    <t>623165M23</t>
  </si>
  <si>
    <t xml:space="preserve">FT12500 SS RS/T R15,5 BB M23 - </t>
  </si>
  <si>
    <t>621610M21</t>
  </si>
  <si>
    <t>FA4,0 RD FBSCF M98</t>
  </si>
  <si>
    <t>623168M22</t>
  </si>
  <si>
    <t xml:space="preserve">FT12500 SS RS/T R15,5 BB P400 M22 - </t>
  </si>
  <si>
    <t>622773M21</t>
  </si>
  <si>
    <t>FA4 RS SSF MFI     CARR MFI  ( CHASSI COM RODAS PARA CARRETA AGRÍCOLA 4 TON )</t>
  </si>
  <si>
    <t>623168M23</t>
  </si>
  <si>
    <t xml:space="preserve">FT12500 SS RS/T R15,5 BB P400 M23 - </t>
  </si>
  <si>
    <t>622766M21</t>
  </si>
  <si>
    <t>618755RT</t>
  </si>
  <si>
    <t>FA4 RS SSF MFI  EIXO REFORÇADO CARR MFI  ( CHASSI COM RODAS PARA CARRETA AGRÍCOLA 4 TON )+</t>
  </si>
  <si>
    <t xml:space="preserve">FT10500 SS T BB KB R15,5 M22 - </t>
  </si>
  <si>
    <t>621626M21</t>
  </si>
  <si>
    <t>619363M17</t>
  </si>
  <si>
    <t>FTC6500 CS M17 "IÇAMENTO LONGO" [CHASSI COM RODAS PARA CARRETA TANQUE 6,0T]</t>
  </si>
  <si>
    <t xml:space="preserve">FT10500 SS T BB KB R15,5 P400 M22 - </t>
  </si>
  <si>
    <t>623232M21</t>
  </si>
  <si>
    <t>619363M17PB</t>
  </si>
  <si>
    <t>FTC6500 CS M17 PRETA - PLAT. P/ BOMBA [CHASSI COM RODAS PARA CARRETA TANQUE 6,0T]</t>
  </si>
  <si>
    <t xml:space="preserve">FT10500-2E SS RS/RS BB M22 - </t>
  </si>
  <si>
    <t>621602M21</t>
  </si>
  <si>
    <t>619758M20</t>
  </si>
  <si>
    <t>FTC6500-1E SS TANDEM M20 "IÇAMENTO LONGO" [CHASSI COM RODAS PARA CARRETA TANQUE 6,0T]</t>
  </si>
  <si>
    <t xml:space="preserve">FT10500-2E SS RS/RS BB P900(I) M22 - </t>
  </si>
  <si>
    <t>622765M21</t>
  </si>
  <si>
    <t>ER6CS C/G4,0ER PISO METÁLICO (CARRETA AGRÍCOLA 6T COM CARROCERIA METÁLICA 4,00X1,90X0,90M)+</t>
  </si>
  <si>
    <t xml:space="preserve">FT10500-2E SS RS/RS M22 - </t>
  </si>
  <si>
    <t>622509M17</t>
  </si>
  <si>
    <t>F6SSF M17 P/T6,5 02 EIXOS EIXO TRAS RD(CHASSI COM RODAS PARA CARRETAS - 6 TON)</t>
  </si>
  <si>
    <t xml:space="preserve">FT10500-2E SS RS/RS R15,5 BB P400 M22 - </t>
  </si>
  <si>
    <t>623028M22</t>
  </si>
  <si>
    <t>FA4,0 FIXA SS RD M20 (CHASSÍ COM RODAS PARA CARRETA AGRÍCOLA 4,0T)</t>
  </si>
  <si>
    <t xml:space="preserve">FT10500-2E SS RS/RS R15,5 M22 - </t>
  </si>
  <si>
    <t>623033M22</t>
  </si>
  <si>
    <t>622959LC</t>
  </si>
  <si>
    <t>TANQUE COMPLETO 6500L "01 SAIDA + ESCADA E GRADIL" [FTC 6500 LARANJA]</t>
  </si>
  <si>
    <t xml:space="preserve">FT10500-2E SS RS/RS R15,5 M23 - </t>
  </si>
  <si>
    <t>623024M22</t>
  </si>
  <si>
    <t>622985M20</t>
  </si>
  <si>
    <t>FTC4300 01E SS RD M20 - PLAT. P/ BOMBA [CHASSI COM RODAS PARA CARRETA TANQUE 4,0T]</t>
  </si>
  <si>
    <t xml:space="preserve">FT12500 SS RS/T BB M22 - </t>
  </si>
  <si>
    <t>623027M22</t>
  </si>
  <si>
    <t>622985M20PE</t>
  </si>
  <si>
    <t>FTC4300 01E SS RD M20 PE - PLAT. P/ BOMBA [CHASSI COM RODAS PARA CARRETA TANQUE 4,0T - C PONTA ESPECIAL]</t>
  </si>
  <si>
    <t xml:space="preserve">FT12500 SS RS/T BB P900(I) M22 - </t>
  </si>
  <si>
    <t>623032M22</t>
  </si>
  <si>
    <t>623016AN</t>
  </si>
  <si>
    <t>TANQUE COMPLETO 6500L [FTC 6500 AZUL]</t>
  </si>
  <si>
    <t xml:space="preserve">FT12500 SS RS/T M22 - </t>
  </si>
  <si>
    <t>623023M22</t>
  </si>
  <si>
    <t>623016AV</t>
  </si>
  <si>
    <t>TANQUE COMPLETO 6500L [FTC 6500 AMARELO]</t>
  </si>
  <si>
    <t xml:space="preserve">FT12500 SS RS/T M23 - </t>
  </si>
  <si>
    <t>623026M22</t>
  </si>
  <si>
    <t>623016CO</t>
  </si>
  <si>
    <t>TANQUE COMPLETO 6500L ESPECIAL [FTC 6500 CINZA]</t>
  </si>
  <si>
    <t xml:space="preserve">FT12500 SS RS/T R15,5 M22 - </t>
  </si>
  <si>
    <t>623031M22</t>
  </si>
  <si>
    <t>623016LC</t>
  </si>
  <si>
    <t>TANQUE COMPLETO 6500L ESPECIAL [FTC 6500 LARANJA]</t>
  </si>
  <si>
    <t xml:space="preserve">FT12500 SS RS/T R15,5 M23 - </t>
  </si>
  <si>
    <t>622315M21</t>
  </si>
  <si>
    <t>623016VJ</t>
  </si>
  <si>
    <t>TANQUE COMPLETO 6500L [FTC 6500 VERDE]</t>
  </si>
  <si>
    <t>622127M21</t>
  </si>
  <si>
    <t>623016VM</t>
  </si>
  <si>
    <t>TANQUE COMPLETO 6500L [FTC 6500 VERMELHA]</t>
  </si>
  <si>
    <t>621971M21</t>
  </si>
  <si>
    <t>623019AN</t>
  </si>
  <si>
    <t>622941M21</t>
  </si>
  <si>
    <t>623019AV</t>
  </si>
  <si>
    <t>614475M21</t>
  </si>
  <si>
    <t>623019LC</t>
  </si>
  <si>
    <t>TANQUE COMPLETO 6500L [FTC 6500 LARANJA]</t>
  </si>
  <si>
    <t>622791M21</t>
  </si>
  <si>
    <t>623019VJ</t>
  </si>
  <si>
    <t>622595M21</t>
  </si>
  <si>
    <t>623019VM</t>
  </si>
  <si>
    <t>TANQUE COMPLETO 6500L [FTC 6500 VERMELHO]</t>
  </si>
  <si>
    <t>623187M21</t>
  </si>
  <si>
    <t>623049M17</t>
  </si>
  <si>
    <t>FTC4300 SS M17 [CHASSI COM RODAS PARA CARRETA TANQUE 4,0T]</t>
  </si>
  <si>
    <t>623113M21</t>
  </si>
  <si>
    <t>623049M17+</t>
  </si>
  <si>
    <t>FTC4300 SS M17 [CHASSI COM RODAS PARA CARRETA TANQUE 4,0T]+</t>
  </si>
  <si>
    <t>622333M21</t>
  </si>
  <si>
    <t>623050M17</t>
  </si>
  <si>
    <t>FTC4300 CS M17 [CHASSI COM RODAS PARA CARRETA TANQUE 4,0T]</t>
  </si>
  <si>
    <t>622398M21</t>
  </si>
  <si>
    <t>623051M17</t>
  </si>
  <si>
    <t>FTC6500 SS M17 [CHASSI COM RODAS PARA CARRETA TANQUE 6,0T]</t>
  </si>
  <si>
    <t>CBH7</t>
  </si>
  <si>
    <t>623051M17RT</t>
  </si>
  <si>
    <t>FTC6500 SS M17 "COM CUBO DE 5000" [CHASSI COM RODAS PARA CARRETA TANQUE 6,0T]</t>
  </si>
  <si>
    <t>619562M21</t>
  </si>
  <si>
    <t>623052M17</t>
  </si>
  <si>
    <t>FTC6500 CS M17 [CHASSI COM RODAS PARA CARRETA TANQUE 6,0T]</t>
  </si>
  <si>
    <t>621963M21</t>
  </si>
  <si>
    <t>623056M20</t>
  </si>
  <si>
    <t>FTC4300-1E SS RD M20 [CHASSI COM RODAS PARA CARRETA TANQUE 4,0T]</t>
  </si>
  <si>
    <t>619566M21</t>
  </si>
  <si>
    <t>623057M20</t>
  </si>
  <si>
    <t>FTC4300 01E CS RD M20 [CHASSI COM RODAS PARA CARRETA TANQUE 4,0T]</t>
  </si>
  <si>
    <t>619556M21</t>
  </si>
  <si>
    <t>623058M20</t>
  </si>
  <si>
    <t>FTC6500 01E SS TANDEM M20 [CHASSI COM RODAS PARA CARRETA TANQUE 6,0T]</t>
  </si>
  <si>
    <t>622811M21</t>
  </si>
  <si>
    <t>623059M17</t>
  </si>
  <si>
    <t>FTC6500 SS RS/RD M17 [CHASSI COM RODAS PARA CARRETA TANQUE 6,0T]</t>
  </si>
  <si>
    <t>623282M23</t>
  </si>
  <si>
    <t>623063AN</t>
  </si>
  <si>
    <t>TANQUE COMPLETO 4300L AZUL [FTC4300 M22]</t>
  </si>
  <si>
    <t>623108M21</t>
  </si>
  <si>
    <t>623063AV</t>
  </si>
  <si>
    <t>TANQUE COMPLETO 4300L AMARELO [FTC4300 M22]</t>
  </si>
  <si>
    <t>623109M21</t>
  </si>
  <si>
    <t>623063CO</t>
  </si>
  <si>
    <t>TANQUE COMPLETO 4300L CINZA [FTC4300 M22]</t>
  </si>
  <si>
    <t>623249M21</t>
  </si>
  <si>
    <t>TANQUE COMPLETO 4300L LARANJA [FTC4300 M22]</t>
  </si>
  <si>
    <t>623189M21</t>
  </si>
  <si>
    <t>623063VJ</t>
  </si>
  <si>
    <t>TANQUE COMPLETO 4300L VERDE [FTC4300 M22]</t>
  </si>
  <si>
    <t>623224M22</t>
  </si>
  <si>
    <t>623063VM</t>
  </si>
  <si>
    <t>TANQUE COMPLETO 4300L VERMELHO [FTC4300 M22]</t>
  </si>
  <si>
    <t>623163M22</t>
  </si>
  <si>
    <t>623064AN</t>
  </si>
  <si>
    <t>TANQUE COMPLETO 4300L M22 [FTC 4300 AZUL]</t>
  </si>
  <si>
    <t>623278M22</t>
  </si>
  <si>
    <t>623064AV</t>
  </si>
  <si>
    <t>TANQUE COMPLETO 4300L M22 [FTC 4300 AMARELO]</t>
  </si>
  <si>
    <t>623064CO</t>
  </si>
  <si>
    <t>TANQUE COMPLETO 4300L M22 [FTC 4300 CINZA]</t>
  </si>
  <si>
    <t>622871M20</t>
  </si>
  <si>
    <t>623064LC</t>
  </si>
  <si>
    <t>TANQUE COMPLETO 4300L M22 [FTC 4300 LARANJA]</t>
  </si>
  <si>
    <t>619772M17</t>
  </si>
  <si>
    <t>623064VJ</t>
  </si>
  <si>
    <t>TANQUE COMPLETO 4300L M22 [FTC 4300 VERDE]</t>
  </si>
  <si>
    <t>621975M20</t>
  </si>
  <si>
    <t>623064VM</t>
  </si>
  <si>
    <t>TANQUE COMPLETO 4300L M22 [FTC 4300 VERMELHO]</t>
  </si>
  <si>
    <t>623289M20</t>
  </si>
  <si>
    <t>CARROCERIA F4 M/MD ESPECIAL L2,05m (CARROCERIA METÁLICA 3,20X2,05X0,45M)</t>
  </si>
  <si>
    <t>621478M17</t>
  </si>
  <si>
    <t>623075AN</t>
  </si>
  <si>
    <t>TANQUE COMPLETO 6500L AZUL [FTC6500]</t>
  </si>
  <si>
    <t>623043M17</t>
  </si>
  <si>
    <t>623075AV</t>
  </si>
  <si>
    <t>TANQUE COMPLETO 6500L AMARELO [FTC6500]</t>
  </si>
  <si>
    <t>623291M17</t>
  </si>
  <si>
    <t>TANQUE COMPLETO 6500L LARANJA [FTC6500]</t>
  </si>
  <si>
    <t>623075VJ</t>
  </si>
  <si>
    <t>TANQUE COMPLETO 6500L VERDE [FTC6500]</t>
  </si>
  <si>
    <t>614701M17</t>
  </si>
  <si>
    <t>623075VM</t>
  </si>
  <si>
    <t>TANQUE COMPLETO 6500L VERMELHO [FTC6500]</t>
  </si>
  <si>
    <t>614075M17</t>
  </si>
  <si>
    <t>623204M22</t>
  </si>
  <si>
    <t>Teste de custo FT10500-2E</t>
  </si>
  <si>
    <t>623262M22</t>
  </si>
  <si>
    <t>FTC4300-1E SS T M22 [CHASSI COM RODAS PARA CARRETA TANQUE 4,0T]</t>
  </si>
  <si>
    <t>CARROCERIA F4 A45 M22</t>
  </si>
  <si>
    <t>Carroceria Completa Para Carreta de Madeira Fixa 4t - ALT 45 - MAD NAVAL</t>
  </si>
  <si>
    <t>622416M22</t>
  </si>
  <si>
    <t>614142M17</t>
  </si>
  <si>
    <t>CARROCERIA F4 A45 M23</t>
  </si>
  <si>
    <t>Carroceria Completa Para Carreta de Madeira Fixa 4t - ALT 45 - MAD NAVAL M23</t>
  </si>
  <si>
    <t>622416M23</t>
  </si>
  <si>
    <t>614956M17</t>
  </si>
  <si>
    <t>CARROCERIA F4 A45 MT</t>
  </si>
  <si>
    <t>Carroceria Completa Para Carreta Metálica Fixa 4t de 2 Eixos - ALT 45</t>
  </si>
  <si>
    <t>614968M17</t>
  </si>
  <si>
    <t>CARROCERIA F4 A45 MT AV</t>
  </si>
  <si>
    <t>Carroceria Completa Para Carreta Metálica Fixa 4t de 2 Eixos - ALT 45 - AMARELA</t>
  </si>
  <si>
    <t>622231AV</t>
  </si>
  <si>
    <t>614981M17</t>
  </si>
  <si>
    <t>CARROCERIA F4 A45 MT VM</t>
  </si>
  <si>
    <t>Carroceria Completa Para Carreta Metálica Fixa 4t de 2 Eixos - ALT 45 - VERMELHA</t>
  </si>
  <si>
    <t>622231VM</t>
  </si>
  <si>
    <t>614191M17</t>
  </si>
  <si>
    <t>CARROCERIA F4 A60 M22</t>
  </si>
  <si>
    <t>Carroceria Completa Para Carreta de Madeira Fixa 4t - ALT A60 - MAD NAVAL</t>
  </si>
  <si>
    <t>622413M22</t>
  </si>
  <si>
    <t>614920M17</t>
  </si>
  <si>
    <t>CARROCERIA F4 A60 M23</t>
  </si>
  <si>
    <t>Carroceria Completa Para Carreta de Madeira Fixa 4t - ALT A60 - MAD NAVAL M23</t>
  </si>
  <si>
    <t>622413M23</t>
  </si>
  <si>
    <t>614919M17</t>
  </si>
  <si>
    <t>CARROCERIA F4 A90 M22</t>
  </si>
  <si>
    <t>Carroceria Completa Para Carreta de Madeira Fixa 4t - ALT 90 - MAD NAVAL</t>
  </si>
  <si>
    <t>622439M22</t>
  </si>
  <si>
    <t>614907M17</t>
  </si>
  <si>
    <t>CARROCERIA F4 A90 M23</t>
  </si>
  <si>
    <t>Carroceria Completa Para Carreta de Madeira Fixa 4t - ALT 90 - MAD NAVAL M23</t>
  </si>
  <si>
    <t>622439M23</t>
  </si>
  <si>
    <t>621538M17</t>
  </si>
  <si>
    <t>CARROCERIA F4 A90 MT</t>
  </si>
  <si>
    <t>Carroceria Completa Para Carreta Metálica Fixa 4t de 2 Eixos - ALT 90</t>
  </si>
  <si>
    <t>614233M17</t>
  </si>
  <si>
    <t>CARROCERIA F6 A45 M22</t>
  </si>
  <si>
    <t>Carroceria Completa Para Carreta de Madeira Fixa 6t de 2 Eixos - ALT 45 - COMP NAVAL</t>
  </si>
  <si>
    <t>622414M22</t>
  </si>
  <si>
    <t>622762M20</t>
  </si>
  <si>
    <t>CARROCERIA F6 A45 M23</t>
  </si>
  <si>
    <t>Carroceria Completa Para Carreta de Madeira Fixa 6t de 2 Eixos - ALT 45 - COMP NAVAL M23</t>
  </si>
  <si>
    <t>622414M23</t>
  </si>
  <si>
    <t>621536M17</t>
  </si>
  <si>
    <t>CARROCERIA F6 A45 MT</t>
  </si>
  <si>
    <t>Carroceria Completa Para Carreta Metálica Fixa 6t de 2 Eixos - ALT 45</t>
  </si>
  <si>
    <t>614932M17</t>
  </si>
  <si>
    <t>CARROCERIA F6 A45 MT AN</t>
  </si>
  <si>
    <t>Carroceria Completa Para Carreta Metálica Fixa 4t de 2 Eixos - ALT 45 - AZUL</t>
  </si>
  <si>
    <t>622188AN</t>
  </si>
  <si>
    <t>614935M20</t>
  </si>
  <si>
    <t>CARROCERIA F6 A45 MT AV</t>
  </si>
  <si>
    <t>622188AV</t>
  </si>
  <si>
    <t>622578M21</t>
  </si>
  <si>
    <t>CARROCERIA F6 A45 MT VM</t>
  </si>
  <si>
    <t>Carroceria Completa Vermelha Para Carreta Metálica Fixa 6t de 2 Eixos - ALT 45</t>
  </si>
  <si>
    <t>622188VM</t>
  </si>
  <si>
    <t>622580M21</t>
  </si>
  <si>
    <t>CARROCERIA F6 A60 M22</t>
  </si>
  <si>
    <t>Carroceria Completa Para Carreta de Madeira Fixa 6t de 2 Eixos - ALT 60 - COMP NAVAL</t>
  </si>
  <si>
    <t>622415M22</t>
  </si>
  <si>
    <t>622574M21</t>
  </si>
  <si>
    <t>CARROCERIA F6 A60 M23</t>
  </si>
  <si>
    <t>Carroceria Completa Para Carreta de Madeira Fixa 6t de 2 Eixos - ALT 60 - COMP NAVAL M23</t>
  </si>
  <si>
    <t>622415M23</t>
  </si>
  <si>
    <t>623117M21</t>
  </si>
  <si>
    <t>CARROCERIA F6 A90 M22</t>
  </si>
  <si>
    <t>Carroceria Completa Para Carreta de Madeira Fixa 6t de 2 Eixos - ALT 90 - COMP NAVAL</t>
  </si>
  <si>
    <t>622442M22</t>
  </si>
  <si>
    <t>619620M17</t>
  </si>
  <si>
    <t>CARROCERIA F6 A90 M23</t>
  </si>
  <si>
    <t>Carroceria Completa Para Carreta de Madeira Fixa 6t de 2 Eixos - ALT 90 - COMP NAVAL M23</t>
  </si>
  <si>
    <t>622442M23</t>
  </si>
  <si>
    <t>619553M17</t>
  </si>
  <si>
    <t>CARROCERIA F6 A90 MT</t>
  </si>
  <si>
    <t>619622M20</t>
  </si>
  <si>
    <t>CARROCERIA FA5 AD M23</t>
  </si>
  <si>
    <t>Carroceria Completa Piso Antiderrapante Para Carreta Metálica Fixa 5T</t>
  </si>
  <si>
    <t>623292M23</t>
  </si>
  <si>
    <t>623284M20</t>
  </si>
  <si>
    <t>CARROCERIA FA6F M22</t>
  </si>
  <si>
    <t>Carroceria Completa Para Carreta Metálica Fixa 6t</t>
  </si>
  <si>
    <t>623096M22</t>
  </si>
  <si>
    <t>621898M17</t>
  </si>
  <si>
    <t>CARROCERIA FA6F M22 VJ</t>
  </si>
  <si>
    <t>Carroceria Completa Para Carreta Metálica Fixa 6t Verde</t>
  </si>
  <si>
    <t>623096M22VJ</t>
  </si>
  <si>
    <t>621899M17</t>
  </si>
  <si>
    <t>CARROCERIA FA6F M22 VM</t>
  </si>
  <si>
    <t>Carroceria Completa Vermelha Para Carreta Metálica Fixa 6t</t>
  </si>
  <si>
    <t>623096M22VM</t>
  </si>
  <si>
    <t>623281M17</t>
  </si>
  <si>
    <t>Carreta Hidráulica 12t (19m3) RS/T de 2 Eixos  - FORRAGEIRA - RODA 15,5" - Molas, Freios e Pneus não Incluídos</t>
  </si>
  <si>
    <t>623328M20</t>
  </si>
  <si>
    <t>Carreta Hidráulica 12t (19m3) RS/T de 2 Eixos  - FORRAGEIRA - RODA 15,5" - C/ PNEUS ALTA FLUTUAÇÃO - Molas, Freios não Incluídos</t>
  </si>
  <si>
    <t>623299M22</t>
  </si>
  <si>
    <t>620118M17</t>
  </si>
  <si>
    <t>Carreta Hidráulica 3,5t (3m3) RS de 1 Eixo - USO GERAL - C/ MOLAS - Freios e Pneus não Incluídos</t>
  </si>
  <si>
    <t>622692M17</t>
  </si>
  <si>
    <t>Carreta Hidráulica 3,5t (3m3) RS de 1 Eixo - USO GERAL - Molas, Freios e Pneus não Incluídos</t>
  </si>
  <si>
    <t>620131M17</t>
  </si>
  <si>
    <t>Carreta Hidráulica 3,5t (3m3) RS de 1 Eixo - USO GERAL - C/ MANG MAIORES - Molas, Freios e Pneus não Incluídos</t>
  </si>
  <si>
    <t>622949M21</t>
  </si>
  <si>
    <t>620725M17</t>
  </si>
  <si>
    <t>CBH3,5 UG SS RS MM M21 VM</t>
  </si>
  <si>
    <t>Carreta Hidráulica 3,5t (3m3) RS de 1 Eixo - USO GERAL - C/ MANG MAIORES - VERMELHA - Molas, Freios e Pneus não Incluídos</t>
  </si>
  <si>
    <t>622949M21VM</t>
  </si>
  <si>
    <t>621976M20</t>
  </si>
  <si>
    <t>Carreta Hidráulica 3,5t (3m3) RS de 1 Eixo - USO GERAL - C/ PNEUS - Molas e Freios não Incluídos</t>
  </si>
  <si>
    <t>623325M21</t>
  </si>
  <si>
    <t>Carreta Hidráulica 5t (7,5m3) RD de 1 Eixo - FORRAGEIRA - C/ MOLAS - Freios e Pneus não Incluídos</t>
  </si>
  <si>
    <t>CBH5 FO CS RD M21 AV</t>
  </si>
  <si>
    <t>Carreta Hidráulica 5t (7,5m3) RD de 1 Eixo - FORRAGEIRA - C/ MOLAS - AMARELA - Freios e Pneus não Incluídos</t>
  </si>
  <si>
    <t>621500M21AV</t>
  </si>
  <si>
    <t>Carreta Hidráulica 5t (7,5m3) RD de 1 Eixo- FORRAGEIRA - C/ FREIOS + BASE P/ ENSILADEIRA - Molas e Pneus não Incluídos</t>
  </si>
  <si>
    <t>Carreta Hidráulica 5t (7,5m3) RD de 1 Eixo- FORRAGEIRA - C/ FREIOS + MANG MAIORES + BASE P/ ENSILADEIRA - Molas e Pneus não Incluídos</t>
  </si>
  <si>
    <t>623101M21</t>
  </si>
  <si>
    <t>622422M22</t>
  </si>
  <si>
    <t>CBH5 FO SC RD BE MM M21 VM</t>
  </si>
  <si>
    <t>Carreta Hidráulica 5t (7,5m3) RD de 1 Eixo- FORRAGEIRA - C/ FREIOS + MANG MAIORES + BASE P/ ENSILADEIRA - VERMELHA - Molas e Pneus não Incluídos</t>
  </si>
  <si>
    <t>623101M21VM</t>
  </si>
  <si>
    <t>623092M22</t>
  </si>
  <si>
    <t>Carreta Hidráulica 5t (7,5m3) RD de 1 Eixo - FORRAGEIRA - C/ FREIOS - Molas e Pneus não Incluídos</t>
  </si>
  <si>
    <t>622427M22</t>
  </si>
  <si>
    <t>CBH5 FO SC RD M21 VJ</t>
  </si>
  <si>
    <t>Carreta Hidráulica 5t (7,5m3) RD de 1 Eixo - FORRAGEIRA - C/ FREIOS - VERDE - Molas e Pneus não Incluídos</t>
  </si>
  <si>
    <t>622704M21VJ</t>
  </si>
  <si>
    <t>622445M22</t>
  </si>
  <si>
    <t>Carreta Hidráulica 5t (7,5m3) RD de 1 Eixo- FORRAGEIRA - C/ FREIOS + MANG MAIORES - Molas e Pneus não Incluídos</t>
  </si>
  <si>
    <t>622823M21</t>
  </si>
  <si>
    <t>623160M22</t>
  </si>
  <si>
    <t>CBH5 FO SC RD MM M21 VM</t>
  </si>
  <si>
    <t>Carreta Hidráulica 5t (7,5m3) RD de 1 Eixo- FORRAGEIRA - C/ FREIOS + MANG MAIORES - VERMELHA - Molas e Pneus não Incluídos</t>
  </si>
  <si>
    <t>622823M21VM</t>
  </si>
  <si>
    <t>622420M22</t>
  </si>
  <si>
    <t>CBH5 FO SC RD MM P700(R) M21</t>
  </si>
  <si>
    <t>Carreta Hidráulica 5t (7,5m3) RD de 1 Eixo- FORRAGEIRA - C/ FREIOS + MANG MAIORES + PNEUS 700(R) - Molas não Incluído</t>
  </si>
  <si>
    <t>623100M21</t>
  </si>
  <si>
    <t>622387M22</t>
  </si>
  <si>
    <t>CBH5 FO SC RD MM P700(R) M21 VM</t>
  </si>
  <si>
    <t>Carreta Hidráulica 5t (7,5m3) RD de 1 Eixo- FORRAGEIRA - C/ FREIOS + MANG MAIORES + PNEUS - VERMELHA - Molas não Incluído</t>
  </si>
  <si>
    <t>623100M21VM</t>
  </si>
  <si>
    <t>622421M22</t>
  </si>
  <si>
    <t>Carreta Hidráulica 5t (7,5m3) RD de 1 Eixo- FORRAGEIRA - C/ FREIOS + MANG MAIORES + PNEUS - Molas não Incluído</t>
  </si>
  <si>
    <t>623218M21</t>
  </si>
  <si>
    <t>622444M22</t>
  </si>
  <si>
    <t>CBH5 FO SC RD MM P750(I) M21 VM</t>
  </si>
  <si>
    <t>CBH5</t>
  </si>
  <si>
    <t>623159M22</t>
  </si>
  <si>
    <t>Carreta Hidráulica 5t (7,5m3) de Eixo Tandem - FORRAGEIRA - C/ FREIOS - Molas e Pneus não Incluídos</t>
  </si>
  <si>
    <t>622425M22</t>
  </si>
  <si>
    <t>Carreta Hidráulica 5t (7,5m3) de Eixo Tandem - FORRAGEIRA - C/ FREIOS + MANG MAIORES - Molas e Pneus não Incluídos</t>
  </si>
  <si>
    <t>622822M21</t>
  </si>
  <si>
    <t>622366M22</t>
  </si>
  <si>
    <t>Carreta Hidráulica 5t (7,5m3) RD de 1 Eixo - FORRAGEIRA - Molas, Freios e Pneus não Incluídos</t>
  </si>
  <si>
    <t>622426M22</t>
  </si>
  <si>
    <t>CBH5 FO SS RD M21 AN</t>
  </si>
  <si>
    <t>Carreta Hidráulica 5t (7,5m3) RD de 1 Eixo - FORRAGEIRA - AZUL - Molas, Freios e Pneus não Incluídos</t>
  </si>
  <si>
    <t>621468M21AN</t>
  </si>
  <si>
    <t>622183M22</t>
  </si>
  <si>
    <t>CBH5 FO SS RD M21 VJ</t>
  </si>
  <si>
    <t>Carreta Hidráulica 5t (7,5m3) RD de 1 Eixo - VERDE - FORRAGEIRA - Molas, Freios e Pneus não Incluídos</t>
  </si>
  <si>
    <t>621468M21VJ</t>
  </si>
  <si>
    <t>622443M22</t>
  </si>
  <si>
    <t>CBH5 FO SS RD M21 VM</t>
  </si>
  <si>
    <t>Carreta Hidráulica 5t (7,5m3) RD de 1 Eixo - VERMELHA - FORRAGEIRA - Molas, Freios e Pneus não Incluídos</t>
  </si>
  <si>
    <t>621468M21VM</t>
  </si>
  <si>
    <t>CBHL6000 CS RS/RS TH P750(I) M23</t>
  </si>
  <si>
    <t>623162M22</t>
  </si>
  <si>
    <t>Carreta Hidráulica 5t (7,5m3) RD de 1 Eixo - FORRAGEIRA - C/ MANG MAIORES - Molas, Freios e Pneus não Incluídos</t>
  </si>
  <si>
    <t>622819M21</t>
  </si>
  <si>
    <t>CBH5 FO SS RD MM M21 AN</t>
  </si>
  <si>
    <t>Carreta Hidráulica 5t (7,5m3) RD de 1 Eixo - FORRAGEIRA - C/ MANG MAIORES - AZUL - Molas, Freios e Pneus não Incluídos</t>
  </si>
  <si>
    <t>622819M21AN</t>
  </si>
  <si>
    <t>CBH5 FO SS RD MM M21 VJ</t>
  </si>
  <si>
    <t>Carreta Hidráulica 5t (7,5m3) RD de 1 Eixo - FORRAGEIRA - C/ MANG MAIORES - VERDE - Molas, Freios e Pneus não Incluídos</t>
  </si>
  <si>
    <t>622819M21VJ</t>
  </si>
  <si>
    <t>622423M22</t>
  </si>
  <si>
    <t>CBH5 FO SS RD MM M21 VM</t>
  </si>
  <si>
    <t>Carreta Hidráulica 5t (7,5m3) RD de 1 Eixo - FORRAGEIRA - C/ MANG MAIORES - VERMELHO - Molas, Freios e Pneus não Incluídos</t>
  </si>
  <si>
    <t>622819M21VM</t>
  </si>
  <si>
    <t>623065M22</t>
  </si>
  <si>
    <t>CBH5 FO SS RD MM P700(R) M21</t>
  </si>
  <si>
    <t>Carreta Hidráulica 5t (7,5m3) RD de 1 Eixo - FORRAGEIRA - C/ MANG MAIORES + PNEUS 700(R) - Molas e Freios não Incluídos</t>
  </si>
  <si>
    <t>622889M21</t>
  </si>
  <si>
    <t>622424M22</t>
  </si>
  <si>
    <t>CBH5 FO SS RD MM P700(R) M21 AV</t>
  </si>
  <si>
    <t>Carreta Hidráulica 5t (7,5m3) RD de 1 Eixo - FORRAGEIRA - C/ MANG MAIORES + PNEUS 700(R) - AMARELA - Molas e Freios não Incluídos</t>
  </si>
  <si>
    <t>622889M21AV</t>
  </si>
  <si>
    <t>622446M22</t>
  </si>
  <si>
    <t>CBH5 FO SS RD MM P700(R) M21 VM</t>
  </si>
  <si>
    <t>Carreta Hidráulica 5t (7,5m3) RD de 1 Eixo - FORRAGEIRA - C/ MANG MAIORES + PNEUS 700(R) - VERMELHA - Molas e Freios não Incluídos</t>
  </si>
  <si>
    <t>622889M21VM</t>
  </si>
  <si>
    <t>623161M22</t>
  </si>
  <si>
    <t>Carreta Hidráulica 5t (7,5m3) RD de 1 Eixo - FORRAGEIRA - C/ MANG MAIORES + PNEUS - Molas e Freios não Incluídos+</t>
  </si>
  <si>
    <t>623080M21</t>
  </si>
  <si>
    <t>CBH5 FO SS RD MM P750(I) M21 VM</t>
  </si>
  <si>
    <t>Carreta Hidráulica 5t (7,5m3) RD de 1 Eixo - FORRAGEIRA - C/ MANG MAIORES + PNEUS - VERMELHA - Molas e Freios não Incluídos</t>
  </si>
  <si>
    <t>623080M21VM</t>
  </si>
  <si>
    <t>CBH5 FO SS RD MM P750(R) M21</t>
  </si>
  <si>
    <t>Carreta Hidráulica 5t (7,5m3) RD de 1 Eixo - FORRAGEIRA - C/ MANG MAIORES + PNEUS 750(R) - Molas não incluídos</t>
  </si>
  <si>
    <t>622804M21</t>
  </si>
  <si>
    <t>622592M22</t>
  </si>
  <si>
    <t>CBH5 FO SS RD P650(R) M21</t>
  </si>
  <si>
    <t>Carreta Hidráulica 5t (7,5m3) RD de 1 Eixo - FORRAGEIRA - C/ PNEUS 650(R) - Molas e Freios não Incluídos</t>
  </si>
  <si>
    <t>622677M21</t>
  </si>
  <si>
    <t>622151M22</t>
  </si>
  <si>
    <t>CBH5 FO SS RD P650(R) M21 VJ</t>
  </si>
  <si>
    <t>Carreta Hidráulica 5t (7,5m3) RD de 1 Eixo - FORRAGEIRA - C/ PNEUS 650(R) - VERDE - Molas e Freios não Incluídos</t>
  </si>
  <si>
    <t>622677M21VJ</t>
  </si>
  <si>
    <t>622300M22</t>
  </si>
  <si>
    <t>CBH5 FO SS RD P700(R) M21</t>
  </si>
  <si>
    <t>Carreta Hidráulica 5t (7,5m3) RD de 1 Eixo - FORRAGEIRA - C/ PNEUS 700(R) - Molas e Freios não Incluídos</t>
  </si>
  <si>
    <t>622918M21</t>
  </si>
  <si>
    <t>622688M23</t>
  </si>
  <si>
    <t>Carreta Hidráulica 5t (7,5m3) RD de 1 Eixo - FORRAGEIRA - C/ PNEUS - Molas e Freios não Incluídos</t>
  </si>
  <si>
    <t>623217M21</t>
  </si>
  <si>
    <t>623098M23</t>
  </si>
  <si>
    <t>CBH5 FO SS RD P750(I) M21 VJ</t>
  </si>
  <si>
    <t>Carreta Hidráulica 5t (7,5m3) RD de 1 Eixo - FORRAGEIRA - C/ PNEUS - VERDE - Molas e Freios não Incluídos</t>
  </si>
  <si>
    <t>623217M21VJ</t>
  </si>
  <si>
    <t>Carreta Hidráulica 5t (7,5m3) RD de 1 Eixo - FORRAGEIRA - C/ PNEUS - VERMELHA - Molas e Freios não Incluídos</t>
  </si>
  <si>
    <t>623217M21VM</t>
  </si>
  <si>
    <t>CBH5 FO SS RD P750(R) M21</t>
  </si>
  <si>
    <t>Carreta Hidráulica 5t (7,5m3) RD de 1 Eixo - FORRAGEIRA - C/ PNEUS 750(R) - Molas e Freios não Incluídos</t>
  </si>
  <si>
    <t>622556M21</t>
  </si>
  <si>
    <t>Carreta Hidráulica 5t (7,5m3) de Eixo Tandem - FORRAGEIRA - C/ BASE P/ ENSILADEIRA - Molas, Freios e Pneus não Incluídos</t>
  </si>
  <si>
    <t>Carreta Hidráulica 5t (7,5m3) de Eixo Tandem - FORRAGEIRA - Molas, Freios e Pneus não Incluídos</t>
  </si>
  <si>
    <t>CBH5 FO SS T M21 AN</t>
  </si>
  <si>
    <t>Carreta Hidráulica 5t (7,5m3) de Eixo Tandem - FORRAGEIRA - AZUL - Molas, Freios e Pneus não Incluídos</t>
  </si>
  <si>
    <t>622763M21AN</t>
  </si>
  <si>
    <t>CBH5 FO SS T M21 AV</t>
  </si>
  <si>
    <t>Carreta Hidráulica 5t (7,5m3) de Eixo Tandem - FORRAGEIRA - AMARELA - Molas, Freios e Pneus não Incluídos</t>
  </si>
  <si>
    <t>622763M21AV</t>
  </si>
  <si>
    <t>CBH5 FO SS T M21 CO</t>
  </si>
  <si>
    <t>Carreta Hidráulica 5t (7,5m3) de Eixo Tandem - FORRAGEIRA - CINZA - Molas, Freios e Pneus não Incluídos</t>
  </si>
  <si>
    <t>622763M21CO</t>
  </si>
  <si>
    <t>CBH5 FO SS T M21 VJ</t>
  </si>
  <si>
    <t>Carreta Hidráulica 5t (7,5m3) de Eixo Tandem - FORRAGEIRA - VERDE - Molas, Freios e Pneus não Incluídos</t>
  </si>
  <si>
    <t>622763M21VJ</t>
  </si>
  <si>
    <t>CBH5 FO SS T M21 VM</t>
  </si>
  <si>
    <t>Carreta Hidráulica 5t (7,5m3) de Eixo Tandem - FORRAGEIRA - VERMELHA - Molas, Freios e Pneus não Incluídos+</t>
  </si>
  <si>
    <t>622763M21VM</t>
  </si>
  <si>
    <t>622454M22</t>
  </si>
  <si>
    <t>Carreta Hidráulica 5t (7,5m3) de Eixo Tandem - FORRAGEIRA - C/ MANG MAIORES - Molas, Freios e Pneus não Incluídos</t>
  </si>
  <si>
    <t>622817M21</t>
  </si>
  <si>
    <t>CBHM4500 SC RD P750(I) M17</t>
  </si>
  <si>
    <t>622455M22</t>
  </si>
  <si>
    <t>CBH5 FO SS T MM M21 AN</t>
  </si>
  <si>
    <t>Carreta Hidráulica 5t (7,5m3) de Eixo Tandem - FORRAGEIRA - C/ MANG MAIORES - AZUL - Molas, Freios e Pneus não Incluídos</t>
  </si>
  <si>
    <t>622817M21AN</t>
  </si>
  <si>
    <t>622456M22</t>
  </si>
  <si>
    <t>CBH5 FO SS T MM M21 VJ</t>
  </si>
  <si>
    <t>Carreta Hidráulica 5t (7,5m3) de Eixo Tandem - FORRAGEIRA - C/ MANG MAIORES - VERDE - Molas, Freios e Pneus não Incluídos</t>
  </si>
  <si>
    <t>622817M21VJ</t>
  </si>
  <si>
    <t>CBH5 FO SS T MM M21 VM</t>
  </si>
  <si>
    <t>Carreta Hidráulica 5t (7,5m3) de Eixo Tandem - FORRAGEIRA - C/ MANG MAIORES - VERMELHA - Molas, Freios e Pneus não Incluídos</t>
  </si>
  <si>
    <t>622817M21VM</t>
  </si>
  <si>
    <t>622451M22</t>
  </si>
  <si>
    <t>Carreta Hidráulica 5t (7,5m3) de Eixo Tandem - FORRAGEIRA - C/ MANG MAIORES + PNEUS 750(I) - Molas e Freios não Incluídos</t>
  </si>
  <si>
    <t>623085M21</t>
  </si>
  <si>
    <t>CBH5 FO SS T MM P750(I) M21 AV</t>
  </si>
  <si>
    <t>Carreta Hidráulica 5t (7,5m3) de Eixo Tandem - FORRAGEIRA - C/ MANG MAIORES + PNEUS 750(I) - AMARELA - Molas e Freios não Incluídos</t>
  </si>
  <si>
    <t>623085M21AV</t>
  </si>
  <si>
    <t>622452M22</t>
  </si>
  <si>
    <t>CBH5 FO SS T MM P750(I) M21 VM</t>
  </si>
  <si>
    <t>Carreta Hidráulica 5t (7,5m3) de Eixo Tandem - FORRAGEIRA - C/ MANG MAIORES + PNEUS 750(I) - VERMELHA - Molas e Freios não Incluídos</t>
  </si>
  <si>
    <t>623085M21VM</t>
  </si>
  <si>
    <t>622453M22</t>
  </si>
  <si>
    <t>CBH5 FO SS T MM P750(R) M21</t>
  </si>
  <si>
    <t>Carreta Hidráulica 5t (7,5m3) de Eixo Tandem - FORRAGEIRA - C/ MANG MAIORES + PNEUS 750(R) - Molas, Freios e Pneus não Incluídos</t>
  </si>
  <si>
    <t>623079M21</t>
  </si>
  <si>
    <t>CBH5 FO SS T MM P750(R) M21 VM</t>
  </si>
  <si>
    <t>Carreta Hidráulica 5t (7,5m3) de Eixo Tandem - FORRAGEIRA - C/ MANG MAIORES + PNEUS 750(R) - VERMELHA - Molas, Freios e Pneus não Incluídos</t>
  </si>
  <si>
    <t>623079M21VM</t>
  </si>
  <si>
    <t>623274M23</t>
  </si>
  <si>
    <t>CBH5 FO SS T P650(R) M21</t>
  </si>
  <si>
    <t>Carreta Hidráulica 5t (7,5m3) de Eixo Tandem - FORRAGEIRA - C/ PNEUS 650(R) - Molas e Freios não Incluídos</t>
  </si>
  <si>
    <t>622764M21</t>
  </si>
  <si>
    <t>622661M22</t>
  </si>
  <si>
    <t>CBH5 FO SS T P750(I) M21</t>
  </si>
  <si>
    <t>Carreta Hidráulica 5t (7,5m3) de Eixo Tandem - FORRAGEIRA - C/ PNEUS 750(I) - Molas e Freios não Incluídos</t>
  </si>
  <si>
    <t>623001M21</t>
  </si>
  <si>
    <t>623223M22</t>
  </si>
  <si>
    <t>CBH5 FO SS T P750(I) M21 VM</t>
  </si>
  <si>
    <t>Carreta Hidráulica 5t (7,5m3) de Eixo Tandem - FORRAGEIRA - C/ PNEUS 750(I) - VERMELHO - Molas e Freios não Incluídos</t>
  </si>
  <si>
    <t>623001M21VM</t>
  </si>
  <si>
    <t>CBH5 FO SS T P750(R) M21</t>
  </si>
  <si>
    <t>Carreta Hidráulica 5t (7,5m3) de Eixo Tandem - FORRAGEIRA - C/ PNEUS 750(R) - Molas e Freios não Incluídos</t>
  </si>
  <si>
    <t>622818M21</t>
  </si>
  <si>
    <t>623005M22</t>
  </si>
  <si>
    <t>CBH5 FO SS T P750(R) M21 VM</t>
  </si>
  <si>
    <t>Carreta Hidráulica 5t (7,5m3) de Eixo Tandem - FORRAGEIRA - C/ PNEUS 750(R) - VERMELHO - Molas e Freios não Incluídos</t>
  </si>
  <si>
    <t>622818M21VM</t>
  </si>
  <si>
    <t>623134M22</t>
  </si>
  <si>
    <t>Carreta Hidráulica 5t (5m3) RD de 1 Eixo - FORRAGEIRA 1M - C/ MOLAS - Freios e Pneus não Incluídos</t>
  </si>
  <si>
    <t>623207M23</t>
  </si>
  <si>
    <t>CBH5 FO-1M CS RD P700(R) M21</t>
  </si>
  <si>
    <t>Carreta Hidráulica 5t (5m3) RD de 1 Eixo - FORRAGEIRA 1M - C/ MOLAS + PNEUS - Freios não Incluídos</t>
  </si>
  <si>
    <t>622904M21</t>
  </si>
  <si>
    <t>623203M23</t>
  </si>
  <si>
    <t>623185M21</t>
  </si>
  <si>
    <t>623239M23</t>
  </si>
  <si>
    <t>CBH5 FO-1M CS RD P750(R) M21</t>
  </si>
  <si>
    <t>Carreta Hidráulica 5t (5m3) RD de 1 Eixo - FORRAGEIRA 1M - C/ MOLAS + PNEUS 750(R) - Freios não Incluídos</t>
  </si>
  <si>
    <t>622879M21</t>
  </si>
  <si>
    <t>623206M23</t>
  </si>
  <si>
    <t>Carreta Hidráulica 5t (5m3) RD de 1 Eixo- FORRAGEIRA - C/ FREIOS - Molas e Pneus não Incluídas</t>
  </si>
  <si>
    <t>623310M23</t>
  </si>
  <si>
    <t>CBH5 FO-1M SC RD MM P700(R) M21</t>
  </si>
  <si>
    <t>Carreta Hidráulica 5t (5m3) RD de 1 Eixo- FORRAGEIRA - C/ FREIOS + MANG MAIORES + PNEUS - Molas não Incluídas</t>
  </si>
  <si>
    <t>623106M21</t>
  </si>
  <si>
    <t>621845M22</t>
  </si>
  <si>
    <t>CBH5 FO-1M SC RD MM P700(R) M21 VM</t>
  </si>
  <si>
    <t>Carreta Hidráulica 5t (5m3) RD de 1 Eixo- FORRAGEIRA - C/ FREIOS + MANG MAIORES + PNEUS 700(R) - VERMELHA - Molas não Incluídas</t>
  </si>
  <si>
    <t>623106M21VM</t>
  </si>
  <si>
    <t>613502M22</t>
  </si>
  <si>
    <t>Carreta Hidráulica 5t (5m3) RD de 1 Eixo- FORRAGEIRA - C/ FREIOS + MANG MAIORES + PNEUS - Molas não Incluídas+</t>
  </si>
  <si>
    <t>623119M21</t>
  </si>
  <si>
    <t>622814M22</t>
  </si>
  <si>
    <t>CBH5 FO-1M SC RD MM P750(I) M21 AV</t>
  </si>
  <si>
    <t>Carreta Hidráulica 5t (5m3) RD de 1 Eixo- FORRAGEIRA - C/ FREIOS + MANG MAIORES + PNEUS 750(I) - AMARELA - Molas não Incluídas</t>
  </si>
  <si>
    <t>623119M21AV</t>
  </si>
  <si>
    <t>622720M22</t>
  </si>
  <si>
    <t>CBH5 FO-1M SC RD MM P750(I) M21 VM</t>
  </si>
  <si>
    <t>Carreta Hidráulica 5t (5m3) RD de 1 Eixo- FORRAGEIRA - C/ FREIOS + MANG MAIORES + PNEUS 750(I) - VERMELHA - Molas não Incluídas</t>
  </si>
  <si>
    <t>623119M21VM</t>
  </si>
  <si>
    <t>623263M22</t>
  </si>
  <si>
    <t>Carreta Hidráulica 5t (5m3) RD de 1 Eixo - FORRAGEIRA 1M - C/ BASE P/ ENSILADEIRA - Molas, Freios e Pneus não Incluídos</t>
  </si>
  <si>
    <t>623125M22</t>
  </si>
  <si>
    <t>CBH5 FO-1M SS RD BE M21 VM</t>
  </si>
  <si>
    <t>Carreta Hidráulica 5t (5m3) RD de 1 Eixo - FORRAGEIRA 1M - C/ BASE P/ ENSILADEIRA - VERMELHA - Molas, Freios e Pneus não Incluídos</t>
  </si>
  <si>
    <t>622930M21VM</t>
  </si>
  <si>
    <t>620737M22</t>
  </si>
  <si>
    <t>Carreta Hidráulica 5t (5m3) RD de 1 Eixo - FORRAGEIRA 1M - Molas, Freios e Pneus não Incluídos</t>
  </si>
  <si>
    <t>623041M22</t>
  </si>
  <si>
    <t>CBH5 FO-1M SS RD M21 AN</t>
  </si>
  <si>
    <t>Carreta Hidráulica 5t (5m3) RD de 1 Eixo - FORRAGEIRA 1M - AZUL - Molas, Freios e Pneus não Incluídos</t>
  </si>
  <si>
    <t>621610M21AN</t>
  </si>
  <si>
    <t>613426M22</t>
  </si>
  <si>
    <t>CBH5 FO-1M SS RD M21 VM</t>
  </si>
  <si>
    <t>Carreta Hidráulica 5t (5m3) RD de 1 Eixo - FORRAGEIRA 1M - VERMELHA - Molas, Freios e Pneus não Incluídos</t>
  </si>
  <si>
    <t>621610M21VM</t>
  </si>
  <si>
    <t>623242M22</t>
  </si>
  <si>
    <t>Carreta Hidráulica 5t (5m3) RD de 1 Eixo - FORRAGEIRA 1M - C/ MANG MAIORES - Molas, Freios e Pneus não incluídos</t>
  </si>
  <si>
    <t>622914M21</t>
  </si>
  <si>
    <t>623120M22</t>
  </si>
  <si>
    <t>CBH5 FO-1M SS RD MM M21 VM</t>
  </si>
  <si>
    <t>Carreta Hidráulica 5t (5m3) RD de 1 Eixo - FORRAGEIRA 1M - C/ MANG MAIORES - VERMELHA - Molas, Freios e Pneus não incluídos</t>
  </si>
  <si>
    <t>622914M21VM</t>
  </si>
  <si>
    <t>623208M22</t>
  </si>
  <si>
    <t>CBH5 FO-1M SS RD MM P700(R) M21</t>
  </si>
  <si>
    <t>Carreta Hidráulica 5t (5m3) RD de 1 Eixo - FORRAGEIRA 1M - C/ PNEUS 700(R) + MANG MAIORES - Molas e Freios não incluídos</t>
  </si>
  <si>
    <t>623107M21</t>
  </si>
  <si>
    <t>Carreta Hidráulica 5t (5m3) RD de 1 Eixo - FORRAGEIRA 1M - C/ PNEUS + MANG MAIORES - Molas e Freios não incluídos</t>
  </si>
  <si>
    <t>623146M21</t>
  </si>
  <si>
    <t>CBH5 FO-1M SS RD MM P750(I) M21 AV</t>
  </si>
  <si>
    <t>Carreta Hidráulica 5t (5m3) RD de 1 Eixo - FORRAGEIRA 1M - C/ PNEUS 750(I) + MANG MAIORES - AMARELA - Molas e Freios não incluídos</t>
  </si>
  <si>
    <t>623146M21AV</t>
  </si>
  <si>
    <t>CBH5 FO-1M SS RD MM P750(R) M21</t>
  </si>
  <si>
    <t>622843M21</t>
  </si>
  <si>
    <t>CBH5 FO-1M SS RD P700(R) M21</t>
  </si>
  <si>
    <t>Carreta Hidráulica 5t (5m3) RD de 1 Eixo - FORRAGEIRA 1M - C/ PNEUS 700(R) - Molas e Freios não Incluídos</t>
  </si>
  <si>
    <t>622886M21</t>
  </si>
  <si>
    <t>Carreta Hidráulica 5t (5m3) RD de 1 Eixo - FORRAGEIRA 1M - C/ PNEUS - Molas e Freios não Incluídos</t>
  </si>
  <si>
    <t>622940M21</t>
  </si>
  <si>
    <t>CBH5 FO-1M SS RD P750(I) M21 PE VM</t>
  </si>
  <si>
    <t>Carreta Hidráulica 5t (5m3) RD de 1 Eixo - FORRAGEIRA 1M - C/ PNEUS 750(I) - C PONTA ESPECIAL - VERMELHA - Molas e Freios não Incluídos</t>
  </si>
  <si>
    <t>622940M21PEVM</t>
  </si>
  <si>
    <t>CBH5 FO-1M SS RD P750(I) M21 VM</t>
  </si>
  <si>
    <t>Carreta Hidráulica 5t (5m3) RD de 1 Eixo - FORRAGEIRA 1M - C/ PNEUS 750(I) - VERMELHA - Molas e Freios não Incluídos</t>
  </si>
  <si>
    <t>622940M21VM</t>
  </si>
  <si>
    <t>CBH5 FO-1M SS RD P750(R) M21</t>
  </si>
  <si>
    <t>Carreta Hidráulica 5t (5m3) RD de 1 Eixo - FORRAGEIRA 1M - C/ PNEUS 750(R) - Molas e Freios não Incluídos</t>
  </si>
  <si>
    <t>622828M21</t>
  </si>
  <si>
    <t>Carreta Hidráulica 5t (5m3) de Eixo Tandem - FORRAGEIRA 1M - C/ BASE P/ ENSILADEIRA - Molas, Freios e Pneus não Incluídos</t>
  </si>
  <si>
    <t>Carreta Hidráulica 5t (5m3) de Eixo Tandem - FORRAGEIRA 1M - C/ BASE P/ ENSILADEIRA - MANG. MAIORES - C/PNEUS 750(I) - Molas e Freios não Incluídos</t>
  </si>
  <si>
    <t>623194M21</t>
  </si>
  <si>
    <t>Carreta Hidráulica 5t (5m3) de Eixo Tandem - FORRAGEIRA 1M - Molas, Freios e Pneus não Incluídos</t>
  </si>
  <si>
    <t>CBH5 FO-1M SS T M21 AN</t>
  </si>
  <si>
    <t>Carreta Hidráulica 5t (5m3) de Eixo Tandem - FORRAGEIRA 1M - AZUL - Molas, Freios e Pneus não Incluídos</t>
  </si>
  <si>
    <t>622766M21AN</t>
  </si>
  <si>
    <t>CBH5 FO-1M SS T M21 VJ</t>
  </si>
  <si>
    <t>Carreta Hidráulica 5t (5m3) de Eixo Tandem - FORRAGEIRA 1M - VERDE - Molas, Freios e Pneus não Incluídos</t>
  </si>
  <si>
    <t>622766M21VJ</t>
  </si>
  <si>
    <t>CBH5 FO-1M SS T M21 VM</t>
  </si>
  <si>
    <t>Carreta Hidráulica 5t (5m3) de Eixo Tandem - VERMELHA - FORRAGEIRA 1M - Molas, Freios e Pneus não Incluídos</t>
  </si>
  <si>
    <t>622766M21VM</t>
  </si>
  <si>
    <t>Carreta Hidráulica 5t (5m3) de Eixo Tandem - FORRAGEIRA 1M - C/ MANGUEIRAS MAIORES - Molas, Freios e Pneus não Incluídos</t>
  </si>
  <si>
    <t>622770M21</t>
  </si>
  <si>
    <t>CBH5 FO-1M SS T MM M21 AV</t>
  </si>
  <si>
    <t>Carreta Hidráulica 5t (5m3) de Eixo Tandem - FORRAGEIRA 1M - C/ MANGUEIRAS MAIORES - AMARELA - Molas, Freios e Pneus não Incluídos</t>
  </si>
  <si>
    <t>622770M21AV</t>
  </si>
  <si>
    <t>Carreta Hidráulica 5t (5m3) de Eixo Tandem - FORRAGEIRA 1M - C/ MANG MAIORES + PNEUS 750(I) - Molas e Freios não Incluídos</t>
  </si>
  <si>
    <t>623139M21</t>
  </si>
  <si>
    <t>CBH5 FO-1M SS T MM P750(I) M21 AV</t>
  </si>
  <si>
    <t>Carreta Hidráulica 5t (5m3) de Eixo Tandem - FORRAGEIRA 1M - C/ MANG MAIORES + PNEUS 750(I) - AMARELA - Molas e Freios não Incluídos</t>
  </si>
  <si>
    <t>623139M21AV</t>
  </si>
  <si>
    <t>CBH5 FO-1M SS T P650(R) M21</t>
  </si>
  <si>
    <t>Carreta Hidráulica 5t (5m3) de Eixo Tandem - FORRAGEIRA 1M - C/ PNEUS 650(R) - Molas e Freios não Incluídos</t>
  </si>
  <si>
    <t>622772M21</t>
  </si>
  <si>
    <t>CBH5 UG ABL SC T M21</t>
  </si>
  <si>
    <t>Carreta Hidráulica 5t (3m3) de Eixo Tandem - USO GERAL ABL - C/ FREIOS - Molas e Pneus não Incluídos</t>
  </si>
  <si>
    <t>623323M21</t>
  </si>
  <si>
    <t>CBH5 UG ABL SC T M21 VM</t>
  </si>
  <si>
    <t>Carreta Hidráulica 5t (3m3) de Eixo Tandem - USO GERAL ABL - C/ FREIOS - VERMELHA - Molas e Pneus não Incluídos</t>
  </si>
  <si>
    <t>623323M21VM</t>
  </si>
  <si>
    <t>Carreta Hidráulica 5t (3m3) RD de 1 Eixo - USO GERAL - C/ MOLAS - Freios e Pneus não Incluídos</t>
  </si>
  <si>
    <t>CBH5 UG CS RD P650(R) M21</t>
  </si>
  <si>
    <t>Carreta Hidráulica 5t (3m3) RD de 1 Eixo - USO GERAL - C/ MOLAS + PNEUS 650(R) - Freios não Incluído</t>
  </si>
  <si>
    <t>621627M21</t>
  </si>
  <si>
    <t>CBH5 UG CS RD P700(R) M21</t>
  </si>
  <si>
    <t>Carreta Hidráulica 5t (3m3) RD de 1 Eixo - USO GERAL - C/ MOLAS + PNEUS 700(R) - Freios não incluídos</t>
  </si>
  <si>
    <t>622796M21</t>
  </si>
  <si>
    <t>CBH5 UG CS RD P700(R) M21 AN</t>
  </si>
  <si>
    <t>Carreta Hidráulica 5t (3m3) RD de 1 Eixo - USO GERAL - C/ MOLAS + PNEUS - AZUL - Freios não incluídos+</t>
  </si>
  <si>
    <t>622796M21AN</t>
  </si>
  <si>
    <t>Carreta Hidráulica 5t (3m3) RD de 1 Eixo - USO GERAL - C/ MOLAS + PNEUS - Freios não incluídos</t>
  </si>
  <si>
    <t>623190M21</t>
  </si>
  <si>
    <t>CBH5 UG CS RD P750(I) M21 AN</t>
  </si>
  <si>
    <t>Carreta Hidráulica 5t (3m3) RD de 1 Eixo - USO GERAL - C/ MOLAS + PNEUS - AZUL - Freios não incluídos</t>
  </si>
  <si>
    <t>623190M21AN</t>
  </si>
  <si>
    <t>CBH5 UG CS RD P750(R) M21</t>
  </si>
  <si>
    <t>Carreta Hidráulica 5t (3m3) RD de 1 Eixo - USO GERAL - C/ MOLAS + PNEUS 750(R) - Freios não incluídos</t>
  </si>
  <si>
    <t>622778M21</t>
  </si>
  <si>
    <t>Carreta Hidráulica 5t (3m3) de Eixo Tandem - USO GERAL - C/ FREIOS - Molas e Pneus não Incluídos</t>
  </si>
  <si>
    <t>CBH5 UG SC T M21 VM</t>
  </si>
  <si>
    <t>Carreta Hidráulica 5t (3m3) de Eixo Tandem - USO GERAL - C/ FREIOS - VERMELHA - Molas e Pneus não Incluídos</t>
  </si>
  <si>
    <t>623232M21VM</t>
  </si>
  <si>
    <t>Carreta Hidráulica 5t (3m3) RD de 1 Eixo - USO GERAL - Molas, Freios e Pneus não Incluídos</t>
  </si>
  <si>
    <t>CBH5 UG SS RD M21 AN</t>
  </si>
  <si>
    <t>Carreta Hidráulica 5t (3m3) RD de 1 Eixo - USO GERAL - AZUL - Molas, Freios e Pneus não Incluídos</t>
  </si>
  <si>
    <t>621602M21AN</t>
  </si>
  <si>
    <t>CBH5 UG SS RD M21 PE</t>
  </si>
  <si>
    <t>Carreta Hidráulica 5t (3m3) RD de 1 Eixo - USO GERAL - PONTA ESPECIAL - Molas, Freios e Pneus não Incluídos</t>
  </si>
  <si>
    <t>621602M21PE</t>
  </si>
  <si>
    <t>CBH5 UG SS RD M21 VJ</t>
  </si>
  <si>
    <t>Carreta Hidráulica 5t (3m3) RD de 1 Eixo - USO GERAL - VERDE - Molas, Freios e Pneus não Incluídos</t>
  </si>
  <si>
    <t>621602M21VJ</t>
  </si>
  <si>
    <t>CBH5 UG SS RD M21 VM</t>
  </si>
  <si>
    <t>Carreta Hidráulica 5t (3m3) RD de 1 Eixo - USO GERAL - VERMELHA - Molas, Freios e Pneus não Incluídos</t>
  </si>
  <si>
    <t>621602M21VM</t>
  </si>
  <si>
    <t>CBH5 UG SS RD MM M21 VM</t>
  </si>
  <si>
    <t>Carreta Hidráulica 5t (3m3) RD de 1 Eixo - USO GERAL - MANG. MAIORES - VERMELHA - Molas, Freios e Pneus não Incluídos</t>
  </si>
  <si>
    <t>623270M21VM</t>
  </si>
  <si>
    <t>CBH5 UG SS RD P650(R) M21</t>
  </si>
  <si>
    <t>Carreta Hidráulica 5t (3m3) RD de 1 Eixo - USO GERAL - C/ PNEUS 650(R) - Molas e Freios não Incluídos</t>
  </si>
  <si>
    <t>622681M21</t>
  </si>
  <si>
    <t>CBH5 UG SS RD P650(R) M21 VJ</t>
  </si>
  <si>
    <t>Carreta Hidráulica 5t (3m3) RD de 1 Eixo - USO GERAL - C/ PNEUS 650(R) - VERDE - Molas e Freios não Incluídos</t>
  </si>
  <si>
    <t>622681M21VJ</t>
  </si>
  <si>
    <t>CBH5 UG SS RD P700(R) AN</t>
  </si>
  <si>
    <t>Carreta Hidráulica 5t (3m3) RD de 1 Eixo - USO GERAL - C/ PNEUS - AZUL - Molas e Freios não Incluídos</t>
  </si>
  <si>
    <t>622743M21AN</t>
  </si>
  <si>
    <t>CBH5 UG SS RD P700(R) M21</t>
  </si>
  <si>
    <t>Carreta Hidráulica 5t (3m3) RD de 1 Eixo - USO GERAL - C/ PNEUS 700(R) - Molas e Freios não Incluídos</t>
  </si>
  <si>
    <t>622743M21</t>
  </si>
  <si>
    <t>CBH5 UG SS RD P700(R) M21 AV</t>
  </si>
  <si>
    <t>Carreta Hidráulica 5t (3m3) RD de 1 Eixo - USO GERAL - C/ PNEUS - AMARELA - Molas e Freios não Incluídos</t>
  </si>
  <si>
    <t>622743M21AV</t>
  </si>
  <si>
    <t>CBH5 UG SS RD P700(R) M21 VJ</t>
  </si>
  <si>
    <t>Carreta Hidráulica 5t (3m3) RD de 1 Eixo - USO GERAL - C/ PNEUS - VERDE - Molas e Freios não Incluídos</t>
  </si>
  <si>
    <t>622743M21VJ</t>
  </si>
  <si>
    <t>CBH5 UG SS RD P700(R) M21 VM</t>
  </si>
  <si>
    <t>Carreta Hidráulica 5t (3m3) RD de 1 Eixo - USO GERAL - C/ PNEUS 700(R) - VERMELHA - Molas e Freios não Incluídos</t>
  </si>
  <si>
    <t>622743M21VM</t>
  </si>
  <si>
    <t>Carreta Hidráulica 5t (3m3) RD de 1 Eixo - USO GERAL -  C/ PNEUS - Molas e Freios não Incluídos</t>
  </si>
  <si>
    <t>622923M21</t>
  </si>
  <si>
    <t>CBH5 UG SS RD P750(I) M21 AN</t>
  </si>
  <si>
    <t>Carreta Hidráulica 5t (3m3) RD de 1 Eixo - USO GERAL- C/ PNEUS 750(I) - AZUL - Molas e Freios não Incluídos</t>
  </si>
  <si>
    <t>622923M21AN</t>
  </si>
  <si>
    <t>CBH5 UG SS RD P750(I) M21 AV</t>
  </si>
  <si>
    <t>Carreta Hidráulica 5t (3m3) RD de 1 Eixo - USO GERAL - AMARELA - C/ PNEUS 750(I) - Molas e Freios não Incluídos</t>
  </si>
  <si>
    <t>622923M21AV</t>
  </si>
  <si>
    <t>CBH5 UG SS RD P750(I) M21 LJ</t>
  </si>
  <si>
    <t>Carreta Hidráulica 5t (3m3) RD de 1 Eixo - USO GERAL -  C/ PNEUS - LARANJA JACTO - Molas e Freios não Incluídos</t>
  </si>
  <si>
    <t>622923M21JC</t>
  </si>
  <si>
    <t>CBH5 UG SS RD P750(I) M21 PE</t>
  </si>
  <si>
    <t>Carreta Hidráulica 5t (3m3) RD de 1 Eixo - USO GERAL- C/ PNEUS 750(I) - C PONTA ESPECIAL - Molas e Freios não Incluídos</t>
  </si>
  <si>
    <t>622923M21PE</t>
  </si>
  <si>
    <t>CBH5 UG SS RD P750(I) M21 VJ</t>
  </si>
  <si>
    <t>Carreta Hidráulica 5t (3m3) RD de 1 Eixo - USO GERAL- C/ PNEUS 750(I) - VERDE - Molas e Freios não Incluídos</t>
  </si>
  <si>
    <t>622923M21VJ</t>
  </si>
  <si>
    <t>CBH5 UG SS RD P750(I) M21 VM</t>
  </si>
  <si>
    <t>Carreta Hidráulica 5t (3m3) RD de 1 Eixo - USO GERAL - PNEUS 750(I) - VERMELHA - Molas, Freios não Incluídos</t>
  </si>
  <si>
    <t>622923M21VM</t>
  </si>
  <si>
    <t>CBH5 UG SS RD P750(R) M21</t>
  </si>
  <si>
    <t>Carreta Hidráulica 5t (3m3) RD de 1 Eixo - USO GERAL - C/ PNEUS 750(R) - Molas e Freios não Incluídos</t>
  </si>
  <si>
    <t>622490M21</t>
  </si>
  <si>
    <t>CBH5 UG SS RD P750(R) M21 AN</t>
  </si>
  <si>
    <t>Carreta Hidráulica 5t (3m3) RD de 1 Eixo - USO GERAL - C/ PNEUS 750(R) - AZUL - Molas e Freios não Incluídos</t>
  </si>
  <si>
    <t>622490M21AN</t>
  </si>
  <si>
    <t>CBH5 UG SS RD P750(R) M21 VJ</t>
  </si>
  <si>
    <t>Carreta Hidráulica 5t (3m3) RD de 1 Eixo - USO GERAL - C/ PNEUS 750(R) - VERDE - Molas e Freios não Incluídos</t>
  </si>
  <si>
    <t>622490M21VJ</t>
  </si>
  <si>
    <t>CBH5 UG SS RD P750(R) M21 VM</t>
  </si>
  <si>
    <t>Carreta Hidráulica 5t (3m3) RD de 1 Eixo - USO GERAL - C/ PNEUS 750(R) - VERMELHA - Molas e Freios não Incluídos</t>
  </si>
  <si>
    <t>622490M21VM</t>
  </si>
  <si>
    <t>CBH5 UG SS RDC P750(I) M21</t>
  </si>
  <si>
    <t>Carreta Hidráulica 5t (3m3) RDC de 1 Eixo - USO GERAL -  C/ PNEUS - Molas e Freios não Incluídos</t>
  </si>
  <si>
    <t>623317M21</t>
  </si>
  <si>
    <t>Carreta Hidráulica 5t (3m3) de Eixo Tandem - USO GERAL - Molas, Freios e Pneus não Incluídos</t>
  </si>
  <si>
    <t>Carreta Hidráulica 5t (3m3) de Eixo Tandem - USO GERAL - C/ MANGUEIRAS MAIORES - Molas, Freios e Pneus não Incluídos</t>
  </si>
  <si>
    <t>622775M21</t>
  </si>
  <si>
    <t>CBH5 UG SS T P700(R) M21</t>
  </si>
  <si>
    <t>Carreta Hidráulica 5t (4m3) de Eixo Tandem - USO GERAL - C/ PNEUS 700(R) - Molas e Freios não Incluídos</t>
  </si>
  <si>
    <t>622753M21</t>
  </si>
  <si>
    <t>Carreta Hidráulica 5t (3m3) de Eixo Tandem - USO GERAL - C/ PNEUS - Molas e Freios não Incluídos</t>
  </si>
  <si>
    <t>622990M21</t>
  </si>
  <si>
    <t>CBH5 UG SS T P750(I) M21 AN</t>
  </si>
  <si>
    <t>Carreta Hidráulica 5t (3m3) de Eixo Tandem - USO GERAL - AZUL - C/ PNEUS - Molas e Freios não Incluídos</t>
  </si>
  <si>
    <t>622990M21AN</t>
  </si>
  <si>
    <t>CBH5 UG SS T P750(R) M21</t>
  </si>
  <si>
    <t>Carreta Hidráulica 5t (3m3) de Eixo Tandem - USO GERAL - C/ PNEUS 750(R) - Molas e Freios não Incluídos</t>
  </si>
  <si>
    <t>622768M21</t>
  </si>
  <si>
    <t>CBH5 UG SS T TTM M21 VM</t>
  </si>
  <si>
    <t>Carreta Hidráulica 5t (3m3) de Eixo Tandem - USO GERAL - C/ TAMPA TRASEIRA MAIOR - Molas, Freios e Pneus não Incluídos</t>
  </si>
  <si>
    <t>623035M21VM</t>
  </si>
  <si>
    <t>Carreta Hidráulica 6t (9m3) RD de 1 Eixo – FORRAGEIRA - C/ FREIOS - Pneus não Incluídos</t>
  </si>
  <si>
    <t>CBH6 FO SC RD M22 VM</t>
  </si>
  <si>
    <t>623025M22VM</t>
  </si>
  <si>
    <t>Carreta Hidráulica 6t (9m3) RD de 1 Eixo – FORRAGEIRA - C/ FREIOS + MANG MAIORES - Pneus não Incluídos</t>
  </si>
  <si>
    <t>623124M22</t>
  </si>
  <si>
    <t>CBH6 FO SC RD MM M22 VM</t>
  </si>
  <si>
    <t>Carreta Hidráulica 6t (9m3) RD de 1 Eixo – FORRAGEIRA - C/ FREIOS + MANG MAIORES - VERMELHA - Pneus não Incluídos</t>
  </si>
  <si>
    <t>623124M22VM</t>
  </si>
  <si>
    <t>Carreta Hidráulica 6t (9m3) RD de 1 Eixo – FORRAGEIRA - C/ FREIOS + MANG MAIORES + PNEUS</t>
  </si>
  <si>
    <t>CBH6</t>
  </si>
  <si>
    <t>CBH6 FO SC RD MM P750(I) M22 VM</t>
  </si>
  <si>
    <t>Carreta Hidráulica 6t (9m3) RD de 1 Eixo – FORRAGEIRA - C/ FREIOS + MANG MAIORES + PNEUS - VERMELHA</t>
  </si>
  <si>
    <t>CBH6 FO SS RD CT MM M22 AN</t>
  </si>
  <si>
    <t>Carreta Hidráulica 6t (9m3) RD de 1 Eixo - CT - FORRAGEIRA - MANGUEIRAS MAIORES - AZUL - Molas, Pneus e Freios não Incluídos</t>
  </si>
  <si>
    <t>623257M22AN</t>
  </si>
  <si>
    <t>CBH6 FO SS RD CT MM M22 VM</t>
  </si>
  <si>
    <t>Carreta Hidráulica 6t (9m3) RD de 1 Eixo – FORRAGEIRA - CILIN TELESCÓPICO - MANGUEIRAS MAIORES - VERMELHA - Molas, Pneus e Freios não Incluídos</t>
  </si>
  <si>
    <t>623257M22VM</t>
  </si>
  <si>
    <t>Carreta Hidráulica 6t (9m3) RD de 1 Eixo – FORRAGEIRA - Molas, Freios e Pneus não Incluídos</t>
  </si>
  <si>
    <t>Carreta Hidráulica 6t (9m3) RD de 1 Eixo – FORRAGEIRA - MANGUEIRAS MAIORES - Molas, Pneus e Freios não Incluídos</t>
  </si>
  <si>
    <t>623250M22</t>
  </si>
  <si>
    <t>CBH6 FO SS RD MM M22 AN</t>
  </si>
  <si>
    <t>Carreta Hidráulica 6t (9m3) RD de 1 Eixo – FORRAGEIRA - MANGUEIRAS MAIORES - AZUL - Molas, Pneus e Freios não Incluídos</t>
  </si>
  <si>
    <t>623250M22AN</t>
  </si>
  <si>
    <t>CBH6 FO SS RD MM M22 VM</t>
  </si>
  <si>
    <t>Carreta Hidráulica 6t (9m3) RD de 1 Eixo – FORRAGEIRA - MANGUEIRAS MAIORES - VERMELHA - Molas, Pneus e Freios não Incluídos</t>
  </si>
  <si>
    <t>623250M22VM</t>
  </si>
  <si>
    <t>Carreta Hidráulica 6t (9m3) RD de 1 Eixo – FORRAGEIRA - MANGUEIRAS MAIORES - PNEUS 750(I) - Molas e Freios não Incluídos</t>
  </si>
  <si>
    <t>623202M22</t>
  </si>
  <si>
    <t>CBH6 FO SS RD MM P750(I) M22 AV</t>
  </si>
  <si>
    <t>Carreta Hidráulica 6t (9m3) RD de 1 Eixo – FORRAGEIRA - MANGUEIRAS MAIORES - PNEUS 750(I) - AMARELA - Molas e Freios não Incluídos</t>
  </si>
  <si>
    <t>623202M22AV</t>
  </si>
  <si>
    <t>CBH6 FO SS RD MM P750(I) M22 VM</t>
  </si>
  <si>
    <t>Carreta Hidráulica 6t (9m3) RD de 1 Eixo – FORRAGEIRA - MANGUEIRAS MAIORES - PNEUS 750(I) - VERMELHA - Molas e Freios não Incluídos</t>
  </si>
  <si>
    <t>623202M22VM</t>
  </si>
  <si>
    <t>CBH6 FO SS RD P700(R) M22</t>
  </si>
  <si>
    <t>Carreta Hidráulica 6t (9m3) RD de 1 Eixo – FORRAGEIRA - C/ PNEUS 700(R) - Molas, Freios não Incluídos</t>
  </si>
  <si>
    <t>623122M22</t>
  </si>
  <si>
    <t>Carreta Hidráulica 6t (9m3) RD de 1 Eixo – FORRAGEIRA - PNEUS - Molas, Freios não Incluídos</t>
  </si>
  <si>
    <t>623121M22</t>
  </si>
  <si>
    <t>CBH6 FO SS RD P750(I) M22 AN</t>
  </si>
  <si>
    <t>Carreta Hidráulica 6t (9m3) RD de 1 Eixo – FORRAGEIRA - PNEUS - AZUL - Molas, Freios não Incluídos</t>
  </si>
  <si>
    <t>623121M22AN</t>
  </si>
  <si>
    <t>CBH6 FO SS RD P750(I) M22 VM</t>
  </si>
  <si>
    <t>Carreta Hidráulica 6t (9m3) RD de 1 Eixo – FORRAGEIRA - PNEUS - VERMELHA - Molas, Freios não Incluídos</t>
  </si>
  <si>
    <t>623121M22VM</t>
  </si>
  <si>
    <t>CBH6 FO SS RDC P750(I) M22</t>
  </si>
  <si>
    <t>Carreta Hidráulica 6t (9m3) RDC de 1 Eixo – FORRAGEIRA - PNEUS - Molas, Freios não Incluídos</t>
  </si>
  <si>
    <t>623315M22</t>
  </si>
  <si>
    <t>CBH6 FO SS T CT MM M22 AN</t>
  </si>
  <si>
    <t>Carreta Hidráulica 6t (9m3) de Eixo Tandem - CT - FORRAGEIRA - C/ MANG. MAIORES - AZUL - Molas, Freios e Pneus não Incluídos</t>
  </si>
  <si>
    <t>623256M22AN</t>
  </si>
  <si>
    <t>CBH6 FO SS T CT MM M22 VM</t>
  </si>
  <si>
    <t>Carreta Hidráulica 6t (9m3) de Eixo Tandem – FORRAGEIRA - C/ MANG. MAIORES - VERMELHA - Molas, Freios e Pneus não Incluídos</t>
  </si>
  <si>
    <t>623256M22VM</t>
  </si>
  <si>
    <t>CBH6 FO SS T CT MM P750(I) M22 VM</t>
  </si>
  <si>
    <t>Carreta Hidráulica 6t (9m3) de Eixo Tandem – FORRAGEIRA - C/ MANG. MAIORES + PNEUS 750(I) - VERMELHA - Molas, Freios não Incluídos</t>
  </si>
  <si>
    <t>623259M22VM</t>
  </si>
  <si>
    <t>Carreta Hidráulica 6t (9m3) de Eixo Tandem – FORRAGEIRA - Molas, Freios e Pneus não Incluídos</t>
  </si>
  <si>
    <t>CBH6 FO SS T M22 VM</t>
  </si>
  <si>
    <t>Carreta Hidráulica 6t (9m3) de Eixo Tandem – FORRAGEIRA - VERMELHA - Molas, Freios e Pneus não Incluídos</t>
  </si>
  <si>
    <t>623033M22VM</t>
  </si>
  <si>
    <t>Carreta Hidráulica 6t (9m3) de Eixo Tandem – FORRAGEIRA - C/ MANG. MAIORES - Molas, Freios e Pneus não Incluídos</t>
  </si>
  <si>
    <t>623077M22</t>
  </si>
  <si>
    <t>CBH6 FO SS T MM M22 AN</t>
  </si>
  <si>
    <t>Carreta Hidráulica 6t (9m3) de Eixo Tandem – FORRAGEIRA - C/ MANG. MAIORES - AZUL - Molas, Freios e Pneus não Incluídos</t>
  </si>
  <si>
    <t>623077M22AN</t>
  </si>
  <si>
    <t>CBH6 FO SS T MM M22 AV</t>
  </si>
  <si>
    <t>Carreta Hidráulica 6t (9m3) de Eixo Tandem – FORRAGEIRA - C/ MANG. MAIORES - AMARELA - Molas, Freios e Pneus não Incluídos</t>
  </si>
  <si>
    <t>623077M22AV</t>
  </si>
  <si>
    <t>CBH6 FO SS T MM M22 VM</t>
  </si>
  <si>
    <t>623077M22VM</t>
  </si>
  <si>
    <t>Carreta Hidráulica 6t (9m3) de Eixo Tandem – FORRAGEIRA - C/ MANG. MAIORES + PNEUS 750(I) - Molas e Freios não Incluídos</t>
  </si>
  <si>
    <t>623081M22</t>
  </si>
  <si>
    <t>CBH6 FO SS T MM P750(I) M22 AV</t>
  </si>
  <si>
    <t>Carreta Hidráulica 6t (9m3) de Eixo Tandem – FORRAGEIRA - C/ MANG. MAIORES + PNEUS 750(I) - AMARELA - Molas e Freios não Incluídos</t>
  </si>
  <si>
    <t>623081M22AV</t>
  </si>
  <si>
    <t>CBH6 FO SS T MM P750(I) M22 VM</t>
  </si>
  <si>
    <t>Carreta Hidráulica 6t (9m3) de Eixo Tandem – FORRAGEIRA - C/ MANG. MAIORES + PNEUS 750(I) - VERMELHA - Molas e Freios não Incluídos</t>
  </si>
  <si>
    <t>623081M22VM</t>
  </si>
  <si>
    <t>Carreta Hidráulica 6t (9m3) de Eixo Tandem – FORRAGEIRA - C/ PNEUS - Molas, Freios não Incluídos</t>
  </si>
  <si>
    <t>623252M22</t>
  </si>
  <si>
    <t>CBH6 FO SS T P750(I) M22 AN</t>
  </si>
  <si>
    <t>Carreta Hidráulica 6t (9m3) de Eixo Tandem – FORRAGEIRA - AZUL - C/ PNEUS - Molas, Freios não Incluídos</t>
  </si>
  <si>
    <t>623252M22AN</t>
  </si>
  <si>
    <t>CBH6 FO SS T P750(I) M22 VM</t>
  </si>
  <si>
    <t>Carreta Hidráulica 6t (9m3) de Eixo Tandem – FORRAGEIRA - PNEUS 750(I) - VERMELHA - Molas e Freios não Incluídos</t>
  </si>
  <si>
    <t>623158M22VM</t>
  </si>
  <si>
    <t>Carreta Hidráulica 6t (9m3) de Eixo Tandem – FORRAGEIRA - C/ PNEUS + TAMPA TRAS. USO GERAL - Molas, Freios não Incluídos</t>
  </si>
  <si>
    <t>623313M22</t>
  </si>
  <si>
    <t>Carreta Hidráulica 6t (6m3) RD de 1 Eixo – FORRAGEIRA 1M - C/ FREIOS - Pneus não Incluídos</t>
  </si>
  <si>
    <t>Carreta Hidráulica 6t (6m3) RD de 1 Eixo – FORRAGEIRA 1M - Molas, Freios e Pneus não Incluídos</t>
  </si>
  <si>
    <t>CBH6 FO-1M SS RD M22 VM</t>
  </si>
  <si>
    <t>Carreta Hidráulica 6t (6m3) RD de 1 Eixo – FORRAGEIRA 1M - VERMELHA - Molas, Freios e Pneus não Incluídos</t>
  </si>
  <si>
    <t>623027M22VM</t>
  </si>
  <si>
    <t>Carreta Hidráulica 6t (6m3) RD de 1 Eixo – FORRAGEIRA 1M - C/ MANG MAIORES - Molas, Freios e Pneus não Incluídos</t>
  </si>
  <si>
    <t>623145M22</t>
  </si>
  <si>
    <t>CBH6 FO-1M SS RD MM M22 AV</t>
  </si>
  <si>
    <t>Carreta Hidráulica 6t (6m3) RD de 1 Eixo – FORRAGEIRA 1M - C/ MANG MAIORES - AMARELA - Molas, Freios e Pneus não Incluídos</t>
  </si>
  <si>
    <t>623145M22AV</t>
  </si>
  <si>
    <t>CBH6 FO-1M SS RD MM M22 VM</t>
  </si>
  <si>
    <t>Carreta Hidráulica 6t (6m3) RD de 1 Eixo – FORRAGEIRA 1M - C/ MANG MAIORES - VERMELHA - Molas, Freios e Pneus não Incluídos</t>
  </si>
  <si>
    <t>623145M22VM</t>
  </si>
  <si>
    <t>CBH6 FO-1M SS RD P700(R) M22</t>
  </si>
  <si>
    <t>Carreta Hidráulica 6t (6m3) RD de 1 Eixo – FORRAGEIRA 1M - C/ PNEUS 700(R) - Molas e Freios não Incluídos</t>
  </si>
  <si>
    <t>623078M22</t>
  </si>
  <si>
    <t>Carreta Hidráulica 6t (6m3) RD de 1 Eixo – FORRAGEIRA 1M - C/ PNEUS - Molas e Freios não Incluídos</t>
  </si>
  <si>
    <t>623076M22</t>
  </si>
  <si>
    <t>Carreta Hidráulica 6t (6m3) de Eixo Tandem – FORRAGEIRA 1M - Molas, Freios e Pneus não Incluídos</t>
  </si>
  <si>
    <t>CBH6 FO-1M SS T M22 VM</t>
  </si>
  <si>
    <t>Carreta Hidráulica 6t (6m3) de Eixo Tandem – FORRAGEIRA 1M - VERMELHA - Molas, Freios e Pneus não Incluídos</t>
  </si>
  <si>
    <t>623032M22VM</t>
  </si>
  <si>
    <t>Carreta Hidráulica 6t (6m3) de Eixo Tandem – FORRAGEIRA 1M - C/ PNEUS - Molas, Freios e Pneus não Incluídos</t>
  </si>
  <si>
    <t>623149M22</t>
  </si>
  <si>
    <t>CBH6 FO-1M SS T P750(I) M22 AN</t>
  </si>
  <si>
    <t>Carreta Hidráulica 6t (6m3) de Eixo Tandem – FORRAGEIRA 1M - C/ PNEUS - AZUL - Molas, Freios e Pneus não Incluídos</t>
  </si>
  <si>
    <t>623149M22AN</t>
  </si>
  <si>
    <t>CBH6 FO-1M SS T P750(I) M22 VM</t>
  </si>
  <si>
    <t>Carreta Hidráulica 6t (6m3) de Eixo Tandem – FORRAGEIRA 1M - C/ PNEUS - VERMELHA - Molas, Freios e Pneus não Incluídos</t>
  </si>
  <si>
    <t>623149M22VM</t>
  </si>
  <si>
    <t>Carreta Hidráulica 6t (4m3) RD de 1 Eixo – USO GERAL - C/ FREIOS - Pneus não Incluídos</t>
  </si>
  <si>
    <t>CBH6 UG SC RD M22 AN</t>
  </si>
  <si>
    <t>Carreta Hidráulica 6t (4m3) RD de 1 Eixo – USO GERAL - C/ FREIOS - AZUL - Pneus não Incluídos</t>
  </si>
  <si>
    <t>623023M22AN</t>
  </si>
  <si>
    <t>Carreta Hidráulica 6t (4m3) RD de 1 Eixo – USO GERAL - Molas, Freios e Pneus não Incluídos</t>
  </si>
  <si>
    <t>CBH6 UG SS RD P700(R) M22</t>
  </si>
  <si>
    <t>Carreta Hidráulica 6t (4m3) RD de 1 Eixo – USO GERAL - C/ PNEUS 700(R) - Molas e Freios não Incluídos</t>
  </si>
  <si>
    <t>623062M22</t>
  </si>
  <si>
    <t>CBH6 UG SS RD P700(R) M22 VJ</t>
  </si>
  <si>
    <t>Carreta Hidráulica 6t (4m3) RD de 1 Eixo – USO GERAL - C/ PNEUS - VERDE - Molas e Freios não Incluídos</t>
  </si>
  <si>
    <t>623062M22VJ</t>
  </si>
  <si>
    <t>Carreta Hidráulica 6t (4m3) RD de 1 Eixo – USO GERAL - C/ PNEUS - Molas e Freios não Incluídos</t>
  </si>
  <si>
    <t>623131M22</t>
  </si>
  <si>
    <t>CBH6 UG SS RD P750(I) M22 AN</t>
  </si>
  <si>
    <t>Carreta Hidráulica 6t (4m3) RD de 1 Eixo – USO GERAL - C/ PNEUS 750(I) - AZUL - Molas e Freios não Incluídos</t>
  </si>
  <si>
    <t>623131M22AN</t>
  </si>
  <si>
    <t>CBH6 UG SS RD P750(I) M22 VJ</t>
  </si>
  <si>
    <t>Carreta Hidráulica 6t (4m3) RD de 1 Eixo – USO GERAL - C/ PNEUS 750(I) - VERDE - Molas e Freios não Incluídos</t>
  </si>
  <si>
    <t>623131M22VJ</t>
  </si>
  <si>
    <t>Carreta Hidráulica 6t (4m3) de Eixo Tandem – USO GERAL - Molas, Freios e Pneus não Incluídos</t>
  </si>
  <si>
    <t>Carreta Hidráulica 6t (9m3) RS/RD de 2 Eixos - FORRAGEIRA -  C/ COMBOIO - COM PNEUS 750(I)- Molas e Freios não Incluídos</t>
  </si>
  <si>
    <t>623236M21</t>
  </si>
  <si>
    <t>CBH6-2E FO SS RS/RD CB P750(I) M21 AN</t>
  </si>
  <si>
    <t>Carreta Hidráulica 6t (9m3) RS/RD de 2 Eixos - FORRAGEIRA -  C/ COMBOIO - COM PNEUS 750(I) - AZUL - Molas e Freios não Incluídos</t>
  </si>
  <si>
    <t>623236M21AN</t>
  </si>
  <si>
    <t>CBH6-2E FO SS RS/RD CB P750(R) M21</t>
  </si>
  <si>
    <t>Carreta Hidráulica 6t (9m3) RS/RD de 2 Eixos - FORRAGEIRA -  C/ COMBOIO - COM PNEUS - Molas e Freios não Incluídos</t>
  </si>
  <si>
    <t>622617M21</t>
  </si>
  <si>
    <t>Carreta Hidráulica 6t (9m3) RS/RD de 2 Eixos - FORRAGEIRA - Molas, Freios e Pneus não Incluídos</t>
  </si>
  <si>
    <t>CBH6-2E FO SS RS/RD M21 AN</t>
  </si>
  <si>
    <t>Carreta Hidráulica 6t (9m3) RS/RD de 2 Eixos - FORRAGEIRA - AZUL - Molas, Freios e Pneus não Incluídos</t>
  </si>
  <si>
    <t>622315M21AN</t>
  </si>
  <si>
    <t>CBH6-2E FO SS RS/RD M21 AV</t>
  </si>
  <si>
    <t>Carreta Hidráulica 6t (9m3) RS/RD de 2 Eixos - FORRAGEIRA - AMARELA - Molas, Freios e Pneus não Incluídos</t>
  </si>
  <si>
    <t>622315M21AV</t>
  </si>
  <si>
    <t>CBH6-2E FO SS RS/RD M21 PE</t>
  </si>
  <si>
    <t>Carreta Hidráulica 6t (9m3) RS/RD de 2 Eixos - FORRAGEIRA - C PONTA ESPECIAL - Molas, Freios e Pneus não Incluídos</t>
  </si>
  <si>
    <t>622315M21PE</t>
  </si>
  <si>
    <t>CBH6-2E FO SS RS/RD M21 VJ</t>
  </si>
  <si>
    <t>Carreta Hidráulica 6t (9m3) RS/RD de 2 Eixos - FORRAGEIRA - VERDE - Molas, Freios e Pneus não Incluídos</t>
  </si>
  <si>
    <t>622315M21VJ</t>
  </si>
  <si>
    <t>CBH6-2E FO SS RS/RD M21 VM</t>
  </si>
  <si>
    <t>Carreta Hidráulica 6t (9m3) RS/RD de 2 Eixos - FORRAGEIRA - VERMELHA - Molas, Freios e Pneus não Incluídos</t>
  </si>
  <si>
    <t>622315M21VM</t>
  </si>
  <si>
    <t>CBH6-2E FO SS RS/RD M22 CEQUIP</t>
  </si>
  <si>
    <t>623135M22</t>
  </si>
  <si>
    <t>FT10500 SS T R15,5 BB BD M23</t>
  </si>
  <si>
    <t>CBH6-2E FO SS RS/RD P700(R) M21</t>
  </si>
  <si>
    <t>Carreta Hidráulica 6t (9m3) RS/RD de 2 Eixos - FORRAGEIRA - C/ PNEUS 700(R) - Molas e Freios não Incluídos</t>
  </si>
  <si>
    <t>622760M21</t>
  </si>
  <si>
    <t>FT10500 SS T R15,5 BB BD P400 M23</t>
  </si>
  <si>
    <t>CBH6-2E FO SS RS/RD P700(R) M21 AN</t>
  </si>
  <si>
    <t>Carreta Hidráulica 6t (9m3) RS/RD de 2 Eixos - FORRAGEIRA - C/ PNEUS 700(R) - AZUL - Molas e Freios não Incluídos</t>
  </si>
  <si>
    <t>622760M21AN</t>
  </si>
  <si>
    <t>FT10500 SS T R15,5 BB M23</t>
  </si>
  <si>
    <t>CBH6-2E FO SS RS/RD P700(R) M21 VJ</t>
  </si>
  <si>
    <t>Carreta Hidráulica 6t (9m3) RS/RD de 2 Eixos - FORRAGEIRA - C/ PNEUS 700(R) - VERDE - Molas e Freios não Incluídos</t>
  </si>
  <si>
    <t>622760M21VJ</t>
  </si>
  <si>
    <t>FT10500 SS T R15,5 BB P400 M23</t>
  </si>
  <si>
    <t>CBH6-2E FO SS RS/RD P700(R) M21 VM</t>
  </si>
  <si>
    <t>Carreta Hidráulica 6t (9m3) RS/RD de 2 Eixos - FORRAGEIRA - C/ PNEUS 700(R) - VERMELHA - Molas e Freios não Incluídos</t>
  </si>
  <si>
    <t>622760M21VM</t>
  </si>
  <si>
    <t>CBH6-2E FO SS RS/RD P750(I) AN M21 PE</t>
  </si>
  <si>
    <t>Carreta Hidráulica 6t (9m3) RS/RD de 2 Eixos - FORRAGEIRA - C/ PNEUS 750(I)  -  AZUL - C PONTA ESPECIAL - Molas e Freios não Incluídos</t>
  </si>
  <si>
    <t>622939M21ANPE</t>
  </si>
  <si>
    <t>Carreta Hidráulica 6t (9m3) RS/RD de 2 Eixos - FORRAGEIRA - C/ PNEUS  - Molas e Freios não Incluídos</t>
  </si>
  <si>
    <t>622939M21</t>
  </si>
  <si>
    <t>CBH6-2E FO SS RS/RD P750(I) M21 AN</t>
  </si>
  <si>
    <t>Carreta Hidráulica 6t (9m3) RS/RD de 2 Eixos - FORRAGEIRA - C/ PNEUS 750(I) - AZUL - Molas e Freios não Incluídos</t>
  </si>
  <si>
    <t>622939M21AN</t>
  </si>
  <si>
    <t>CBH6-2E FO SS RS/RD P750(I) M21 AV</t>
  </si>
  <si>
    <t>Carreta Hidráulica 6t (9m3) RS/RD de 2 Eixos - FORRAGEIRA - C/ PNEUS - AMARELA - Molas e Freios não Incluídos</t>
  </si>
  <si>
    <t>622939M21AV</t>
  </si>
  <si>
    <t>CBH6-2E FO SS RS/RD P750(I) M21 PE</t>
  </si>
  <si>
    <t>Carreta Hidráulica 6t (9m3) RS/RD de 2 Eixos - FORRAGEIRA - C/ PNEUS 750(I)  - C PONTA ESPECIAL - Molas e Freios não Incluídos</t>
  </si>
  <si>
    <t>622939M21PE</t>
  </si>
  <si>
    <t>CBH6-2E FO SS RS/RD P750(I) M21 VJ</t>
  </si>
  <si>
    <t>Carreta Hidráulica 6t (9m3) RS/RD de 2 Eixos - FORRAGEIRA - C/ PNEUS 750(I) - VERDE - Molas e Freios não Incluídos</t>
  </si>
  <si>
    <t>622939M21VJ</t>
  </si>
  <si>
    <t>CBH6-2E FO SS RS/RD P750(I) M21 VM</t>
  </si>
  <si>
    <t>Carreta Hidráulica 6t (9m3) RS/RD de 2 Eixos - FORRAGEIRA - C/ PNEUS 750(I)  - VERMELHA - Molas e Freios não Incluídos</t>
  </si>
  <si>
    <t>622939M21VM</t>
  </si>
  <si>
    <t>CBH6-2E FO SS RS/RD P750(I) M21 VM PE</t>
  </si>
  <si>
    <t>Carreta Hidráulica 6t (9m3) RS/RD de 2 Eixos - FORRAGEIRA - C/ PNEUS 750(I)  - PONTA ESPECIAL - VERMELHA - Molas e Freios não Incluídos</t>
  </si>
  <si>
    <t>622939M21VMPE</t>
  </si>
  <si>
    <t>CBH6-2E FO SS RS/RD P750(R) M21</t>
  </si>
  <si>
    <t>Carreta Hidráulica 6t (9m3) RS/RD de 2 Eixos - FORRAGEIRA - C/ PNEUS 750(R)  - Molas e Freios não Incluídos</t>
  </si>
  <si>
    <t>622339M21</t>
  </si>
  <si>
    <t>CBH6-2E FO SS RS/RD P750(R) M21 VJ</t>
  </si>
  <si>
    <t>Carreta Hidráulica 6t (9m3) RS/RD de 2 Eixos - FORRAGEIRA - C/ PNEUS 750(R)  - VERDE - Molas e Freios não Incluídos</t>
  </si>
  <si>
    <t>622339M21VJ</t>
  </si>
  <si>
    <t>CBH6-2E FO SS RS/RD P750(R) M21 VM</t>
  </si>
  <si>
    <t>Carreta Hidráulica 6t (9m3) RS/RD de 2 Eixos - FORRAGEIRA - C/ PNEUS 750(R) - VERMELHA - Molas e Freios não Incluídos</t>
  </si>
  <si>
    <t>622339M21VM</t>
  </si>
  <si>
    <t>CBH6-2E FO SS RS/RD TTE P750(I) M21</t>
  </si>
  <si>
    <t>Carreta Hidráulica 6t (9m3) RS/RD de 2 Eixos - FORRAGEIRA - TAMPA TRAS. ESPECIAL -  C/ PNEUS - Molas e Freios não Incluídos</t>
  </si>
  <si>
    <t>623116M21</t>
  </si>
  <si>
    <t>Carreta Hidráulica 6t (9m3) RS/Tandem de 2 Eixos - FORRAGEIRA - Molas, Freios e Pneus não Incluídos</t>
  </si>
  <si>
    <t>CBH6-2E FO SS RS/T M21 AN</t>
  </si>
  <si>
    <t>Carreta Hidráulica 6t (9m3) RS/Tandem de 2 Eixos - FORRAGEIRA - AZUL - Molas, Freios e Pneus não Incluídos</t>
  </si>
  <si>
    <t>622127M21AN</t>
  </si>
  <si>
    <t>CBH6-2E FO SS RS/T M21 AV</t>
  </si>
  <si>
    <t>Carreta Hidráulica 6t (9m3) RS/Tandem de 2 Eixos - FORRAGEIRA - AMARELA - Molas, Freios e Pneus não Incluídos</t>
  </si>
  <si>
    <t>622127M21AV</t>
  </si>
  <si>
    <t>CBH6-2E FO SS RS/T M21 VM</t>
  </si>
  <si>
    <t>Carreta Hidráulica 6t (9m3) RS/Tandem de 2 Eixos - FORRAGEIRA - VERMELHA - Molas, Freios e Pneus não Incluídos</t>
  </si>
  <si>
    <t>622127M21VM</t>
  </si>
  <si>
    <t>CBH6-2E FO SS RS/T M21 VM RT</t>
  </si>
  <si>
    <t>622127M21VMRT</t>
  </si>
  <si>
    <t>CBH6-2E FO SS RS/T P700(R) M21</t>
  </si>
  <si>
    <t>Carreta Hidráulica 6t (9m3) RS/Tandem de 2 Eixos - FORRAGEIRA - C/ PNEUS 700(R) - Molas e Freio não Incluídos</t>
  </si>
  <si>
    <t>622785M21</t>
  </si>
  <si>
    <t>Carreta Hidráulica 6t (9m3) RS/Tandem de 2 Eixos - FORRAGEIRA - C/ PNEUS - Molas e Freio não Incluídos</t>
  </si>
  <si>
    <t>623219M21</t>
  </si>
  <si>
    <t>CBH6-2E FO SS RS/T P750(R) M21</t>
  </si>
  <si>
    <t>Carreta Hidráulica 6t (9m3) RS/Tandem de 2 Eixos - FORRAGEIRA - C/ PNEUS 750(R) - Molas e Freios não Incluídos</t>
  </si>
  <si>
    <t>622626M21</t>
  </si>
  <si>
    <t>Carreta Hidráulica 6t (6m3) RS/RD de 2 Eixos - FORRAGEIRA 1M - Molas, Freios e Pneus não Incluídos</t>
  </si>
  <si>
    <t>CBH6-2E FO-1M SS RS/RD M21 VM</t>
  </si>
  <si>
    <t>Carreta Hidráulica 6t (6m3) RS/RD de 2 Eixos - FORRAGEIRA 1M - VERMELHA - Molas, Freios e Pneus não Incluídos</t>
  </si>
  <si>
    <t>621971M21VM</t>
  </si>
  <si>
    <t>Carreta Hidráulica 6t (6m3) RS/Tandem de 2 Eixos - FORRAGEIRA 1M - Molas, Freios e Pneus não Incluídos</t>
  </si>
  <si>
    <t>CBH6-2E FO-1M SS RS/T M21 AV</t>
  </si>
  <si>
    <t>Carreta Hidráulica 6t (6m3) RS/Tandem de 2 Eixos - FORRAGEIRA 1M - AMARELA - Molas, Freios e Pneus não Incluídos</t>
  </si>
  <si>
    <t>622941M21AV</t>
  </si>
  <si>
    <t>Carreta Hidráulica 6t (4m3) RS/RD de 2 Eixos - USO GERAL - Molas, Freios e Pneus não Incluídos</t>
  </si>
  <si>
    <t>Carreta Hidráulica 6t (7,5m3) de Eixo Tandem - FORRAGEIRA - C/ FREIOS - Molas e Pneus não Incluídos</t>
  </si>
  <si>
    <t>Carreta Hidráulica 6t (7,5m3) de Eixo Tandem - FORRAGEIRA - C/ FREIO + PNEUS - Molas não Incluídos</t>
  </si>
  <si>
    <t>623173M21</t>
  </si>
  <si>
    <t>CBH6R FO SC T P750(R) M21</t>
  </si>
  <si>
    <t>Carreta Hidráulica 6t (7,5m3) de Eixo Tandem - FORRAGEIRA - C/ FREIO + PNEUS 750(R) - Molas não Incluídos</t>
  </si>
  <si>
    <t>622730M21</t>
  </si>
  <si>
    <t>Carreta Hidráulica 6t (7,5m3) de Eixo Tandem - FORRAGEIRA - Molas, Freios e Pneus não Incluídos</t>
  </si>
  <si>
    <t>CBH6R FO SS T M21 AN</t>
  </si>
  <si>
    <t>Carreta Hidráulica 6t (7,5m3) de Eixo Tandem - FORRAGEIRA - AZUL - Molas, Freios e Pneus não Incluídos</t>
  </si>
  <si>
    <t>622595M21AN</t>
  </si>
  <si>
    <t>CBH6R FO SS T M21 AV</t>
  </si>
  <si>
    <t>Carreta Hidráulica 6t (7,5m3) de Eixo Tandem - FORRAGEIRA - AMARELA - Molas, Freios e Pneus não Incluídos</t>
  </si>
  <si>
    <t>622595M21AV</t>
  </si>
  <si>
    <t>CBH6R FO SS T M21 VJ</t>
  </si>
  <si>
    <t>Carreta Hidráulica 6t (7,5m3) de Eixo Tandem - FORRAGEIRA - VERDE - Molas, Freios e Pneus não Incluídos</t>
  </si>
  <si>
    <t>622595M21VJ</t>
  </si>
  <si>
    <t>CBH6R FO SS T M21 VM</t>
  </si>
  <si>
    <t>Carreta Hidráulica 6t (7,5m3) de Eixo Tandem - FORRAGEIRA - VERMELHA - Molas, Freios e Pneus não Incluídos</t>
  </si>
  <si>
    <t>622595M21VM</t>
  </si>
  <si>
    <t>Carreta Hidráulica 6t (7,5m3) de Eixo Tandem - FORRAGEIRA - C/ MANG MAIORES - Molas, Freios e Pneus não Incluídos</t>
  </si>
  <si>
    <t>622849M21</t>
  </si>
  <si>
    <t>CBH6R FO SS T MM M21 AN</t>
  </si>
  <si>
    <t>Carreta Hidráulica 6t (7,5m3) de Eixo Tandem - FORRAGEIRA - C/ MANG MAIORES - AZUL - Molas, Freios e Pneus não Incluídos</t>
  </si>
  <si>
    <t>622849M21AN</t>
  </si>
  <si>
    <t>CBH6R FO SS T MM M21 VM</t>
  </si>
  <si>
    <t>Carreta Hidráulica 6t (7,5m3) de Eixo Tandem - FORRAGEIRA - C/ MANG MAIORES - VERMELHA - Molas, Freios e Pneus não Incluídos</t>
  </si>
  <si>
    <t>622849M21VM</t>
  </si>
  <si>
    <t>CBH6R FO SS T P700(R) M21</t>
  </si>
  <si>
    <t>Carreta Hidráulica 6t (7,5m3) de Eixo Tandem - FORRAGEIRA - C/ PNEUS - Molas e Freios não Incluídos</t>
  </si>
  <si>
    <t>622784M21</t>
  </si>
  <si>
    <t>623128M21</t>
  </si>
  <si>
    <t>CBH6R FO SS T P750(I) M21 AN</t>
  </si>
  <si>
    <t>Carreta Hidráulica 6t (7,5m3) de Eixo Tandem - FORRAGEIRA - C/ PNEUS 750(I) - AZUL - Molas e Freios não Incluídos</t>
  </si>
  <si>
    <t>623128M21AN</t>
  </si>
  <si>
    <t>CBH6R FO SS T P750(I) M21 AN PE</t>
  </si>
  <si>
    <t>Carreta Hidráulica 6t (7,5m3) de Eixo Tandem - FORRAGEIRA - C/ PNEUS 750(I) - AZUL - PONTA ESPECIAL - Molas e Freios não Incluídos+</t>
  </si>
  <si>
    <t>623128M21ANPE</t>
  </si>
  <si>
    <t>CBH6R FO SS T P750(I) M21 PE</t>
  </si>
  <si>
    <t>Carreta Hidráulica 6t (7,5m3) de Eixo Tandem - FORRAGEIRA - C/ PNEUS - PONTA ESPECIAL - Molas e Freios não Incluídos</t>
  </si>
  <si>
    <t>623128M21PE</t>
  </si>
  <si>
    <t>CBH6R FO SS T P750(I) M21 VM</t>
  </si>
  <si>
    <t>Carreta Hidráulica 6t (7,5m3) de Eixo Tandem - FORRAGEIRA - C/ PNEUS 750(I) - VERMELHA - Molas e Freios não Incluídos</t>
  </si>
  <si>
    <t>623128M21VM</t>
  </si>
  <si>
    <t>CBH6R FO SS T P750(R) M21</t>
  </si>
  <si>
    <t>Carreta Hidráulica 6t (9m3) de Eixo Tandem - FORRAGEIRA - C/ PNEUS 750(R) - Molas e Freios não Incluídos</t>
  </si>
  <si>
    <t>622642M21</t>
  </si>
  <si>
    <t>Carreta Hidráulica 7t (9m3)RD de 1 Eixo - FORRAGEIRA - C/ FREIOS - Molas e Pneus não Incluídos</t>
  </si>
  <si>
    <t>Carreta Hidráulica 7t (9m3)RD de 1 Eixo - FORRAGEIRA - C/ FREIOS + MANG MAIORES - Molas e Pneus não Incluídos</t>
  </si>
  <si>
    <t>622837M21</t>
  </si>
  <si>
    <t>CBH7 FO SC RD MM M21 VM</t>
  </si>
  <si>
    <t>Carreta Hidráulica 7t (9m3)RD de 1 Eixo - FORRAGEIRA - C/ FREIOS + MANG MAIORES - VERMELHA - Molas e Pneus não Incluídos</t>
  </si>
  <si>
    <t>622837M21VM</t>
  </si>
  <si>
    <t>CBH7 FO SC RD MM P700(R) M21 VM</t>
  </si>
  <si>
    <t>Carreta Hidráulica 7t (9m3) RD de 1 Eixo - FORRAGEIRA - C/ FREIOS + MANG MAIORES + PNEUS - Molas não Incluídas</t>
  </si>
  <si>
    <t>623022M21VM</t>
  </si>
  <si>
    <t>Carreta Hidráulica 7t (9m3) de Eixo Tandem - FORRAGEIRA - C/ FREIOS - Molas e Pneus não Incluídos</t>
  </si>
  <si>
    <t>Carreta Hidráulica 7t (9m3) de Eixo Tandem - FORRAGEIRA - C/ FREIOS + MANG MAIORES - Molas e Pneus não Incluídos</t>
  </si>
  <si>
    <t>622881M21</t>
  </si>
  <si>
    <t>CBH7 FO SC T MM P700(R) M21 VM</t>
  </si>
  <si>
    <t>Carreta Hidráulica 7t (9m3) de Eixo Tandem - FORRAGEIRA - C/ FREIOS + MANG MAIORES + PNEUS - Molas não Incluídas</t>
  </si>
  <si>
    <t>622951M21VM</t>
  </si>
  <si>
    <t>CBH7 FO SC T MM P750(R) M21</t>
  </si>
  <si>
    <t>Carreta Hidráulica 7t (9m3) Eixo Tandem - FORRAGEIRA - C/ MANG MAIORES + PNEUS 750(R) - Molas e Freios não Incluídos</t>
  </si>
  <si>
    <t>622950M21</t>
  </si>
  <si>
    <t>CBH7 FO SC T MM P750(R) M21 VM</t>
  </si>
  <si>
    <t>Carreta Hidráulica 7t (9m3) Eixo Tandem - FORRAGEIRA - C/ MANG MAIORES + PNEUS 750(R) - VERMELHA - Molas e Freios não Incluídos</t>
  </si>
  <si>
    <t>622950M21VM</t>
  </si>
  <si>
    <t>Carreta Hidráulica 7t (9m3) RD de 1 Eixo - FORRAGEIRA - Molas, Freios e Pneus não Incluídos</t>
  </si>
  <si>
    <t>CBH7 FO SS RD M21 VM</t>
  </si>
  <si>
    <t>Carreta Hidráulica 7t (9m3) RD de 1 Eixo – FORRAGEIRA - VERMELHO - Molas, Freios e Pneus não Incluídos</t>
  </si>
  <si>
    <t>622333M21VM</t>
  </si>
  <si>
    <t>Carreta Hidráulica 7t (9m3)RD de 1 Eixo - FORRAGEIRA - C/ MANG MAIORES - Molas, Freios e Pneus não Incluídos</t>
  </si>
  <si>
    <t>622827M21</t>
  </si>
  <si>
    <t>CBH7 FO SS RD MM M21 AN</t>
  </si>
  <si>
    <t>Carreta Hidráulica 7t (9m3)RD de 1 Eixo - FORRAGEIRA - C/ MANG MAIORES - AZUL - Molas, Freios e Pneus não Incluídos</t>
  </si>
  <si>
    <t>622827M21AN</t>
  </si>
  <si>
    <t>CBH7 FO SS RD MM M21 AV</t>
  </si>
  <si>
    <t>Carreta Hidráulica 7t (9m3)RD de 1 Eixo - FORRAGEIRA - C/ MANG MAIORES - AMARELA - Molas, Freios e Pneus não Incluídos</t>
  </si>
  <si>
    <t>622827M21AV</t>
  </si>
  <si>
    <t>CBH7 FO SS RD MM M21 VM</t>
  </si>
  <si>
    <t>Carreta Hidráulica 7t (9m3) RD de 1 Eixo - FORRAGEIRA - C/ MANG MAIORES - VERMELHA - Molas, Freios e Pneus não Incluídos</t>
  </si>
  <si>
    <t>622827M21VM</t>
  </si>
  <si>
    <t>CBH7 FO SS RD MM P700(R) M21</t>
  </si>
  <si>
    <t>Carreta Hidráulica 7t (9m3) RD de 1 Eixo - FORRAGEIRA - C/ MANG MAIORES + PNEUS - Molas e Freios não Incluídos</t>
  </si>
  <si>
    <t>622890M21</t>
  </si>
  <si>
    <t>Carreta Hidráulica 7t (9m3)RD de 1 Eixo - FORRAGEIRA - C/ MANG MAIORES + PNEUS - Molas e Freios não Incluídos</t>
  </si>
  <si>
    <t>623138M21</t>
  </si>
  <si>
    <t>CBH7 FO SS RD MM P750(I) M21 VM</t>
  </si>
  <si>
    <t>Carreta Hidráulica 7t (9m3)RD de 1 Eixo - FORRAGEIRA - C/ MANG MAIORES + PNEUS - VERMELHA - Molas e Freios não Incluídos</t>
  </si>
  <si>
    <t>623138M21VM</t>
  </si>
  <si>
    <t>CBH7 FO SS RD MM P750(R) M21</t>
  </si>
  <si>
    <t>Carreta Hidráulica 7t (9m3)RD de 1 Eixo - FORRAGEIRA - C/ MANG MAIORES + PNEUS 750(R) - Molas e Freios não Incluídos</t>
  </si>
  <si>
    <t>622834M21</t>
  </si>
  <si>
    <t>CBH7 FO SS RD P700(R) M21</t>
  </si>
  <si>
    <t>Carreta Hidráulica 7t (9m3) RD de 1 Eixo - FORRAGEIRA - C/ PNEUS 700(R) - Molas e Freios não Incluídos</t>
  </si>
  <si>
    <t>622909M21</t>
  </si>
  <si>
    <t>CBH7 FO SS RD P700(R) M21 CO</t>
  </si>
  <si>
    <t>Carreta Hidráulica 7t (9m3) RD de 1 Eixo - FORRAGEIRA - C/ PNEUS - CINZA - Molas e Freios não Incluídos</t>
  </si>
  <si>
    <t>622909M21CO</t>
  </si>
  <si>
    <t>CBH7 FO SS RD P700(R) M21 VJ</t>
  </si>
  <si>
    <t>Carreta Hidráulica 7t (9m3) RD de 1 Eixo - FORRAGEIRA - C/ PNEUS 700(R) - VERDE - Molas e Freios não Incluídos</t>
  </si>
  <si>
    <t>622909M21VJ</t>
  </si>
  <si>
    <t>CBH7 FO SS RD P700(R) M21 VM</t>
  </si>
  <si>
    <t>Carreta Hidráulica 7t (9m3) RD de 1 Eixo - FORRAGEIRA - C/ PNEUS 700(R) - VERMELHA - Molas e Freios não Incluídos</t>
  </si>
  <si>
    <t>622909M21VM</t>
  </si>
  <si>
    <t>Carreta Hidráulica 7t (9m3) RD de 1 Eixo - FORRAGEIRA - C/ PNEUS - Molas e Freios não Incluídos</t>
  </si>
  <si>
    <t>622964M21</t>
  </si>
  <si>
    <t>CBH7 FO SS RD P750(I) M21 AN</t>
  </si>
  <si>
    <t>Carreta Hidráulica 7t (9m3) RD de 1 Eixo - FORRAGEIRA - C/ PNEUS 750(I) - AZUL - Molas e Freios não Incluídos</t>
  </si>
  <si>
    <t>622964M21AN</t>
  </si>
  <si>
    <t>CBH7 FO SS RD P750(I) M21 VJ</t>
  </si>
  <si>
    <t>Carreta Hidráulica 7t (9m3) RD de 1 Eixo - FORRAGEIRA - C/ PNEUS 750(I) - VERDE - Molas e Freios não Incluídos</t>
  </si>
  <si>
    <t>622964M21VJ</t>
  </si>
  <si>
    <t>CBH7 FO SS RD P750(I) M21 VM</t>
  </si>
  <si>
    <t>Carreta Hidráulica 7t (9m3) RD de 1 Eixo - FORRAGEIRA - C/ PNEUS 750(I) - VERMELHA - Molas e Freios não Incluídos</t>
  </si>
  <si>
    <t>622964M21VM</t>
  </si>
  <si>
    <t>CBH7 FO SS RD P750(R) M21</t>
  </si>
  <si>
    <t>Carreta Hidráulica 7t (9m3) RD de 1 Eixo - FORRAGEIRA - C/ PNEUS 750(R)  - Molas e Freios não Incluídos</t>
  </si>
  <si>
    <t>622355M21</t>
  </si>
  <si>
    <t>CBH7 FO SS RD P750(R) M21 AN</t>
  </si>
  <si>
    <t>Carreta Hidráulica 7t (9m3) RD de 1 Eixo - FORRAGEIRA - C/ PNEUS 750(R) - AZUL - Molas e Freios não Incluídos</t>
  </si>
  <si>
    <t>622355M21AN</t>
  </si>
  <si>
    <t>Carreta Hidráulica 7t (9m3) de Eixo Tandem - FORRAGEIRA - Molas, Freios e Pneus não Incluídos</t>
  </si>
  <si>
    <t>Carreta Hidráulica 7t (9m3) de Eixo Tandem - FORRAGEIRA - C/ MANG MAIORES - Molas, Freios e Pneus não Incluídos</t>
  </si>
  <si>
    <t>622820M21</t>
  </si>
  <si>
    <t>CBH7 FO SS T MM M21 VJ</t>
  </si>
  <si>
    <t>Carreta Hidráulica 7t (9m3) de Eixo Tandem - FORRAGEIRA - C/ MANG MAIORES - VERDE - Molas, Freios e Pneus não Incluídos</t>
  </si>
  <si>
    <t>622820M21VJ</t>
  </si>
  <si>
    <t>CBH7 FO SS T MM P700(R) M21</t>
  </si>
  <si>
    <t>Carreta Hidráulica 7t (9m3) de Eixo Tandem - FORRAGEIRA - C/ MANG MAIORES + PNEUS 700(R) - Molas e Freios não Incluídos</t>
  </si>
  <si>
    <t>623073M21</t>
  </si>
  <si>
    <t>CBH7 FO SS T MM P700(R) M21 AV</t>
  </si>
  <si>
    <t>Carreta Hidráulica 7t (9m3) de Eixo Tandem - FORRAGEIRA - C/ MANG MAIORES + PNEUS - AMARELA - Molas e Freios não Incluídos</t>
  </si>
  <si>
    <t>623073M21AV</t>
  </si>
  <si>
    <t>Carreta Hidráulica 7t (9m3) de Eixo Tandem - FORRAGEIRA - C/ MANG MAIORES + PNEUS - Molas e Freios não Incluídos</t>
  </si>
  <si>
    <t>623074M21</t>
  </si>
  <si>
    <t>CBH7 FO SS T MM P750(I) M21 AV</t>
  </si>
  <si>
    <t>Carreta Hidráulica 7t (9m3) de Eixo Tandem - FORRAGEIRA - C/ MANG MAIORES + PNEUS 750(I) - AMARELA - Molas e Freios não Incluídos</t>
  </si>
  <si>
    <t>623074M21AV</t>
  </si>
  <si>
    <t>CBH7 FO SS T MM P750(R) M21</t>
  </si>
  <si>
    <t>Carreta Hidráulica 7t (9m3) de Eixo Tandem - FORRAGEIRA - C/ MANG MAIORES + PNEUS 750(R) - Molas e Freios não Incluídos</t>
  </si>
  <si>
    <t>622826M21</t>
  </si>
  <si>
    <t>CBH7 FO SS T MM P750(R) M21 AV</t>
  </si>
  <si>
    <t>Carreta Hidráulica 7t (9m3) de Eixo Tandem - FORRAGEIRA - C/ MANG MAIORES + PNEUS 750(R) - AMARELA - Molas e Freios não Incluídos</t>
  </si>
  <si>
    <t>622826M21AV</t>
  </si>
  <si>
    <t>CBH7 FO SS T P700(R) M21</t>
  </si>
  <si>
    <t>Carreta Hidráulica 7t (9m3) Eixo Tandem - FORRAGEIRA - C/ PNEUS 700(R) - Molas e Freios não Incluídos</t>
  </si>
  <si>
    <t>622898M21</t>
  </si>
  <si>
    <t>CBH7 FO SS T P700(R) M21 AV</t>
  </si>
  <si>
    <t>Carreta Hidráulica 7t (9m3) Eixo Tandem - FORRAGEIRA - C/ PNEUS - AMALA - Molas e Freios não Incluídos+</t>
  </si>
  <si>
    <t>622898M21AV</t>
  </si>
  <si>
    <t>Carreta Hidráulica 7t (9m3) Eixo Tandem - FORRAGEIRA - C/ PNEUS - Molas e Freios não Incluídos</t>
  </si>
  <si>
    <t>623205M21</t>
  </si>
  <si>
    <t>CBH7 FO SS T P750(R) M21</t>
  </si>
  <si>
    <t>Carreta Hidráulica 7t (9m3) de Eixo Tandem - FORRAGEIRA - C/ PNEUS 750(R) - Molas e Freios não Incluídos</t>
  </si>
  <si>
    <t>622462M21</t>
  </si>
  <si>
    <t>Carreta Hidráulica 7t (9m3) de Eixo Tandem - FORRAGEIRA - RODA 15,5" - Molas, Freios não Incluídos+</t>
  </si>
  <si>
    <t>Carreta Hidráulica 7t (9m3) de Eixo Tandem - FORRAGEIRA - RODA 15,5" - C/ PNEUS 400/60 - Molas, Freios não Incluídos</t>
  </si>
  <si>
    <t>623251M21</t>
  </si>
  <si>
    <t>Carreta Hidráulica 7t (9m3) RD de 1 Eixo - FORRAGEIRA - C/ PNEUS - C/ KIT TAMPA USO GERAL - Molas e Freios não Incluídos</t>
  </si>
  <si>
    <t>623269M23</t>
  </si>
  <si>
    <t>Carreta Hidráulica 7t (6m3) RD de 1 Eixo - FORRAGEIRA 1M - Molas, Freios e Pneus não Incluídos</t>
  </si>
  <si>
    <t>CBH7 FO-1M SS RD P700(R) M21</t>
  </si>
  <si>
    <t>Carreta Hidráulica 7t (6m3) RD de 1 Eixo - FORRAGEIRA 1M - C/ PNEUS 700(R) - Molas e Freios não Incluídos</t>
  </si>
  <si>
    <t>623068M21</t>
  </si>
  <si>
    <t>Carreta Hidráulica 7t (6m3) RD de 1 Eixo - FORRAGEIRA 1M - C/ PNEUS - Molas e Freios não Incluídos</t>
  </si>
  <si>
    <t>623220M21</t>
  </si>
  <si>
    <t>CBH7 FO-1M SS RD P750(R) M21</t>
  </si>
  <si>
    <t>Carreta Hidráulica 7t (6m3) RD de 1 Eixo - FORRAGEIRA 1M - C/ PNEUS 750(R) - Molas e Freios não Incluídos</t>
  </si>
  <si>
    <t>622782M21</t>
  </si>
  <si>
    <t>Carreta Hidráulica 7t (6m3) de Eixo Tandem - FORRAGEIRA 1M - Molas, Freios e Pneus não Incluídos</t>
  </si>
  <si>
    <t>CBH7 FO-1M SS T P750(R) M21</t>
  </si>
  <si>
    <t>Carreta Hidráulica 7t (6m3) de Eixo Tandem - FORRAGEIRA 1M - C/ PNEUS 750(R) - Molas e Freios não Incluídos</t>
  </si>
  <si>
    <t>622671M21</t>
  </si>
  <si>
    <t>Carreta Hidráulica 7t (4m3) RD de 1 Eixo - USO GERAL - C/ FREIOS - Freios e Pneus não Incluídos</t>
  </si>
  <si>
    <t>CBH7 UG SC RD P750(R) M21</t>
  </si>
  <si>
    <t>Carreta Hidráulica 7t (9m3) RD de 1 Eixo - USO GERAL - C/ FREIOS + PNEUS 750(R) - Molas não Incluídas</t>
  </si>
  <si>
    <t>622875M21</t>
  </si>
  <si>
    <t>Carreta Hidráulica 7t (4m3) RD de 1 Eixo - USO GERAL - Molas, Freios e Pneus não Incluídos</t>
  </si>
  <si>
    <t>CBH7 UG SS RD M21 VM</t>
  </si>
  <si>
    <t>Carreta Hidráulica 7t (4m3) RD de 1 Eixo - USO GERAL - VERMELHO - Molas, Freios e Pneus não Incluídos</t>
  </si>
  <si>
    <t>619556M21VM</t>
  </si>
  <si>
    <t>CBH7 UG SS RD P700(R) M21</t>
  </si>
  <si>
    <t>Carreta Hidráulica 7t (4m3) RD de 1 Eixo - USO GERAL - C/ PNEUS 700(R) - Molas e Freios não Incluídos</t>
  </si>
  <si>
    <t>622744M21</t>
  </si>
  <si>
    <t>CBH7 UG SS RD P700(R) M21 AN</t>
  </si>
  <si>
    <t>Carreta Hidráulica 7t (4m3) RD de 1 Eixo - USO GERAL - AZUL - C/ PNEUS - Molas e Freios não Incluídos</t>
  </si>
  <si>
    <t>622744M21AN</t>
  </si>
  <si>
    <t>CBH7 UG SS RD P700(R) M21 VJ</t>
  </si>
  <si>
    <t>Carreta Hidráulica 7t (4m3) RD de 1 Eixo - USO GERAL - VERDE- C/ PNEUS - Molas e Freios não Incluídos</t>
  </si>
  <si>
    <t>622744M21VJ</t>
  </si>
  <si>
    <t>Carreta Hidráulica 7t (4m3) RD de 1 Eixo - USO GERAL - C/ PNEUS - Molas e Freios não Incluídos</t>
  </si>
  <si>
    <t>622928M21</t>
  </si>
  <si>
    <t>CBH7 UG SS RD P750(I) M21 AN</t>
  </si>
  <si>
    <t>Carreta Hidráulica 7t (4m3) RD de 1 Eixo - USO GERAL - C/ PNEUS 750(I) - AZUL - Molas e Freios não Incluídos</t>
  </si>
  <si>
    <t>622928M21AN</t>
  </si>
  <si>
    <t>CBH7 UG SS RD P750(I) M21 LJ</t>
  </si>
  <si>
    <t>Carreta Hidráulica 7t (4m3) RD de 1 Eixo - USO GERAL - C/ PNEUS - LARANJA JACTO- Molas e Freios não Incluídos</t>
  </si>
  <si>
    <t>622928M21LJ</t>
  </si>
  <si>
    <t>CBH7 UG SS RD P750(I) M21 VJ</t>
  </si>
  <si>
    <t>Carreta Hidráulica 7t (4m3) RD de 1 Eixo - USO GERAL - C/ PNEUS 750(I) - VERDE - Molas e Freios não Incluídos</t>
  </si>
  <si>
    <t>622928M21VJ</t>
  </si>
  <si>
    <t>CBH7 UG SS RD P750(I) M21 VM</t>
  </si>
  <si>
    <t>Carreta Hidráulica 7t (4m3) RD de 1 Eixo - USO GERAL - C/ PNEUS 750(I) - VERMELHA - Molas e Freios não Incluídos</t>
  </si>
  <si>
    <t>622928M21VM</t>
  </si>
  <si>
    <t>CBH7 UG SS RD P750(R) M21</t>
  </si>
  <si>
    <t>Carreta Hidráulica 7t (4m3) RD de 1 Eixo - USO GERAL - C/ PNEUS 750(R) - Molas e Freios não Incluídos</t>
  </si>
  <si>
    <t>622616M21</t>
  </si>
  <si>
    <t>CBH7 UG SS RD P750(R) M21 AN</t>
  </si>
  <si>
    <t>Carreta Hidráulica 7t (4m3) RD de 1 Eixo - USO GERAL - C/ PNEUS 750(R) - AZUL - Molas e Freios não Incluídos</t>
  </si>
  <si>
    <t>622616M21AN</t>
  </si>
  <si>
    <t>CBH7 UG SS RD P750(R) M21 VJ</t>
  </si>
  <si>
    <t>Carreta Hidráulica 7t (4m3) RD de 1 Eixo - USO GERAL - C/ PNEUS 750(R) - VERDE - Molas e Freios não Incluídos</t>
  </si>
  <si>
    <t>622616M21VJ</t>
  </si>
  <si>
    <t>CBH7 UG SS RD P750(R) M21 VM</t>
  </si>
  <si>
    <t>Carreta Hidráulica 7t (4m3) RD de 1 Eixo - USO GERAL - C/ PNEUS 750(R) - VERMELHO - Molas e Freios não Incluídos</t>
  </si>
  <si>
    <t>622616M21VM</t>
  </si>
  <si>
    <t>CBH7 UG SS RDC P750(I) M21</t>
  </si>
  <si>
    <t>Carreta Hidráulica 7t (4m3) RDC de 1 Eixo - USO GERAL - C/ PNEUS - Molas e Freios não Incluídos</t>
  </si>
  <si>
    <t>623316M21</t>
  </si>
  <si>
    <t>Carreta Hidráulica 7t (4m3) de Eixo Tandem - USO GERAL - Molas, Freios e Pneus não Incluídos</t>
  </si>
  <si>
    <t>Carreta Hidráulica 7t (9m3) RS/RS de 2 Eixos - P/ PNEU ALTA FLUTUAÇÃO - FORRAGEIRA - Molas, Freios e Pneus não Incluídos</t>
  </si>
  <si>
    <t>Carreta Hidráulica 7t (9m3) RS/RD de 2 Eixos - FORRAGEIRA - Molas, Freios e Pneus não Incluídos</t>
  </si>
  <si>
    <t>CBH7-2E FO SS RS/RD M21 AN</t>
  </si>
  <si>
    <t>Carreta Hidráulica 7t (9m3) RS/RD de 2 Eixos - FORRAGEIRA - AZUL - Molas, Freios e Pneus não Incluídos</t>
  </si>
  <si>
    <t>623108M21AN</t>
  </si>
  <si>
    <t>CBH7-2E FO SS RS/RD M21 VM</t>
  </si>
  <si>
    <t>Carreta Hidráulica 7t (9m3) RS/RD de 2 Eixos - FORRAGEIRA - VERMELHA - Molas, Freios e Pneus não Incluídos</t>
  </si>
  <si>
    <t>623108M21VM</t>
  </si>
  <si>
    <t>Carreta Hidráulica 7t (9m3) RS/T de 2 Eixos - FORRAGEIRA - Molas, Freios e Pneus não Incluídos</t>
  </si>
  <si>
    <t>CBH7-2E FO SS RS/T M21 AN</t>
  </si>
  <si>
    <t>Carreta Hidráulica 7t (9m3) RS/Tandem de 2 Eixos - FORRAGEIRA - AZUL - Molas, Freios e Pneus não Incluídos</t>
  </si>
  <si>
    <t>623109M21AN</t>
  </si>
  <si>
    <t>CBH7-2E FO SS RS/T M21 VM</t>
  </si>
  <si>
    <t>Carreta Hidráulica 7t (9m3) RS/Tandem de 2 Eixos - FORRAGEIRA - VERMELHA - Molas, Freios e Pneus não Incluídos</t>
  </si>
  <si>
    <t>623109M21VM</t>
  </si>
  <si>
    <t>Carreta Hidráulica 7t (9m3) RS/T de 2 Eixos - FORRAGEIRA - ALTA FLUTUAÇÃO - Molas, Freios e Pneus não Incluídos</t>
  </si>
  <si>
    <t>Carreta Hidráulica 7t (9m3) RS/T de 2 Eixos - FORRAGEIRA - C/ PNEUS ALTA FLUTUAÇÃO - Molas, Freios não Incluídos</t>
  </si>
  <si>
    <t>623253M21</t>
  </si>
  <si>
    <t>Carreta Hidráulica 7t (6m3) RS/RD de 2 Eixos - FORRAGEIRA 1M - Molas, Freios e Pneus não Incluídos</t>
  </si>
  <si>
    <t>623114M21</t>
  </si>
  <si>
    <t>Carreta Hidráulica 7t (4m3) RS/RD de 2 Eixos - USO GERAL - Molas, Freios e Pneus não Incluídos</t>
  </si>
  <si>
    <t>CBH8 FO SS RD/RD M13</t>
  </si>
  <si>
    <t>Carreta Hidráulica 8t (13m3) RD/RD de 2 Eixos – FORRAGEIRA - Molas, Freios e Pneus não Incluídos</t>
  </si>
  <si>
    <t>CBH8 FO SS RD/RD M13 VJ</t>
  </si>
  <si>
    <t>Carreta Hidráulica 8t (13m3) RD/RD de 2 Eixos – FORRAGEIRA - VERDE - Molas, Freios e Pneus não Incluídos</t>
  </si>
  <si>
    <t>621503VJ</t>
  </si>
  <si>
    <t>Carreta Hidráulica 9t (14m3) de Eixo Tandem – FORRAGEIRA - Molas, Freios e Pneus não Incluídos</t>
  </si>
  <si>
    <t>Carreta Hidráulica 9t (14m3) de Eixo Tandem – FORRAGEIRA - C/ PNEUS 400 - Molas e Freios não Incluídos</t>
  </si>
  <si>
    <t>623170M22</t>
  </si>
  <si>
    <t>623170M23</t>
  </si>
  <si>
    <t>Carreta Hidráulica 9t (14m3) RS/RS de 2 Eixos - FORRAGEIRA - Molas, Freios e Pneus não Incluídos+</t>
  </si>
  <si>
    <t>Carreta Hidráulica 9t (14m3) RS/RS de 2 Eixos - FORRAGEIRA + PNEUS 900(I) - Molas e Freios não Incluídos</t>
  </si>
  <si>
    <t>623279M22</t>
  </si>
  <si>
    <t>Carreta Hidráulica 9t (14m3) RS/RS de 2 Eixos - FORRAGEIRA - RODA 15,5" - Molas, Freios e Pneus não Incluídos</t>
  </si>
  <si>
    <t>Carreta Hidráulica 9t (14m3) RS/RS de 2 Eixos - FORRAGEIRA - RODA 15,5" - C/ PNEUS 400/60 - Molas e Freios não Incluídos</t>
  </si>
  <si>
    <t>Carreta Hidráulica 5t (6m3) RS/RS de 2 Eixos - TRIBASCULANTE - C/ MOLAS + COMBOIO - Freios e Pneus não Incluídos</t>
  </si>
  <si>
    <t>623210M20</t>
  </si>
  <si>
    <t>Carreta Hidráulica 5t (6m3) RS/RS de 2 Eixos - TRIBASCULANTE - C/ MOLAS - Freios e Pneus não Incluídos</t>
  </si>
  <si>
    <t>Carreta Hidráulica 5t (6m3) RS/RS de 2 Eixos - TRIBASCULANTE - C/ MOLAS + PNEUS - Freios não Incluídos</t>
  </si>
  <si>
    <t>623167M20</t>
  </si>
  <si>
    <t>Carreta Hidráulica 5t (6m3) RS/RS de 2 Eixos - TRIBASCULANTE - C/ TAMPA HIDR. LAT.-  C/ MOLAS + PNEUS - Freios não Incluídos</t>
  </si>
  <si>
    <t>623167M23</t>
  </si>
  <si>
    <t>CBHL6000 MP CS RS/RS CB P750(I) M22</t>
  </si>
  <si>
    <t>Carreta Hidráulica 5t (6m3) RS/RS de 2 Eixos - TRIBASCULANTE - C/ MOLAS + C/ PNEUS + COMBOIO - Freios não Incluídos</t>
  </si>
  <si>
    <t>623210M22</t>
  </si>
  <si>
    <t>CBHL6000 MP CS RS/RS CB P750(I) M22 VJ</t>
  </si>
  <si>
    <t>Carreta Hidráulica 5t (6m3) RS/RS de 2 Eixos - TRIBASCULANTE - C/ MOLAS + PNEUS + COMBOIO - VERDE -  Freios não Incluídos</t>
  </si>
  <si>
    <t>623210M22VJ</t>
  </si>
  <si>
    <t>CBHL6000 MP CS RS/RS CB P750(I) M23 VJ</t>
  </si>
  <si>
    <t>Carreta Hidráulica 5t (6m3) RS/RS de 2 Eixos - 2 CILINDROS - C/ MOLAS + PNEUS + COMBOIO - VERDE -  Freios não Incluídos</t>
  </si>
  <si>
    <t>623210M23VJ</t>
  </si>
  <si>
    <t>Carreta Hidráulica 7t (10m3) RD de 1 Eixo – FORRAGEIRO - Molas, Freios e Pneus não Incluídos</t>
  </si>
  <si>
    <t>Carreta Hidráulica 7t (10m3) RD de 1 Eixo – FORRAGEIRO - C/ PNEUS - Molas e Freios não Incluídos</t>
  </si>
  <si>
    <t>623152M17</t>
  </si>
  <si>
    <t>CBHM10000 SS RD P750(I) M17 VJ</t>
  </si>
  <si>
    <t>Carreta Hidráulica 7t (10m3) RD de 1 Eixo – FORRAGEIRO - C/ PNEUS - VERDE - Molas e Freios não Incluídos</t>
  </si>
  <si>
    <t>623152M17VJ</t>
  </si>
  <si>
    <t>Carreta Hidráulica 7t (10m3) Eixo Tandem – FORRAGEIRO - Molas, Freios e Pneus não Incluídos</t>
  </si>
  <si>
    <t>Carreta Hidráulica 7t (10m3) de Eixo Tandem - FORRAGEIRA - Molas, Freios e Pneus não Incluídos</t>
  </si>
  <si>
    <t>Carreta Hidráulica 7t (10m3) de Eixo Tandem - FORRAGEIRA - PNEUS 400/60 - Molas e Freios não Incluídos</t>
  </si>
  <si>
    <t>623290M20</t>
  </si>
  <si>
    <t>Carreta Hidráulica 6t (10m3) RS/RD de 2 Eixos - FORRAGEIRO - Molas, Freios e Pneus não Incluídos</t>
  </si>
  <si>
    <t>CBHM10000-2E SS RS/RD M17 AN</t>
  </si>
  <si>
    <t>Carreta Hidráulica 6t (10m3) RS/RD de 2 Eixos - FORRAGEIRO - AZUL - Molas, Freios e Pneus não Incluídos</t>
  </si>
  <si>
    <t>621478M17AN</t>
  </si>
  <si>
    <t>CBHM10000-2E SS RS/RD M17 AV</t>
  </si>
  <si>
    <t>Carreta Hidráulica 6t (10m3) RS/RD de 2 Eixos - FORRAGEIRO - AMARELA - Molas, Freios e Pneus não Incluídos</t>
  </si>
  <si>
    <t>621478M17AV</t>
  </si>
  <si>
    <t>CBHM10000-2E SS RS/RD M17 VJ</t>
  </si>
  <si>
    <t>Carreta Hidráulica 6t (10m3) RS/RD de 2 Eixos - FORRAGEIRO - VERDE - Molas, Freios e Pneus não Incluídos</t>
  </si>
  <si>
    <t>621478M17VJ</t>
  </si>
  <si>
    <t>CBHM10000-2E SS RS/RD M17 VM</t>
  </si>
  <si>
    <t>Carreta Hidráulica 6t (10m3) RS/RD de 2 Eixos - FORRAGEIRO - VERMELHA - Molas, Freios e Pneus não Incluídos</t>
  </si>
  <si>
    <t>621478M17VM</t>
  </si>
  <si>
    <t>CBHM10000-2E SS RS/RD P700(R) M17</t>
  </si>
  <si>
    <t>Carreta Hidráulica 6t (10m3) RS/RD de 2 Eixos - FORRAGEIRO - C/ PNEUS 700(R) - Molas e Freios não Incluídos</t>
  </si>
  <si>
    <t>622787M17</t>
  </si>
  <si>
    <t>CBHM10000-2E SS RS/RD P700(R) M17 VJ</t>
  </si>
  <si>
    <t>Carreta Hidráulica 6t (10m3) RS/RD de 2 Eixos - FORRAGEIRO - C/ PNEUS 700(R) - VERDE - Molas e Freios não Incluídos</t>
  </si>
  <si>
    <t>622787M17VJ</t>
  </si>
  <si>
    <t>Carreta Hidráulica 6t (10m3) RS/RD de 2 Eixos – FORRAGEIRO - C/ PNEUS -  Molas e Freios não Incluídos</t>
  </si>
  <si>
    <t>622972M17</t>
  </si>
  <si>
    <t>CBHM10000-2E SS RS/RD P750(I) M17 AV</t>
  </si>
  <si>
    <t>Carreta Hidráulica 6t (10m3) RS/RD de 2 Eixos – FORRAGEIRO - C/ PNEUS -  AMARELA - Molas e Freios não Incluídos</t>
  </si>
  <si>
    <t>622972M17AV</t>
  </si>
  <si>
    <t>CBHM10000-2E SS RS/RD P750(I) M17 VJ</t>
  </si>
  <si>
    <t>Carreta Hidráulica 6t (10m3) RS/RD de 2 Eixos – FORRAGEIRO - C/ PNEUS 750(I) - VERDE -  Molas e Freios não Incluídos</t>
  </si>
  <si>
    <t>622972M17VJ</t>
  </si>
  <si>
    <t>CBHM10000-2E SS RS/RD P750(I) M17 VM</t>
  </si>
  <si>
    <t>Carreta Hidráulica 6t (10m3) RS/RD de 2 Eixos – FORRAGEIRO - C/ PNEUS 750(I) - VERMELHA -  Molas e Freios não Incluídos</t>
  </si>
  <si>
    <t>622972M17VM</t>
  </si>
  <si>
    <t>Carreta Hidráulica 6t (10m3) RS/RS de 2 Eixos - FORRAGEIRA - Molas, Freios e Pneus não Incluídos</t>
  </si>
  <si>
    <t>Carreta Hidráulica 6t (10m3) RS/RD de 2 Eixos - FORRAGEIRA - RODA 15,5" -  Molas, Freios e Pneus não Incluídos</t>
  </si>
  <si>
    <t>Carreta Hidráulica 6t (10m3) RS/RD de 2 Eixos - FORRAGEIRA - RODA 15,5" - PNEUS 400/60 - Molas, Freios e Pneus não Incluídos</t>
  </si>
  <si>
    <t>623296M17</t>
  </si>
  <si>
    <t>Carreta Hidráulica 6t (10m3) RS/T de 2 Eixos - FORRAGEIRO - Molas, Freios e Pneus não Incluídos</t>
  </si>
  <si>
    <t>Carreta Hidráulica 5t (3,5m3) RD de 1 Eixo - USO GERAL - C/ MOLAS + FREIOS - Pneus não Incluídos</t>
  </si>
  <si>
    <t>614890M17</t>
  </si>
  <si>
    <t>Carreta Hidráulica 3,5t (3,5m3) RS de 1 Eixo - USO GERAL - C/ MOLAS + FREIOS - Pneus não Incluídos</t>
  </si>
  <si>
    <t>614439M17</t>
  </si>
  <si>
    <t>CBHM3500 CC RS P750(I) M17 VJ</t>
  </si>
  <si>
    <t>Carreta Hidráulica 5t (3,5m3) RS de 1 Eixo - USO GERAL - C/ MOLAS + FREIOS + PNEUS 750(I) - VERDE</t>
  </si>
  <si>
    <t>623324M17VJ</t>
  </si>
  <si>
    <t>Carreta Hidráulica 5t (3,5m3) RD de 1 Eixo - USO GERAL - C/ MOLAS - Freios e Pneus não Incluídos</t>
  </si>
  <si>
    <t>Carreta Hidráulica 5t (3,5m3) RS de 1 Eixo - USO GERAL - C/ MOLAS - Freios e Pneus não Incluídos</t>
  </si>
  <si>
    <t>CBHM3500 CS RS P650(R) M17</t>
  </si>
  <si>
    <t>Carreta Hidráulica 5t (3,5m3) RS de 1 Eixo - USO GERAL - C/ MOLAS + PNEUS 650(R) - Freios não Incluídos</t>
  </si>
  <si>
    <t>622735M17</t>
  </si>
  <si>
    <t>CBHM3500 CS RS P650(R) M17 VM</t>
  </si>
  <si>
    <t>Carreta Hidráulica 5t (3,5m3) RS de 1 Eixo - USO GERAL - C/ MOLAS + PNEUS 650(R) - VERMELHA - Freios não Incluídos</t>
  </si>
  <si>
    <t>622735M17VM</t>
  </si>
  <si>
    <t>Carreta Hidráulica 5t (3,5m3) RD de 1 Eixo - USO GERAL - C/ FREIOS + BASE P/ ENSILADEIRA - Molas e Pneus não Incluídos</t>
  </si>
  <si>
    <t>CBHM3500 SC RD BE M17 VM</t>
  </si>
  <si>
    <t>Carreta Hidráulica 5t (3,5m3) RD de 1 Eixo - USO GERAL - C/ FREIOS + BASE P/ ENSILADEIRA - VERMELHA - Molas e Pneus não Incluídos</t>
  </si>
  <si>
    <t>622935M17VM</t>
  </si>
  <si>
    <t>Carreta Hidráulica 5t (3,5m3) RD de 1 Eixo - USO GERAL - C/ FREIOS - Molas e Pneus não Incluídos</t>
  </si>
  <si>
    <t>Carreta Hidráulica 5t (3,5m3) RD de 1 Eixo - USO GERAL - C/ FREIOS - C/ PNEUS - Molas não Incluídas</t>
  </si>
  <si>
    <t>623280M17</t>
  </si>
  <si>
    <t>CBHM3500 SC RD P750(I) M17 VM</t>
  </si>
  <si>
    <t>Carreta Hidráulica 5t (3,5m3) RD de 1 Eixo - USO GERAL - C/ FREIOS - C/ PNEUS - VERMELHA - Molas não Incluídas</t>
  </si>
  <si>
    <t>623280M17VM</t>
  </si>
  <si>
    <t>CBHM3500 SC RS BE MM P700(R) M17 VM</t>
  </si>
  <si>
    <t>Carreta Hidráulica 5t (3,5m3) RS de 1 Eixo - USO GERAL - C/ FREIOS + BASE P/ ENSILADEIRA + MANG MAIORES + PNEUS 700(R) - VERMELHA - Molas não Incluída</t>
  </si>
  <si>
    <t>622937M17VM</t>
  </si>
  <si>
    <t>Carreta Hidráulica 5t (3,5m3) RS de 1 Eixo - USO GERAL - C/ FREIOS - Molas e Pneus não Incluídos</t>
  </si>
  <si>
    <t>CBHM3500 SC RS M17 AN</t>
  </si>
  <si>
    <t>Carreta Hidráulica 5t (3,5m3) RS de 1 Eixo - USO GERAL - C/ FREIOS - AZUL - Molas e Pneus não Incluídos</t>
  </si>
  <si>
    <t>614142M17AN</t>
  </si>
  <si>
    <t>Carreta Hidráulica 5t (3,5m3) RD de 1 Eixo - USO GERAL - Molas, Freios e Pneus não Incluídos</t>
  </si>
  <si>
    <t>CBHM3500 SS RD M17 AN</t>
  </si>
  <si>
    <t>Carreta Hidráulica 5t (3,5m3) RD de 1 Eixo - USO GERAL - AZUL - Molas, Freios e Pneus não Incluídos</t>
  </si>
  <si>
    <t>614956M17AN</t>
  </si>
  <si>
    <t>CBHM3500 SS RD M17 VJ</t>
  </si>
  <si>
    <t>Carreta Hidráulica 5t (3,5m3) RD de 1 Eixo - USO GERAL - VERDE - Molas, Freios e Pneus não Incluídos</t>
  </si>
  <si>
    <t>614956M17VJ</t>
  </si>
  <si>
    <t>CBHM3500 SS RD M17 VM</t>
  </si>
  <si>
    <t>Carreta Hidráulica 5t (3,5m3) RD de 1 Eixo - USO GERAL - VERMELHA - Molas, Freios e Pneus não Incluídos</t>
  </si>
  <si>
    <t>614956M17VM</t>
  </si>
  <si>
    <t>Carreta Hidráulica 5t (3,5m3) RD de 1 Eixo - USO GERAL - C/ MANG MAIORES -  Molas, Freios e Pneus não Incluídos</t>
  </si>
  <si>
    <t>623166M17</t>
  </si>
  <si>
    <t>Carreta Hidráulica 5t (3,5m3) RD de 1 Eixo - USO GERAL - C/ MANG MAIORES -  VERMELHA - Molas, Freios e Pneus não Incluídos</t>
  </si>
  <si>
    <t>623166M17VM</t>
  </si>
  <si>
    <t>CBHM3500 SS RD P650(R) M17</t>
  </si>
  <si>
    <t>Carreta Hidráulica 5t (3,5m3) RD de 1 Eixo - USO GERAL - C/ PNEUS 650(R) - Molas e Freios não Incluídos</t>
  </si>
  <si>
    <t>622723M17</t>
  </si>
  <si>
    <t>Carreta Hidráulica 5t (3,5m3) RD de 1 Eixo - USO GERAL - C/ PNEUS 750(I) - Molas e Freios não Incluídos</t>
  </si>
  <si>
    <t>623127M17</t>
  </si>
  <si>
    <t>CBHM3500 SS RD P750(I) M17 AN</t>
  </si>
  <si>
    <t>Carreta Hidráulica 5t (3,5m3) RD de 1 Eixo - USO GERAL - C/ PNEUS 750(I) - AZUL - Molas e Freios não Incluídos</t>
  </si>
  <si>
    <t>623127M17AN</t>
  </si>
  <si>
    <t>CBHM3500 SS RD P750(R) M17</t>
  </si>
  <si>
    <t>Carreta Hidráulica 5t (3,5m3) RD de 1 Eixo - USO GERAL - C/ PNEUS 750(R) - Molas e Freios não Incluídos</t>
  </si>
  <si>
    <t>622816M17</t>
  </si>
  <si>
    <t>CBHM3500 SS RS BE MM M17 VM</t>
  </si>
  <si>
    <t>Carreta Hidráulica 3,5t (3,5m3) RS de 1 Eixo - USO GERAL - C BASE P/ ENSILADEIRA + MANG. MAIORES - VERMELHA - Molas, Freios e Pneus não Incluídos</t>
  </si>
  <si>
    <t>623053M17VM</t>
  </si>
  <si>
    <t>Carreta Hidráulica 3,5t (3,5m3) RS de 1 Eixo - USO GERAL - Molas, Freios e Pneus não Incluídos</t>
  </si>
  <si>
    <t>CBHM3500 SS RS M17 AN</t>
  </si>
  <si>
    <t>Carreta Hidráulica 3,5t (3,5m3) RS de 1 Eixo - USO GERAL - AZUL - Molas, Freios e Pneus não Incluídos</t>
  </si>
  <si>
    <t>614968M17AN</t>
  </si>
  <si>
    <t>CBHM3500 SS RS M17 AV</t>
  </si>
  <si>
    <t>Carreta Hidráulica 3,5t (3,5m3) RS de 1 Eixo - USO GERAL - AMARELA - Molas, Freios e Pneus não Incluídos</t>
  </si>
  <si>
    <t>614968M17AV</t>
  </si>
  <si>
    <t>CBHM3500 SS RS M17 VJ</t>
  </si>
  <si>
    <t>Carreta Hidráulica 3,5t (3,5m3) RS de 1 Eixo - USO GERAL - VERDE - Molas, Freios e Pneus não Incluídos</t>
  </si>
  <si>
    <t>614968M17VJ</t>
  </si>
  <si>
    <t>CBHM3500 SS RS M17 VM</t>
  </si>
  <si>
    <t>Carreta Hidráulica 3,5t (3,5m3) RS de 1 Eixo - USO GERAL - VERMELHA - Molas, Freios e Pneus não Incluídos</t>
  </si>
  <si>
    <t>614968M17VM</t>
  </si>
  <si>
    <t>Carreta Hidráulica 3,5t (3,5m3) RS de 1 Eixo - USO GERAL - C/ MANGUEIRAS MAIORES - Molas, Freios e Pneus não Incluídos</t>
  </si>
  <si>
    <t>622948M17</t>
  </si>
  <si>
    <t>CBHM3500 SS RS MM M17 AN</t>
  </si>
  <si>
    <t>Carreta Hidráulica 3,5t (3,5m3) RS de 1 Eixo - USO GERAL - C/ MANGUEIRAS MAIORES - AZUL - Molas, Freios e Pneus não Incluídos</t>
  </si>
  <si>
    <t>622948M17AN</t>
  </si>
  <si>
    <t>CBHM3500 SS RS MM M17 VM</t>
  </si>
  <si>
    <t>Carreta Hidráulica 3,5t (3,5m3) RS de 1 Eixo - USO GERAL - C/ MANGUEIRAS MAIORES - VERMELHA - Molas, Freios e Pneus não Incluídos</t>
  </si>
  <si>
    <t>622948M17VM</t>
  </si>
  <si>
    <t>CBHM3500 SS RS P700(R) M17</t>
  </si>
  <si>
    <t>Carreta Hidráulica 3,5t (3,5m3) RS de 1 Eixo - USO GERAL - C/ PNEUS 700(R) - Molas e Freios não Incluídos</t>
  </si>
  <si>
    <t>622915M17</t>
  </si>
  <si>
    <t>CBHM3500 SS RS P700(R) M17 VJ</t>
  </si>
  <si>
    <t>Carreta Hidráulica 3,5t (3,5m3) RS de 1 Eixo - USO GERAL - C/ PNEUS 700(R) - VERDE - Molas e Freios não Incluídos</t>
  </si>
  <si>
    <t>622915M17VJ</t>
  </si>
  <si>
    <t>Carreta Hidráulica 3,5t (3,5m3) RS de 1 Eixo - USO GERAL - C/ PNEUS - Molas e Freios não Incluídos</t>
  </si>
  <si>
    <t>623199M17</t>
  </si>
  <si>
    <t>CBHM3500 SS RS P750(I) M17 AN</t>
  </si>
  <si>
    <t>Carreta Hidráulica 3,5t (3,5m3) RS de 1 Eixo - USO GERAL - C/ PNEUS - AZUL - Molas e Freios não Incluídos</t>
  </si>
  <si>
    <t>623199M17AN</t>
  </si>
  <si>
    <t>CBHM3500 SS RS P750(R) M17</t>
  </si>
  <si>
    <t>Carreta Hidráulica 3,5t (3,5m3) RS de 1 Eixo - USO GERAL - C/ PNEUS 750(R) - Molas e Freios não Incluídos</t>
  </si>
  <si>
    <t>614969M17</t>
  </si>
  <si>
    <t>CBHM3500 SS RS P750(R) M17 VJ</t>
  </si>
  <si>
    <t>Carreta Hidráulica 3,5t (3,5m3) RS de 1 Eixo - USO GERAL - C/ PNEUS 750(R) - VERDE - Molas e Freios não Incluídos</t>
  </si>
  <si>
    <t>614969M17VJ</t>
  </si>
  <si>
    <t>Carreta Hidráulica 4t (4,5m3) RD de 1 Eixo - CAFEEIRA - C/ FREIOS - Molas e Pneus não Incluídos</t>
  </si>
  <si>
    <t>CBHM4500 SC RD M17 AV</t>
  </si>
  <si>
    <t>Carreta Hidráulica 4t (4,5m3) RD de 1 Eixo - CAFEEIRA - C/ FREIOS - AMARELA - Molas e Pneus não Incluídos</t>
  </si>
  <si>
    <t>614981M17AV</t>
  </si>
  <si>
    <t>CBHM4500 SC RD M17 VM</t>
  </si>
  <si>
    <t>Carreta Hidráulica 4t (4,5m3) RD de 1 Eixo - CAFEEIRA - C/ FREIOS - VERMELHA - Molas e Pneus não Incluídos</t>
  </si>
  <si>
    <t>614981M17VM</t>
  </si>
  <si>
    <t>Carreta Hidráulica 4t (4,5m3) RS de 1 Eixo - CAFEEIRA - C/ FREIOS - Molas e Pneus não Incluídos</t>
  </si>
  <si>
    <t>Carreta Hidráulica 4t (4,5m3) RD de 1 Eixo - CAFEEIRA - Molas, Freios e Pneus não Incluídos</t>
  </si>
  <si>
    <t>CBHM4500 SS RD M17 AN</t>
  </si>
  <si>
    <t>Carreta Hidráulica 4t (4,5m3) RD de 1 Eixo - CAFEEIRA - AZUL - Molas, Freios e Pneus não Incluídos</t>
  </si>
  <si>
    <t>614920M17AN</t>
  </si>
  <si>
    <t>CBHM4500 SS RD M17 AV</t>
  </si>
  <si>
    <t>Carreta Hidráulica 4t (4,5m3) RD de 1 Eixo - CAFEEIRA - AMARELA - Molas, Freios e Pneus não Incluídos</t>
  </si>
  <si>
    <t>614920M17AV</t>
  </si>
  <si>
    <t>CBHM4500 SS RD M17 PE</t>
  </si>
  <si>
    <t>Carreta Hidráulica 4t (4,5m3) RD de 1 Eixo - CAFEEIRA - C PONTA ESPECIAL - Molas, Freios e Pneus não Incluídos</t>
  </si>
  <si>
    <t>614920M17PE</t>
  </si>
  <si>
    <t>CBHM4500 SS RD M17 VM</t>
  </si>
  <si>
    <t>Carreta Hidráulica 4t (4,5m3) RD de 1 Eixo - CAFEEIRA - VERMELHA - Molas, Freios e Pneus não Incluídos</t>
  </si>
  <si>
    <t>614920M17VM</t>
  </si>
  <si>
    <t>CBHM4500 SS RD M17 VM PE</t>
  </si>
  <si>
    <t>Carreta Hidráulica 4t (4,5m3) RD de 1 Eixo - CAFEEIRA - VERMELHA - PONTA ESPECIAL - Molas, Freios e Pneus não Incluídos+</t>
  </si>
  <si>
    <t>614920M17VM PE</t>
  </si>
  <si>
    <t>Carreta Hidráulica 4t (4,5m3) RD de 1 Eixo - CAFEEIRA - C/ MANG MAIORES - Molas, Freios e Pneus não Incluídos</t>
  </si>
  <si>
    <t>622912M17</t>
  </si>
  <si>
    <t>CBHM4500 SS RD MM M17 AN</t>
  </si>
  <si>
    <t>Carreta Hidráulica 4t (4,5m3) RD de 1 Eixo - CAFEEIRA - C/ MANG MAIORES - AZUL - Molas, Freios e Pneus não Incluídos</t>
  </si>
  <si>
    <t>622912M17AN</t>
  </si>
  <si>
    <t>CBHM4500 SS RD MM M17 AV</t>
  </si>
  <si>
    <t>Carreta Hidráulica 4t (4,5m3) RD de 1 Eixo - CAFEEIRA - C/ MANG MAIORES - AMARELA - Molas, Freios e Pneus não Incluídos</t>
  </si>
  <si>
    <t>622912M17AV</t>
  </si>
  <si>
    <t>CBHM4500 SS RD MM M17 PE</t>
  </si>
  <si>
    <t>Carreta Hidráulica 4t (4,5m3) RD de 1 Eixo - CAFEEIRA - C/ MANG MAIORES - C PONTA ESPECIAL - Molas, Freios e Pneus não Incluídos</t>
  </si>
  <si>
    <t>622912M17PE</t>
  </si>
  <si>
    <t>CBHM4500 SS RD MM M17 VM</t>
  </si>
  <si>
    <t>Carreta Hidráulica 4t (4,5m3) RD de 1 Eixo - CAFEEIRA - C/ MANG MAIORES - VERMELHA - Molas, Freios e Pneus não Incluídos</t>
  </si>
  <si>
    <t>622912M17VM</t>
  </si>
  <si>
    <t>Carreta Hidráulica 4t (4,5m3) RD de 1 Eixo - CAFEEIRA - MANGUEIRAS MAIORES - C/ PNEUS 750(I) - Molas e Freios não Incluídos+</t>
  </si>
  <si>
    <t>623215M17</t>
  </si>
  <si>
    <t>CBHM4500 SS RD MM P750(I) M17 AN</t>
  </si>
  <si>
    <t>Carreta Hidráulica 4t (4,5m3) RD de 1 Eixo - CAFEEIRA - MANGUEIRAS MAIORES - C/ PNEUS 750(I) - AZUL - Molas e Freios não Incluídos</t>
  </si>
  <si>
    <t>623215M17AN</t>
  </si>
  <si>
    <t>CBHM4500 SS RD MM P750(I) M17 VJ</t>
  </si>
  <si>
    <t>Carreta Hidráulica 4t (4,5m3) RD de 1 Eixo - CAFEEIRA - MANGUEIRAS MAIORES - C/ PNEUS 750(I) - VERDE - Molas e Freios não Incluídos</t>
  </si>
  <si>
    <t>623215M17VJ</t>
  </si>
  <si>
    <t>CBHM4500 SS RD MM P750(I) M17 VJ PE</t>
  </si>
  <si>
    <t>Carreta Hidráulica 4t (4,5m3) RD de 1 Eixo - CAFEEIRA - MANGUEIRAS MAIORES - C/ PNEUS 750(I) - VERDE - PONTA ESPECIAL - Molas e Freios não Incluídos+</t>
  </si>
  <si>
    <t>623215M17VJPE</t>
  </si>
  <si>
    <t>CBHM4500 SS RD P650 M17</t>
  </si>
  <si>
    <t>Carreta Hidráulica 4t (4,5m3) RD de 1 Eixo - CAFEEIRA - C/ PNEUS 750(R) - Molas e Freios não Incluídos</t>
  </si>
  <si>
    <t>622486M17</t>
  </si>
  <si>
    <t>CBHM4500 SS RD P650 M17 AN</t>
  </si>
  <si>
    <t>Carreta Hidráulica 4t (4,5m3) RD de 1 Eixo - CAFEEIRA - C/ PNEUS 650 - AZUL - Molas e Freios não Incluídos</t>
  </si>
  <si>
    <t>614921M17AN</t>
  </si>
  <si>
    <t>CBHM4500 SS RD P650 M17 AV</t>
  </si>
  <si>
    <t>Carreta Hidráulica 4t (4,5m3) RD de 1 Eixo - CAFEEIRA - C/ PNEUS 750(R) - AMARELA - Molas e Freios não Incluídos</t>
  </si>
  <si>
    <t>622486M17AV</t>
  </si>
  <si>
    <t>CBHM4500 SS RD P650 M17 VM</t>
  </si>
  <si>
    <t>Carreta Hidráulica 4t (4,5m3) RD de 1 Eixo - CAFEEIRA - C/ PNEUS 650 - VERMELHA - Molas e Freios não Incluídos</t>
  </si>
  <si>
    <t>614921M17VM</t>
  </si>
  <si>
    <t>CBHM4500 SS RD P650(R) M17</t>
  </si>
  <si>
    <t>Carreta Hidráulica 4t (4,5m3) RD de 1 Eixo - CAFEEIRA - C/ PNEUS 650(R) - Molas e Freios não Incluídos</t>
  </si>
  <si>
    <t>614921M17</t>
  </si>
  <si>
    <t>CBHM4500 SS RD P700(R) M17</t>
  </si>
  <si>
    <t>Carreta Hidráulica 4t (4,5m3) RD de 1 Eixo - CAFEEIRA - C/ PNEUS 700(R) - Molas e Freios não Incluídos</t>
  </si>
  <si>
    <t>623104M17</t>
  </si>
  <si>
    <t>CBHM4500 SS RD P700(R) M17 VJ</t>
  </si>
  <si>
    <t>Carreta Hidráulica 4t (4,5m3) RD de 1 Eixo - CAFEEIRA - C/ PNEUS 700(R) - VERDE - Molas e Freios não Incluídos</t>
  </si>
  <si>
    <t>623104M17VJ</t>
  </si>
  <si>
    <t>Carreta Hidráulica 4t (4,5m3) RD de 1 Eixo - CAFEEIRA - C/ PNEUS - Molas e Freios não Incluídos</t>
  </si>
  <si>
    <t>622946M17</t>
  </si>
  <si>
    <t>CBHM4500 SS RD P750(I) M17 AV</t>
  </si>
  <si>
    <t>Carreta Hidráulica 4t (4,5m3) RD de 1 Eixo - CAFEEIRA - AMARELA - C/ PNEUS - Molas e Freios não Incluídos</t>
  </si>
  <si>
    <t>622946M17AV</t>
  </si>
  <si>
    <t>CBHM4500 SS RD P750(I) M17 PE AV</t>
  </si>
  <si>
    <t>Carreta Hidráulica 4t (4,5m3) RD de 1 Eixo - CAFEEIRA - C PONTA ESPECIAL - AMARELA - C/ PNEUS - Molas e Freios não Incluídos</t>
  </si>
  <si>
    <t>622946M17PEAV</t>
  </si>
  <si>
    <t>CBHM4500 SS RD P750(I) M17 VJ</t>
  </si>
  <si>
    <t>Carreta Hidráulica 4t (4,5m3) RD de 1 Eixo - CAFEEIRA - C/ PNEUS - VERDE - Molas e Freios não Incluídos</t>
  </si>
  <si>
    <t>622946M17VJ</t>
  </si>
  <si>
    <t>CBHM4500 SS RD P750(I) M17 VM</t>
  </si>
  <si>
    <t>Carreta Hidráulica 4t (4,5m3) RD de 1 Eixo - CAFEEIRA - C/ PNEUS - VERMELHA - Molas e Freios não Incluídos</t>
  </si>
  <si>
    <t>622946M17VM</t>
  </si>
  <si>
    <t>CBHM4500 SS RD P750(R) M17</t>
  </si>
  <si>
    <t>622513M17</t>
  </si>
  <si>
    <t>CBHM4500 SS RD P750(R) M17 AN</t>
  </si>
  <si>
    <t>Carreta Hidráulica 4t (4,5m3) RD de 1 Eixo - CAFEEIRA - C/ PNEUS 750(R) - AZUL - Molas e Freios não Incluídos</t>
  </si>
  <si>
    <t>622513M17AN</t>
  </si>
  <si>
    <t>CBHM4500 SS RD P750(R) M17 VJ</t>
  </si>
  <si>
    <t>Carreta Hidráulica 4t (4,5m3) RD de 1 Eixo - CAFEEIRA - C/ PNEUS 750(R) - VERDE - Molas e Freios não Incluídos</t>
  </si>
  <si>
    <t>622513M17VJ</t>
  </si>
  <si>
    <t>CBHM4500 SS RD P750(R) M17 VM</t>
  </si>
  <si>
    <t>Carreta Hidráulica 4t (4,5m3) RD de 1 Eixo - CAFEEIRA - C/ PNEUS 750(R) - VERMELHA - Molas e Freios não Incluídos</t>
  </si>
  <si>
    <t>622513M17VM</t>
  </si>
  <si>
    <t>Carreta Hidráulica 3,5t (4,5m3) RS de 1 Eixo - CAFEEIRA - Molas, Freios e Pneus não Incluídos</t>
  </si>
  <si>
    <t>CBHM4500 SS RS M17 AN</t>
  </si>
  <si>
    <t>Carreta Hidráulica 3,5t (4,5m3) RS de 1 Eixo - CAFEEIRA - AZUL - Molas, Freios e Pneus não Incluídos</t>
  </si>
  <si>
    <t>614919M17AN</t>
  </si>
  <si>
    <t>CBHM4500 SS RS M17 AV</t>
  </si>
  <si>
    <t>Carreta Hidráulica 3,5t (4,5m3) RS de 1 Eixo - CAFEEIRA - AMARELA - Molas, Freios e Pneus não Incluídos</t>
  </si>
  <si>
    <t>614919M17AV</t>
  </si>
  <si>
    <t>CBHM4500 SS RS P650(R) M17</t>
  </si>
  <si>
    <t>Carreta Hidráulica 3,5t (4,5m3) RS de 1 Eixo - CAFEEIRA - C/ PNEUS 650(R) - Molas e Freios não Incluídos</t>
  </si>
  <si>
    <t>622494M17</t>
  </si>
  <si>
    <t>CBHM4500 SS RS P650(R) M17 AN</t>
  </si>
  <si>
    <t>Carreta Hidráulica 3,5t (4,5m3) RS de 1 Eixo - CAFEEIRA - C/ PNEUS 650(R) - AZUL - Molas e Freios não Incluídos</t>
  </si>
  <si>
    <t>622494M17AN</t>
  </si>
  <si>
    <t>Carreta Hidráulica 5t (5m3) RD de 1 Eixo - CAFEEIRA - C/ FREIOS + ABAS LATERAIS + MANG MAIORES - Pneus e Molas não Incluídas</t>
  </si>
  <si>
    <t>623309M17</t>
  </si>
  <si>
    <t>CBHM5000 CA SC RD ABA MM M17 AN</t>
  </si>
  <si>
    <t>Carreta Hidráulica 5t (5m3) RD de 1 Eixo - CAFEEIRA - C/ FREIOS + ABAS LATERAIS + MANG MAIORES - AZUL - Pneus e Molas não Incluídas</t>
  </si>
  <si>
    <t>623309M17AN</t>
  </si>
  <si>
    <t>CBHM5000 CA SC RD ABA MM M17 VM</t>
  </si>
  <si>
    <t>Carreta Hidráulica 5t (5m3) RD de 1 Eixo - CAFEEIRA - C/ FREIOS + ABAS LATERAIS + MANG MAIORES - VERMELHA - Pneus e Molas não Incluídas</t>
  </si>
  <si>
    <t>623309M17VM</t>
  </si>
  <si>
    <t>CBHM5000 CA SC RD ABA MM P700(R) M17</t>
  </si>
  <si>
    <t>Carreta Hidráulica 5t (5m3) RD de 1 Eixo - CAFEEIRA - C/ FREIOS + ABAS LATERAIS + MANG MAIORES + PNEUS 700(R) - Molas não Incluídas</t>
  </si>
  <si>
    <t>623069M17</t>
  </si>
  <si>
    <t>CBHM5000 CA SC RD ABA MM P700(R) M17 VJ</t>
  </si>
  <si>
    <t>Carreta Hidráulica 5t (5m3) RD de 1 Eixo - CAFEEIRA - C/ FREIOS + ABAS LATERAIS + MANG MAIORES + PNEUS - VERDE - Molas não Incluídas</t>
  </si>
  <si>
    <t>623069M17VJ</t>
  </si>
  <si>
    <t>Carreta Hidráulica 5t (5m3) RD de 1 Eixo - CAFEEIRA - C/ FREIOS + ABAS LATERAIS + MANG MAIORES + PNEUS - Molas não Incluídas</t>
  </si>
  <si>
    <t>623142M17</t>
  </si>
  <si>
    <t>CBHM5000 CA SC RD ABA MM P750(I) M17 VJ</t>
  </si>
  <si>
    <t>Carreta Hidráulica 5t (5m3) RD de 1 Eixo - CAFEEIRA - C/ FREIOS + ABAS LATERAIS + MANG MAIORES + PNEUS - VERDE -  Molas não Incluídas</t>
  </si>
  <si>
    <t>623142M17VJ</t>
  </si>
  <si>
    <t>CBHM5000 CA SC RD ABA MM P750(I) M17 VM</t>
  </si>
  <si>
    <t>Carreta Hidráulica 5t (5m3) RD de 1 Eixo - CAFEEIRA - C/ FREIOS + ABAS LATERAIS + MANG MAIORES + PNEUS - VERMELHA - Molas não Incluídas</t>
  </si>
  <si>
    <t>623142M17VM</t>
  </si>
  <si>
    <t>CBHM5000 CA SC RD BE P750(R) M17</t>
  </si>
  <si>
    <t>Carreta Hidráulica 5t (5m3) RD de 1 Eixo - CAFEEIRA - C/ FREIOS + BASE P/ ENSILADEIRA + PNEUS 750(R) - Molas não Incluídas</t>
  </si>
  <si>
    <t>622852M17</t>
  </si>
  <si>
    <t>CBHM5000 CA SC RD BE P750(R) M17 VM</t>
  </si>
  <si>
    <t>Carreta Hidráulica 5t (5m3) RD de 1 Eixo - CAFEEIRA - C/ FREIOS + BASE P/ ENSILADEIRA + PNEUS 750(R) - VERMELHA - Molas não Incluídas</t>
  </si>
  <si>
    <t>622852M17VM</t>
  </si>
  <si>
    <t>Carreta Hidráulica 5t (5m3) RD de 1 Eixo - CAFEEIRA - C/ FREIOS - Molas e Pneus não Incluídos</t>
  </si>
  <si>
    <t>614415M17</t>
  </si>
  <si>
    <t>CBHM5000 CA SC RD M17 AN</t>
  </si>
  <si>
    <t>Carreta Hidráulica 5t (5m3) RD de 1 Eixo - CAFEEIRA - C/ FREIOS - AZUL - Molas e Pneus não Incluídos</t>
  </si>
  <si>
    <t>614415M17AN</t>
  </si>
  <si>
    <t>CBHM5000 CA SC RD M17 VM</t>
  </si>
  <si>
    <t>Carreta Hidráulica 5t (5m3) RD de 1 Eixo - CAFEEIRA - C/ FREIOS - VERMELHA - Molas e Pneus não Incluídos</t>
  </si>
  <si>
    <t>614415M17VM</t>
  </si>
  <si>
    <t>Carreta Hidráulica 5t (5m3) RD de 1 Eixo - CAFEEIRA - C/ FREIOS + MANG MAIORES - Molas e Pneus não Incluídos</t>
  </si>
  <si>
    <t>622835M17</t>
  </si>
  <si>
    <t>CBHM5000 CA SC RD MM M17 AN</t>
  </si>
  <si>
    <t>Carreta Hidráulica 5t (5m3) RD de 1 Eixo - CAFEEIRA - C/ FREIOS + MANG MAIORES - AZUL - Molas e Pneus não Incluídos</t>
  </si>
  <si>
    <t>622835M17AN</t>
  </si>
  <si>
    <t>CBHM5000 CA SC RD MM M17 AV</t>
  </si>
  <si>
    <t>Carreta Hidráulica 5t (5m3) RD de 1 Eixo - CAFEEIRA - C/ FREIOS + MANG MAIORES - AMARELA - Molas e Pneus não Incluídos</t>
  </si>
  <si>
    <t>622835M17AV</t>
  </si>
  <si>
    <t>CBHM5000 CA SC RD MM M17 VJ</t>
  </si>
  <si>
    <t>Carreta Hidráulica 5t (5m3) RD de 1 Eixo - CAFEEIRA - C/ FREIOS + MANG MAIORES - VERDE - Molas e Pneus não Incluídos</t>
  </si>
  <si>
    <t>622835M17VJ</t>
  </si>
  <si>
    <t>CBHM5000 CA SC RD MM M17 VM</t>
  </si>
  <si>
    <t>Carreta Hidráulica 5t (5m3) RD de 1 Eixo - CAFEEIRA - C/ FREIOS + MANG MAIORES - VERMELHA - Molas e Pneus não Incluídos</t>
  </si>
  <si>
    <t>622835M17VM</t>
  </si>
  <si>
    <t>CBHM5000 CA SC RD MM P700(R) M17</t>
  </si>
  <si>
    <t>Carreta Hidráulica 5t (5m3) RD de 1 Eixo - CAFEEIRA - C/ FREIOS + MANG MAIORES + PNEUS 700(R) - Molas não Incluídas</t>
  </si>
  <si>
    <t>622916M17</t>
  </si>
  <si>
    <t>CBHM5000 CA SC RD MM P700(R) M17 VJ</t>
  </si>
  <si>
    <t>Carreta Hidráulica 5t (5m3) RD de 1 Eixo - CAFEEIRA - C/ FREIOS + MANG MAIORES + PNEUS - VERDE - Molas não Incluídas</t>
  </si>
  <si>
    <t>622916M17VJ</t>
  </si>
  <si>
    <t>CBHM5000 CA SC RD MM P700(R) M17 VM</t>
  </si>
  <si>
    <t>Carreta Hidráulica 5t (5m3) RD de 1 Eixo - CAFEEIRA - C/ FREIOS + MANG MAIORES + PNEUS 700(R) - VERMELHA - Molas não Incluídas</t>
  </si>
  <si>
    <t>622916M17VM</t>
  </si>
  <si>
    <t>Carreta Hidráulica 5t (5m3) RD de 1 Eixo - CAFEEIRA - C/ FREIOS + MANG MAIORES + PNEUS - Molas não Incluídas</t>
  </si>
  <si>
    <t>622924M17</t>
  </si>
  <si>
    <t>CBHM5000 CA SC RD MM P750(I) M17 VM</t>
  </si>
  <si>
    <t>Carreta Hidráulica 5t (5m3) RD de 1 Eixo - CAFEEIRA - C/ FREIOS + MANG MAIORES + PNEUS 750(I) - VERMELHA - Molas não Incluídas</t>
  </si>
  <si>
    <t>622924M17VM</t>
  </si>
  <si>
    <t>CBHM5000 CA SC RD MM P750(R) M17</t>
  </si>
  <si>
    <t>Carreta Hidráulica 5t (5m3) RD de 1 Eixo - CAFEEIRA - C/ FREIOS + MANG MAIORES + PNEUS 750(R) - Molas não Incluídas</t>
  </si>
  <si>
    <t>622777M17</t>
  </si>
  <si>
    <t>CBHM5000 CA SC RD MM P750(R) M17 AN</t>
  </si>
  <si>
    <t>Carreta Hidráulica 5t (5m3) RD de 1 Eixo - CAFEEIRA - C/ FREIOS + MANG MAIORES + PNEUS 750(R) - AZUL - Molas não Incluídas</t>
  </si>
  <si>
    <t>622777M17AN</t>
  </si>
  <si>
    <t>CBHM5000 CA SC RD MM P750(R) M17 VM</t>
  </si>
  <si>
    <t>Carreta Hidráulica 5t (5m3) RD de 1 Eixo - CAFEEIRA - C/ FREIOS + MANG MAIORES + PNEUS 750(R) - VERMELHA - Molas não Incluídas</t>
  </si>
  <si>
    <t>622777M17VM</t>
  </si>
  <si>
    <t>CBHM5000 CA SC RD P700(R) M17 VM</t>
  </si>
  <si>
    <t>Carreta Hidráulica 5t (5m3) RD de 1 Eixo - CAFEEIRA - C/ FREIOS + PNEUS - VERMELHA - Molas não Incluídas</t>
  </si>
  <si>
    <t>622864M17VM</t>
  </si>
  <si>
    <t>CBHM5000 CA SC RD P750(R) M17</t>
  </si>
  <si>
    <t>Carreta Hidráulica 5t (5m3) RD de 1 Eixo - CAFEEIRA - C/ FREIOS + PNEUS 750(R) - Molas não Incluídas</t>
  </si>
  <si>
    <t>622821M17</t>
  </si>
  <si>
    <t>CBHM5000 CA SC RD P750(R) M17 VM</t>
  </si>
  <si>
    <t>Carreta Hidráulica 5t (5m3) RD de 1 Eixo - CAFEEIRA - C/ FREIOS + PNEUS 750(R) - VERMELHA - Molas não Incluídas</t>
  </si>
  <si>
    <t>622821M17VM</t>
  </si>
  <si>
    <t>CBHM5000 CA SC RDC MM P750(I) M17 VM</t>
  </si>
  <si>
    <t>Carreta Hidráulica 5t (5m3) RDC de 1 Eixo - CAFEEIRA - C/ FREIOS + MANG MAIORES + PNEUS 750(I) - VERMELHA - Molas não Incluídas</t>
  </si>
  <si>
    <t>623321M17VM</t>
  </si>
  <si>
    <t>Carreta Hidráulica 5t (5m3) RD de Eixo Tandem - CAFEEIRA - C/ FREIOS + ABAS LATERAIS + MANG MAIORES + PNEUS - Molas não Incluídas</t>
  </si>
  <si>
    <t>623087M20</t>
  </si>
  <si>
    <t>Carreta Hidráulica 5t (5m3) RD de 1 Eixo - CAFEEIRA - C/ MANG MAIORES + PNEUS - C/ ABAS - Molas e Freios não Incluídos</t>
  </si>
  <si>
    <t>623255M17</t>
  </si>
  <si>
    <t>CBHM5000 CA SS RD ABA MM P750(I) M17 VJ</t>
  </si>
  <si>
    <t>Carreta Hidráulica 5t (5m3) RD de 1 Eixo - CAFEEIRA - C/ MANG MAIORES + PNEUS - C/ ABAS - VERDE - Molas e Freios não Incluídos</t>
  </si>
  <si>
    <t>623255M17VJ</t>
  </si>
  <si>
    <t>CBHM5000 CA SS RD ABA MM P750(I) M17 VM</t>
  </si>
  <si>
    <t>Carreta Hidráulica 5t (5m3) RD de 1 Eixo - CAFEEIRA - C/ MANG MAIORES + PNEUS - C/ ABAS - VERMELHA - Molas e Freios não Incluídos</t>
  </si>
  <si>
    <t>623255M17VM</t>
  </si>
  <si>
    <t>CBHM5000 CA SS RD ABA MM P750(R) M17 VJ</t>
  </si>
  <si>
    <t>Carreta Hidráulica 5t (5m3) RD de 1 Eixo - CAFEEIRA - C/ MANG MAIORES + PNEUS 750(R) - C/ ABAS - VERDE - Molas e Freios não Incluídos</t>
  </si>
  <si>
    <t>623301M17VJ</t>
  </si>
  <si>
    <t>Carreta Hidráulica 5t (5m3) RD de 1 Eixo - CAFEEIRA - C/ MANG MAIORES - Molas, Freios e Pneus não Incluídos</t>
  </si>
  <si>
    <t>622824M17</t>
  </si>
  <si>
    <t>CBHM5000 CA SS RD MM M17 AN</t>
  </si>
  <si>
    <t>Carreta Hidráulica 5t (5m3) RD de 1 Eixo - CAFEEIRA - C/ MANG MAIORES - AZUL - Molas, Freios e Pneus não Incluídos</t>
  </si>
  <si>
    <t>622824M17AN</t>
  </si>
  <si>
    <t>CBHM5000 CA SS RD MM M17 AV</t>
  </si>
  <si>
    <t>Carreta Hidráulica 5t (5m3) RD de 1 Eixo - CAFEEIRA - C/ MANG MAIORES - AMARELA - Molas, Freios e Pneus não Incluídos</t>
  </si>
  <si>
    <t>622824M17AV</t>
  </si>
  <si>
    <t>CBHM5000 CA SS RD MM M17 PE</t>
  </si>
  <si>
    <t>Carreta Hidráulica 5t (5m3) RD de 1 Eixo - CAFEEIRA - C/ MANG MAIORES - C PONTA ESPECIAL - Molas, Freios e Pneus não Incluídos</t>
  </si>
  <si>
    <t>622824M17PE</t>
  </si>
  <si>
    <t>CBHM5000 CA SS RD MM M17 PE VM</t>
  </si>
  <si>
    <t>Carreta Hidráulica 5t (5m3) RD de 1 Eixo - CAFEEIRA - C/ MANG MAIORES - C PONTA ESPECIAL - VERMELHA - Molas, Freios e Pneus não Incluídos</t>
  </si>
  <si>
    <t>622824M17PEVM</t>
  </si>
  <si>
    <t>CBHM5000 CA SS RD MM M17 VJ</t>
  </si>
  <si>
    <t>Carreta Hidráulica 5t (5m3) RD de 1 Eixo - CAFEEIRA - C/ MANG MAIORES - VERDE - Molas, Freios e Pneus não Incluídos</t>
  </si>
  <si>
    <t>622824M17VJ</t>
  </si>
  <si>
    <t>CBHM5000 CA SS RD MM M17 VM</t>
  </si>
  <si>
    <t>Carreta Hidráulica 5t (5m3) RD de 1 Eixo - CAFEEIRA - C/ MANG MAIORES - VERMELHA - Molas, Freios e Pneus não Incluídos</t>
  </si>
  <si>
    <t>622824M17VM</t>
  </si>
  <si>
    <t>CBHM5000 CA SS RD MM P700(R) M17 VM</t>
  </si>
  <si>
    <t>Carreta Hidráulica 5t (5m3) RD de 1 Eixo - CAFEEIRA - C/ MANG MAIORES + PNEUS 700(R) - VERMELHA - Molas e Freios não Incluídas</t>
  </si>
  <si>
    <t>622938M17VM</t>
  </si>
  <si>
    <t>Carreta Hidráulica 5t (5m3) RD de 1 Eixo - CAFEEIRA - C/ MANG MAIORES + PNEUS - Molas e Freios não Incluídos</t>
  </si>
  <si>
    <t>623214M17</t>
  </si>
  <si>
    <t>CBHM5000 CA SS RD MM P750(I) M17 VM</t>
  </si>
  <si>
    <t>Carreta Hidráulica 5t (5m3) RD de 1 Eixo - CAFEEIRA - C/ MANG MAIORES + PNEUS 750 - VERMELHA - Molas e Freios não Incluídos</t>
  </si>
  <si>
    <t>623214M17VM</t>
  </si>
  <si>
    <t>CBHM5000 CA SS RD MM P750(I) M17 VM PE</t>
  </si>
  <si>
    <t>Carreta Hidráulica 5t (5m3) RD de 1 Eixo - CAFEEIRA - C/ MANG MAIORES + PNEUS 750 - VERMELHA - PONTA ESPECIAL - Molas e Freios não Incluídos</t>
  </si>
  <si>
    <t>623214M17VMPE</t>
  </si>
  <si>
    <t>CBHM5000 CA SS RD MM P750(R) M17</t>
  </si>
  <si>
    <t>Carreta Hidráulica 5t (5m3) RD de 1 Eixo - CAFEEIRA - C/ MANG MAIORES + PNEUS 750(R) - Molas e Freios não Incluídos</t>
  </si>
  <si>
    <t>622833M17</t>
  </si>
  <si>
    <t>CBHM5000 CA SS RD MM P750(R) M17 VM</t>
  </si>
  <si>
    <t>622833M17VM</t>
  </si>
  <si>
    <t>CBHM5000 CA SS RDC ABA MM P750(I) M17 VM</t>
  </si>
  <si>
    <t>Carreta Hidráulica 5t (5m3) RDC de 1 Eixo - CAFEEIRA - C/ MANG MAIORES + PNEUS - C/ ABAS - VERMELHA - Molas e Freios não Incluídos</t>
  </si>
  <si>
    <t>623322M17VM</t>
  </si>
  <si>
    <t>Carreta Hidráulica 5t (5m3) de Eixo Tandem - CAFEEIRA - C/ ABAS LATERAIS + MANG MAIORES - Freios, Molas e Pneus não Incluídas</t>
  </si>
  <si>
    <t>623305M20</t>
  </si>
  <si>
    <t>CBHM5000 CA SS T ABA MM M20 AV</t>
  </si>
  <si>
    <t>Carreta Hidráulica 5t (5m3) de Eixo Tandem - CAFEEIRA - C/ ABAS LATERAIS + MANG MAIORES - AMARELA - Freios, Molas e Pneus não Incluídas</t>
  </si>
  <si>
    <t>623305M20AV</t>
  </si>
  <si>
    <t>CBHM5000 CA SS T ABA MM M20 VM</t>
  </si>
  <si>
    <t>Carreta Hidráulica 5t (5m3) de Eixo Tandem - CAFEEIRA - C/ ABAS LATERAIS + MANG MAIORES - VERMELHLA - Freios, Molas e Pneus não Incluídas+</t>
  </si>
  <si>
    <t>623305M20VM</t>
  </si>
  <si>
    <t>Carreta Hidráulica 5t (5m3) de Eixo Tandem - CAFEEIRA - C/ ABAS LATERAIS + MANG MAIORES + PNEUS - Freios, Molas não Incluídas</t>
  </si>
  <si>
    <t>623286M20</t>
  </si>
  <si>
    <t>CBHM5000 CA SS T ABA MM P750(I) M20 AV</t>
  </si>
  <si>
    <t>Carreta Hidráulica 5t (5m3) de Eixo Tandem - CAFEEIRA - C/ ABAS LATERAIS + MANG MAIORES + PNEUS - AMARELA - Freios, Molas não Incluídas</t>
  </si>
  <si>
    <t>623286M20AV</t>
  </si>
  <si>
    <t>CBHM5000 CA SS T ABA MM P750(I) M20 VM</t>
  </si>
  <si>
    <t>Carreta Hidráulica 5t (5m3) de Eixo Tandem - CAFEEIRA - C/ ABAS LATERAIS + MANG MAIORES + PNEUS - VERMELHLA - Freios, Molas não Incluídas</t>
  </si>
  <si>
    <t>623286M20VM</t>
  </si>
  <si>
    <t>Carreta Hidráulica 5t (5m3) RD de 1 Eixo - GRANELEIRA - C/ MOLAS + FREIOS - Pneus não Incluídos</t>
  </si>
  <si>
    <t>616199M17</t>
  </si>
  <si>
    <t>Carreta Hidráulica 5t (5m3) RD de 1 Eixo - GRANELEIRA - C/ MOLAS - Freios e Pneus não Incluídos</t>
  </si>
  <si>
    <t>CBHM5000 GR CS RD M17 VM</t>
  </si>
  <si>
    <t>Carreta Hidráulica 5t (5m3) RD de 1 Eixo - GRANELEIRA - C/ MOLAS - VERMELHA - Freios e Pneus não Incluídos</t>
  </si>
  <si>
    <t>614907M17VM</t>
  </si>
  <si>
    <t>CBHM5000 GR CS RD P650(R) M17</t>
  </si>
  <si>
    <t>Carreta Hidráulica 5t (5m3) RD de 1 Eixo - GRANELEIRA - C/ MOLAS + PNEUS 650(R) - Freios não Incluídos</t>
  </si>
  <si>
    <t>614908M17</t>
  </si>
  <si>
    <t>CBHM5000 GR CS RD P650(R) M17 VM</t>
  </si>
  <si>
    <t>Carreta Hidráulica 5t (5m3) RD de 1 Eixo - GRANELEIRA - C/ MOLAS + PNEUS 650(R) - VERMELHA - Freios não Incluídos</t>
  </si>
  <si>
    <t>622736M17VM</t>
  </si>
  <si>
    <t>Carreta Hidráulica 5t (5m3) RD de 1 Eixo - GRANELEIRA - C/ FREIO + BASE P/ ENSILADEIRA - Molas e Pneus não Incluídos</t>
  </si>
  <si>
    <t>CBHM5000 GR SC RD BE M17 AV</t>
  </si>
  <si>
    <t>Carreta Hidráulica 5t (5m3) RD de 1 Eixo - GRANELEIRA - C/ FREIO + BASE P/ ENSILADEIRA - AMARELA - Molas e Pneus não Incluídos</t>
  </si>
  <si>
    <t>621538M17AV</t>
  </si>
  <si>
    <t>CBHM5000 GR SC RD BE M17 VJ</t>
  </si>
  <si>
    <t>Carreta Hidráulica 5t (5m3) RD de 1 Eixo - GRANELEIRA - C/ FREIO + BASE P/ ENSILADEIRA - VERDE - Molas e Pneus não Incluídos</t>
  </si>
  <si>
    <t>621538M17VJ</t>
  </si>
  <si>
    <t>CBHM5000 GR SC RD BE M17 VM</t>
  </si>
  <si>
    <t>Carreta Hidráulica 5t (5m3) RD de 1 Eixo - GRANELEIRA - C/ FREIO + BASE P/ ENSILADEIRA - VERMELHA - Molas e Pneus não Incluídos</t>
  </si>
  <si>
    <t>621538M17VM</t>
  </si>
  <si>
    <t>Carreta Hidráulica 5t (5m3) RD de 1 Eixo - GRANELEIRA - C/ FREIOS + BASE P/ ENSILADEIRA + MANG MAIORES - Molas e Pneus não Incluídos</t>
  </si>
  <si>
    <t>622876M17</t>
  </si>
  <si>
    <t>CBHM5000 GR SC RD BE MM M17 AV</t>
  </si>
  <si>
    <t>Carreta Hidráulica 5t (5m3) RD de 1 Eixo - GRANELEIRA - C/ FREIOS + BASE P/ ENSILADEIRA + MANG MAIORES - AMARELA - Molas e Pneus não Incluídos</t>
  </si>
  <si>
    <t>622876M17AV</t>
  </si>
  <si>
    <t>CBHM5000 GR SC RD BE MM M17 VM</t>
  </si>
  <si>
    <t>Carreta Hidráulica 5t (5m3) RD de 1 Eixo - GRANELEIRA - C/ FREIOS + BASE P/ ENSILADEIRA + MANG MAIORES - VERMELHA - Molas e Pneus não Incluídos</t>
  </si>
  <si>
    <t>622876M17VM</t>
  </si>
  <si>
    <t>CBHM5000 GR SC RD BE MM P700(R) M17 AV</t>
  </si>
  <si>
    <t>Carreta Hidráulica 5t (5m3) Rd de 1 Eixo - GRANELEIRA - C/ FREIOS + BASE P/ ENSILADEIRA + MANG MAIORES + PNEUS 700(R) - AMARELA - Molas não Incluídas</t>
  </si>
  <si>
    <t>622934M17AV</t>
  </si>
  <si>
    <t>CBHM5000 GR SC RD BE MM P750(I) M17 AV</t>
  </si>
  <si>
    <t>Carreta Hidráulica 5t (5m3) Rd de 1 Eixo - GRANELEIRA - C/ FREIOS + BASE P/ ENSILADEIRA + MANG MAIORES + PNEUS 750(I) - AMARELA - Molas não Incluídas</t>
  </si>
  <si>
    <t>622926M17AV</t>
  </si>
  <si>
    <t>CBHM5000 GR SC RD BE MM P750(R) M17 AV</t>
  </si>
  <si>
    <t>Carreta Hidráulica 5t (5m3) RD de 1 Eixo - GRANELEIRA - C/ FREIOS + BASE P/ ENSILADEIRA + MANG MAIORES + PNEUS 750(R) - AMARELA - Molas não Incluídas</t>
  </si>
  <si>
    <t>622839M17AV</t>
  </si>
  <si>
    <t>CBHM5000 GR SC RD BE P700(R) M17</t>
  </si>
  <si>
    <t>Carreta Hidráulica 5t (5m3) RD de 1 Eixo - GRANELEIRA - C/ FREIOS + BASE P/ ENSILADEIRA + PNEUS 700(R) - Molas não Incluídas</t>
  </si>
  <si>
    <t>622870M17</t>
  </si>
  <si>
    <t>CBHM5000 GR SC RD BE P700(R) M17 AV</t>
  </si>
  <si>
    <t>Carreta Hidráulica 5t (5m3) RD de 1 Eixo - GRANELEIRA - C/ FREIOS + BASE P/ ENSILADEIRA + PNEUS 700(R) - AMARELA - Molas não Incluídas</t>
  </si>
  <si>
    <t>622870M17AV</t>
  </si>
  <si>
    <t>Carreta Hidráulica 5t (5m3) RD de 1 Eixo - GRANELEIRA - C/ FREIOS + BASE P/ ENSILADEIRA + PNEUS - Molas não Incluídas</t>
  </si>
  <si>
    <t>623188M17</t>
  </si>
  <si>
    <t>CBHM5000 GR SC RD BE P750(I) M17 VM</t>
  </si>
  <si>
    <t>Carreta Hidráulica 5t (5m3) RD de 1 Eixo - GRANELEIRA - C/ FREIOS + BASE P/ ENSILADEIRA + PNEUS - VERMELHA - Molas não Incluídas</t>
  </si>
  <si>
    <t>623188M17VM</t>
  </si>
  <si>
    <t>CBHM5000 GR SC RD BE P750(R) M17</t>
  </si>
  <si>
    <t>Carreta Hidráulica 5t (5m3) RD de 1 Eixo - GRANELEIRA - C/ FREIOS + BASE P/ ENSILADEIRA + PNEUS 750(R) - Molas não Incluídas</t>
  </si>
  <si>
    <t>622809M17</t>
  </si>
  <si>
    <t>CBHM5000 GR SC RD BE P750(R) M17 AV</t>
  </si>
  <si>
    <t>Carreta Hidráulica 5t (5m3) RD de 1 Eixo - GRANELEIRA - C/ FREIOS + BASE P/ ENSILADEIRA + PNEUS 750(R) - AMARELA - Molas não Incluídas</t>
  </si>
  <si>
    <t>622809M17AV</t>
  </si>
  <si>
    <t>Carreta Hidráulica 5t (5m3) RD de 1 Eixo - GRANELEIRA - C/ FREIOS - Molas e Pneus não Incluídos</t>
  </si>
  <si>
    <t>CBHM5000 GR SC RD M17 AN</t>
  </si>
  <si>
    <t>Carreta Hidráulica 5t (5m3) RD de 1 Eixo - GRANELEIRA - C/ FREIOS - AZUL - Molas e Pneus não Incluídos</t>
  </si>
  <si>
    <t>614233M17AN</t>
  </si>
  <si>
    <t>CBHM5000 GR SC RD M17 AV</t>
  </si>
  <si>
    <t>Carreta Hidráulica 5t (5m3) RD de 1 Eixo - GRANELEIRA - C/ FREIOS - AMARELA - Molas e Pneus não Incluídos</t>
  </si>
  <si>
    <t>614233M17AV</t>
  </si>
  <si>
    <t>CBHM5000 GR SC RD M17 VJ</t>
  </si>
  <si>
    <t>Carreta Hidráulica 5t (5m3) RD de 1 Eixo - GRANELEIRA - C/ FREIOS - VERDE - Molas e Pneus não Incluídos</t>
  </si>
  <si>
    <t>614233M17VJ</t>
  </si>
  <si>
    <t>CBHM5000 GR SC RD M17 VM</t>
  </si>
  <si>
    <t>Carreta Hidráulica 5t (5m3) RD de 1 Eixo - GRANELEIRA - C/ FREIOS - VERMELHA - Molas e Pneus não Incluídos</t>
  </si>
  <si>
    <t>614233M17VM</t>
  </si>
  <si>
    <t>Carreta Hidráulica 5t (5m3) RD de 1 Eixo - GRANELEIRA - C/ FREIOS + MANG MAIORES - Molas e Pneus não Incluídos</t>
  </si>
  <si>
    <t>622437M17</t>
  </si>
  <si>
    <t>CBHM5000 GR SC RD MM M17 AN</t>
  </si>
  <si>
    <t>Carreta Hidráulica 5t (5m3) RD de 1 Eixo - GRANELEIRA - C/ FREIOS + MANG MAIORES - AZUL - Molas e Pneus não Incluídos</t>
  </si>
  <si>
    <t>622437M17AN</t>
  </si>
  <si>
    <t>CBHM5000 GR SC RD MM M17 AN+</t>
  </si>
  <si>
    <t>Carreta Hidráulica 5t (5m3) RD de 1 Eixo - GRANELEIRA - C/ FREIOS + MANG MAIORES - AZUL - Molas e Pneus não Incluídos+</t>
  </si>
  <si>
    <t>622437M17AN+</t>
  </si>
  <si>
    <t>CBHM5000 GR SC RD MM M17 AV</t>
  </si>
  <si>
    <t>Carreta Hidráulica 5t (5m3) RD de 1 Eixo - GRANELEIRA - C/ FREIOS + MANG MAIORES - AMARELA - Molas e Pneus não Incluídos</t>
  </si>
  <si>
    <t>622437M17AV</t>
  </si>
  <si>
    <t>CBHM5000 GR SC RD MM M17 VM</t>
  </si>
  <si>
    <t>Carreta Hidráulica 5t (5m3) RD de 1 Eixo - GRANELEIRA - C/ FREIOS + MANG MAIORES - VERMELHA - Molas e Pneus não Incluídos</t>
  </si>
  <si>
    <t>622437M17VM</t>
  </si>
  <si>
    <t>CBHM5000 GR SC RD MM P650(R) M17</t>
  </si>
  <si>
    <t>Carreta Hidráulica 5t (5m3) RD de 1 Eixo - GRANELEIRA - C/ MANG MAIORES + PNEUS 650(R) - Molas e Freios não Incluídos</t>
  </si>
  <si>
    <t>622530M17</t>
  </si>
  <si>
    <t>CBHM5000 GR SC RD MM P650(R) M17 VM</t>
  </si>
  <si>
    <t>Carreta Hidráulica 5t (5m3) RD de 1 Eixo - GRANELEIRA - C/ MANG MAIORES + PNEUS 650(R) - VERMELHA - Molas e Freios não Incluídos</t>
  </si>
  <si>
    <t>622530M17VM</t>
  </si>
  <si>
    <t>CBHM5000 GR SC RD MM P700(R) M17</t>
  </si>
  <si>
    <t>Carreta Hidráulica 5t (5m3) RD de 1 Eixo - GRANELEIRA - C/ FREIOS + MANG MAIORES + PNEUS 700(R) - Molas não Incluídas</t>
  </si>
  <si>
    <t>622869M17</t>
  </si>
  <si>
    <t>CBHM5000 GR SC RD MM P700(R) M17 AV</t>
  </si>
  <si>
    <t>Carreta Hidráulica 5t (5m3) RD de 1 Eixo - GRANELEIRA - C/ FREIOS + MANG MAIORES + PNEUS 700(R) - AMARELA - Molas não Incluídas</t>
  </si>
  <si>
    <t>622869M17AV</t>
  </si>
  <si>
    <t>Carreta Hidráulica 5t (5m3) RD de 1 Eixo - GRANELEIRA - C/ FREIOS + MANG MAIORES + PNEUS - Molas não Incluídas+</t>
  </si>
  <si>
    <t>623221M17</t>
  </si>
  <si>
    <t>CBHM5000 GR SC RD MM P750(I) M17 VM</t>
  </si>
  <si>
    <t>Carreta Hidráulica 5t (5m3) RD de 1 Eixo - GRANELEIRA - C/ FREIOS + MANG MAIORES + PNEUS - VERMELHA - Molas não Incluídas</t>
  </si>
  <si>
    <t>623221M17VM</t>
  </si>
  <si>
    <t>CBHM5000 GR SC RD MM P750(R) M17</t>
  </si>
  <si>
    <t>Carreta Hidráulica 5t (5m3) RD de 1 Eixo - GRANELEIRA - C/ FREIOS + MANG MAIORES + PNEUS 750(R) - Molas não Incluídas</t>
  </si>
  <si>
    <t>622798M17</t>
  </si>
  <si>
    <t>CBHM5000 GR SC RD MM P750(R) M17 AN</t>
  </si>
  <si>
    <t>Carreta Hidráulica 5t (5m3) RD de 1 Eixo - GRANELEIRA - C/ FREIOS + MANG MAIORES + PNEUS 750(R) - AZUL - Molas não Incluídas</t>
  </si>
  <si>
    <t>622798M17AN</t>
  </si>
  <si>
    <t>CBHM5000 GR SC RD MM P750(R) M17 AV</t>
  </si>
  <si>
    <t>Carreta Hidráulica 5t (5m3) RD de 1 Eixo - GRANELEIRA - C/ FREIOS + MANG MAIORES + PNEUS 750(R) - AMARELA - Molas não Incluídas</t>
  </si>
  <si>
    <t>622798M17AV</t>
  </si>
  <si>
    <t>CBHM5000 GR SC RD MM P750(R) M17 VM</t>
  </si>
  <si>
    <t>Carreta Hidráulica 5t (5m3) RD de 1 Eixo - GRANELEIRA - C/ FREIOS + MANG MAIORES + PNEUS 750(R) - VERMELHA - Molas não Incluídas</t>
  </si>
  <si>
    <t>622798M17VM</t>
  </si>
  <si>
    <t>CBHM5000 GR SC RD P650(R) M17</t>
  </si>
  <si>
    <t>Carreta Hidráulica 5t (5m3) RD de 1 Eixo - GRANELEIRA - C/ FREIOS + PNEUS 650(R) - Molas não Incluídas</t>
  </si>
  <si>
    <t>622756M17</t>
  </si>
  <si>
    <t>CBHM5000 GR SC RD P650(R) M17 AV</t>
  </si>
  <si>
    <t>Carreta Hidráulica 5t (5m3) RD de 1 Eixo - GRANELEIRA - C/ FREIOS + PNEUS 650(R) - AMARELA - Molas não Incluídas</t>
  </si>
  <si>
    <t>622756M17AV</t>
  </si>
  <si>
    <t>CBHM5000 GR SC RD P700(R) M17</t>
  </si>
  <si>
    <t>Carreta Hidráulica 5t (5m3) RD de 1 Eixo - GRANELEIRA - C/ FREIOS + PNEUS 700(R) - Molas não Incluídas</t>
  </si>
  <si>
    <t>622792M17</t>
  </si>
  <si>
    <t>Carreta Hidráulica 5t (5m3) RD de 1 Eixo - GRANELEIRA - C/ FREIOS + PNEUS - Molas não Incluídas+</t>
  </si>
  <si>
    <t>623222M17</t>
  </si>
  <si>
    <t>Carreta Hidráulica 5t (5m3) de Eixo Tandem - GRANELEIRA - Molas e Pneus não Incluídos</t>
  </si>
  <si>
    <t>Carreta Hidráulica 5t (5m3) de Eixo Tandem - GRANELEIRA - C/ FREIOS + MANG MAIORES - Molas e Pneus não Incluídos</t>
  </si>
  <si>
    <t>622690M20</t>
  </si>
  <si>
    <t>CBHM5000 GR SC T MM M20 AV</t>
  </si>
  <si>
    <t>Carreta Hidráulica 5t (5m3) de Eixo Tandem - GRANELEIRA - C/ FREIOS + MANG MAIORES - AMARELA - Molas e Pneus não Incluídos</t>
  </si>
  <si>
    <t>622690M20AV</t>
  </si>
  <si>
    <t>CBHM5000 GR SC T MM M20 VM</t>
  </si>
  <si>
    <t>Carreta Hidráulica 5t (5m3) de Eixo Tandem - GRANELEIRA - C/ FREIOS + MANG MAIORES - VERMELHA - Molas e Pneus não Incluídos</t>
  </si>
  <si>
    <t>622690M20VM</t>
  </si>
  <si>
    <t>CBHM5000 GR SC T MM P700(R) M20</t>
  </si>
  <si>
    <t>Carreta Hidráulica 5t (5m3) de Eixo Tandem - GRANELEIRA - C/ FREIOS + MANG MAIORES + PNEUS 700(R) - Molas não Incluídas</t>
  </si>
  <si>
    <t>622885M20</t>
  </si>
  <si>
    <t>CBHM5000 GR SC T MM P700(R) M20 AV</t>
  </si>
  <si>
    <t>Carreta Hidráulica 5t (5m3) de Eixo Tandem - GRANELEIRA - C/ FREIOS + MANG MAIORES + PNEUS 700(R) - AMARELA - Molas não Incluídas</t>
  </si>
  <si>
    <t>622885M20AV</t>
  </si>
  <si>
    <t>Carreta Hidráulica 5t (5m3) de Eixo Tandem - GRANELEIRA - C/ FREIOS + MANG MAIORES + PNEUS - Molas não Incluídas</t>
  </si>
  <si>
    <t>622976M20</t>
  </si>
  <si>
    <t>CBHM5000 GR SC T MM P750(I) M20 VM</t>
  </si>
  <si>
    <t>Carreta Hidráulica 5t (5m3) de Eixo Tandem - GRANELEIRA - C/ FREIOS + MANG MAIORES + PNEUS - VERMELHA - Molas não Incluídas</t>
  </si>
  <si>
    <t>622976M20VM</t>
  </si>
  <si>
    <t>CBHM5000 GR SC T MM P750(R) M20</t>
  </si>
  <si>
    <t>Carreta Hidráulica 5t (5m3) de Eixo Tandem - GRANELEIRA - C/ FREIOS + MANG MAIORES + PNEUS 750(R) - Molas não Incluídas</t>
  </si>
  <si>
    <t>622873M20</t>
  </si>
  <si>
    <t>CBHM5000 GR SC T MM P750(R) M20 AV</t>
  </si>
  <si>
    <t>Carreta Hidráulica 5t (5m3) de Eixo Tandem - GRANELEIRA - C/ FREIOS + MANG MAIORES + PNEUS 750(R) - AMARELA - Molas não Incluídas</t>
  </si>
  <si>
    <t>622873M20AV</t>
  </si>
  <si>
    <t>CBHM5000 GR SC T P650(R) M20</t>
  </si>
  <si>
    <t>Carreta Hidráulica 5t (5m3) de Eixo Tandem - GRANELEIRA - C/ FREIOS + PNEUS 650(R) - Molas não Incluídas</t>
  </si>
  <si>
    <t>622697M20</t>
  </si>
  <si>
    <t>CBHM5000 GR SC T P650(R) M20 AV</t>
  </si>
  <si>
    <t>Carreta Hidráulica 5t (5m3) de Eixo Tandem - GRANELEIRA - C/ FREIOS + PNEUS 650(R) - AMARELA - Molas não Incluídas</t>
  </si>
  <si>
    <t>622697M20AV</t>
  </si>
  <si>
    <t>Carreta Hidráulica 5t (5m3) RD de 1 Eixo – GRANELEIRA - BASE P/ ENSILADEIRA - Molas e Pneus não Incluídos</t>
  </si>
  <si>
    <t>Carreta Hidráulica 5t (5m3) RD de 1 Eixo - GRANELEIRA - BASE P/ ENSILADEIRA + MANG MAIORES - Molasm Freios e Pneus não Incluídos</t>
  </si>
  <si>
    <t>622848M17</t>
  </si>
  <si>
    <t>CBHM5000 GR SS RD BE MM M17 AN</t>
  </si>
  <si>
    <t>Carreta Hidráulica 5t (5m3) RD de 1 Eixo - GRANELEIRA - BASE P/ ENSILADEIRA + MANG MAIORES - AZUL - Molas, Freios e Pneus não Incluídos</t>
  </si>
  <si>
    <t>622848M17AN</t>
  </si>
  <si>
    <t>CBHM5000 GR SS RD BE MM M17 AN PE</t>
  </si>
  <si>
    <t>Carreta Hidráulica 5t (5m3) RD de 1 Eixo - GRANELEIRA - BASE P/ ENSILADEIRA + MANG MAIORES - AZUL - PONTA ESPEC. - Molas, Freios e Pneus não Incluídos</t>
  </si>
  <si>
    <t>622848M17ANPE</t>
  </si>
  <si>
    <t>CBHM5000 GR SS RD BE MM M17 AV</t>
  </si>
  <si>
    <t>Carreta Hidráulica 5t (5m3) RD de 1 Eixo - GRANELEIRA - BASE P/ ENSILADEIRA + MANG MAIORES - AMARELA - Molasm Freios e Pneus não Incluídos</t>
  </si>
  <si>
    <t>622848M17AV</t>
  </si>
  <si>
    <t>CBHM5000 GR SS RD BE MM M17 PE AV</t>
  </si>
  <si>
    <t>Carreta Hidráulica 5t (5m3) RD 1 Eixo - GRANELEIRA - BASE P ENSILADEIRA + MANG MAIOR - C PONTA ESPECIAL - AMARELA - Molas, Freios e Pneus não Inclusos</t>
  </si>
  <si>
    <t>622848M17PEAV</t>
  </si>
  <si>
    <t>CBHM5000 GR SS RD BE MM M17 VJ</t>
  </si>
  <si>
    <t>Carreta Hidráulica 5t (5m3) RD de 1 Eixo - GRANELEIRA - BASE P/ ENSILADEIRA + MANG MAIORES - VERDE - Molas, Freios e Pneus não Incluídos</t>
  </si>
  <si>
    <t>622848M17VJ</t>
  </si>
  <si>
    <t>CBHM5000 GR SS RD BE MM M17 VM</t>
  </si>
  <si>
    <t>Carreta Hidráulica 5t (5m3) RD de 1 Eixo - GRANELEIRA - BASE P/ ENSILADEIRA + MANG MAIORES - VERMELHA - Molas, Freios e Pneus não Incluídos</t>
  </si>
  <si>
    <t>622848M17VM</t>
  </si>
  <si>
    <t>CBHM5000 GR SS RD BE MM M17+</t>
  </si>
  <si>
    <t>Carreta Hidráulica 5t (5m3) RD de 1 Eixo - GRANELEIRA - BASE P/ ENSILADEIRA + MANG MAIORES - Molasm Freios e Pneus não Incluídos+</t>
  </si>
  <si>
    <t>622848M17+</t>
  </si>
  <si>
    <t>CBHM5000 GR SS RD BE MM P700(R) M17</t>
  </si>
  <si>
    <t>Carreta Hidráulica 5t (5m3) RD de 1 Eixo - GRANELEIRA - C/ BASE P/ ENSILADEIRA + MANG MAIORES + PNEUS 700(R) - Molas e Freios não Incluídos</t>
  </si>
  <si>
    <t>622866M17</t>
  </si>
  <si>
    <t>CBHM5000 GR SS RD BE MM P700(R) M17 AN</t>
  </si>
  <si>
    <t>Carreta Hidráulica 5t (5m3) RD de 1 Eixo - GRANELEIRA - C/ BASE P/ ENSILADEIRA + MANG MAIORES + PNEUS 700(R) - AZUL - Molas e Freios não Incluídos</t>
  </si>
  <si>
    <t>622866M17AN</t>
  </si>
  <si>
    <t>CBHM5000 GR SS RD BE MM P700(R) M17 VM</t>
  </si>
  <si>
    <t>Carreta Hidráulica 5t (5m3) RD de 1 Eixo - GRANELEIRA - C/ BASE P/ ENSILADEIRA + MANG MAIORES + PNEUS 700(R) - VERMELHA - Molas e Freios não Incluídos</t>
  </si>
  <si>
    <t>622866M17VM</t>
  </si>
  <si>
    <t>Carreta Hidráulica 5t (5m3) RD de 1 Eixo - GRANELEIRA - C/ BASE P/ ENSILADEIRA + MANG MAIORES + PNEUS 750(I) - Molas e Freios não Incluídos</t>
  </si>
  <si>
    <t>623226M17</t>
  </si>
  <si>
    <t>CBHM5000 GR SS RD BE MM P750(I) M17 AV</t>
  </si>
  <si>
    <t>Carreta Hidráulica 5t (5m3) RD de 1 Eixo - GRANELEIRA - C/ BASE P/ ENSILADEIRA - MANG MAIORES - PNEUS 750(I) - AMARELO - Molas e Freios não Incluídos</t>
  </si>
  <si>
    <t>623226M17AV</t>
  </si>
  <si>
    <t>Carreta Hidráulica 5t (5m3) RD de 1 Eixo - GRANELEIRA - Molas, Freios e Pneus não Incluídos</t>
  </si>
  <si>
    <t>CBHM5000 GR SS RD M17 AN</t>
  </si>
  <si>
    <t>Carreta Hidráulica 5t (5m3) RD de 1 Eixo - GRANELEIRA - AZUL - Molas, Freios e Pneus não Incluídos</t>
  </si>
  <si>
    <t>614932M17AN</t>
  </si>
  <si>
    <t>CBHM5000 GR SS RD M17 AV</t>
  </si>
  <si>
    <t>Carreta Hidráulica 5t (5m3) RD de 1 Eixo - GRANELEIRA - AMARELA - Molas, Freios e Pneus não Incluídos</t>
  </si>
  <si>
    <t>614932M17AV</t>
  </si>
  <si>
    <t>CBHM5000 GR SS RD M17 PE</t>
  </si>
  <si>
    <t>Carreta Hidráulica 5t (5m3) RD de 1 Eixo - GRANELEIRA - C PONTA ESPECIAL - Molas, Freios e Pneus não Incluídos</t>
  </si>
  <si>
    <t>614932M17PE</t>
  </si>
  <si>
    <t>CBHM5000 GR SS RD M17 VJ</t>
  </si>
  <si>
    <t>Carreta Hidráulica 5t (5m3) RD de 1 Eixo - GRANELEIRA - VERDE - Molas, Freios e Pneus não Incluídos</t>
  </si>
  <si>
    <t>614932M17VJ</t>
  </si>
  <si>
    <t>CBHM5000 GR SS RD M17 VM</t>
  </si>
  <si>
    <t>Carreta Hidráulica 5t (5m3) RD de 1 Eixo - GRANELEIRA - VERMELHA - Molas, Freios e Pneus não Incluídos</t>
  </si>
  <si>
    <t>614932M17VM</t>
  </si>
  <si>
    <t>Carreta Hidráulica 5t (5m3) RD de 1 Eixo - GRANELEIRA  - C/ MANG MAIORES - Molas, Freios e Pneus não Incluídos</t>
  </si>
  <si>
    <t>614972M17</t>
  </si>
  <si>
    <t>CBHM5000 GR SS RD MM M17 AN</t>
  </si>
  <si>
    <t>Carreta Hidráulica 5t (5m3) RD de 1 Eixo - GRANELEIRA  - C/ MANG MAIORES - AZUL - Molas, Freios e Pneus não Incluídos</t>
  </si>
  <si>
    <t>614972M17AN</t>
  </si>
  <si>
    <t>CBHM5000 GR SS RD MM M17 AN PE</t>
  </si>
  <si>
    <t>Carreta Hidráulica 5t (5m3) RD de 1 Eixo - GRANELEIRA  - C/ MANG MAIORES - AZUL - PONTA ESPECIAL - Molas, Freios e Pneus não Incluídos</t>
  </si>
  <si>
    <t>614972M17ANPE</t>
  </si>
  <si>
    <t>CBHM5000 GR SS RD MM M17 AV</t>
  </si>
  <si>
    <t>Carreta Hidráulica 5t (5m3) RD de 1 Eixo - GRANELEIRA  - C/ MANG MAIORES - AMARELA - Molas, Freios e Pneus não Incluídos</t>
  </si>
  <si>
    <t>614972M17AV</t>
  </si>
  <si>
    <t>CBHM5000 GR SS RD MM M17 PE</t>
  </si>
  <si>
    <t>Carreta Hidráulica 5t (5m3) RD de 1 Eixo - GRANELEIRA  - C/ MANG MAIORES - C PONTA ESPECIAL - Molas, Freios e Pneus não Incluídos</t>
  </si>
  <si>
    <t>614972M17PE</t>
  </si>
  <si>
    <t>CBHM5000 GR SS RD MM M17 PE VM</t>
  </si>
  <si>
    <t>Carreta Hidráulica 5t (5m3) RD de 1 Eixo – GRANELEIRA - C/ MANG MAIORES - C PONTA ESPECIAL - VERMELHA - Molas, Freios e Pneus não Incluídos</t>
  </si>
  <si>
    <t>614972M17PEVM</t>
  </si>
  <si>
    <t>CBHM5000 GR SS RD MM M17 VJ</t>
  </si>
  <si>
    <t>Carreta Hidráulica 5t (5m3) RD de 1 Eixo - GRANELEIRA - MANG MAIORES - VERDE - Molas, Freios e Pneus não Incluídos</t>
  </si>
  <si>
    <t>614972M17VJ</t>
  </si>
  <si>
    <t>CBHM5000 GR SS RD MM M17 VM</t>
  </si>
  <si>
    <t>Carreta Hidráulica 5t (5m3) RD de 1 Eixo – GRANELEIRA - C/ MANG MAIORES - VERMELHA - Molas, Freios e Pneus não Incluídos</t>
  </si>
  <si>
    <t>614972M17VM</t>
  </si>
  <si>
    <t>CBHM5000 GR SS RD MM P700(R) M17 VM</t>
  </si>
  <si>
    <t>Carreta Hidráulica 5t (5m3) RD de 1 Eixo – GRANELEIRA - C/ MANG MAIORES - PNEUS 700(R) - VERMELHA - Molas e Freios não Incluídos</t>
  </si>
  <si>
    <t>623046M17VM</t>
  </si>
  <si>
    <t>CBHM5000 GR SS RD MM P750(I) M17</t>
  </si>
  <si>
    <t>Carreta Hidráulica 5t (5m3) RD de 1 Eixo - GRANELEIRA - C/ MANG MAIORES + PNEUS 750(I) - Molas e Freios não Incluídos</t>
  </si>
  <si>
    <t>622936M17</t>
  </si>
  <si>
    <t>CBHM5000 GR SS RD MM P750(I) M17 AN</t>
  </si>
  <si>
    <t>Carreta Hidráulica 5t (5m3) RD de 1 Eixo - GRANELEIRA - C/ MANG MAIORES + PNEUS 750(I) - AZUL - Molas e Freios não Incluídos</t>
  </si>
  <si>
    <t>622936M17AN</t>
  </si>
  <si>
    <t>CBHM5000 GR SS RD MM P750(I) M17 AV</t>
  </si>
  <si>
    <t>Carreta Hidráulica 5t (5m3) RD de 1 Eixo - GRANELEIRA - C/ MANG MAIORES + PNEUS 750(I) - AMARELA - Molas e Freios não Incluídos</t>
  </si>
  <si>
    <t>622936M17AV</t>
  </si>
  <si>
    <t>CBHM5000 GR SS RD MM P750(I) M17 PE AV</t>
  </si>
  <si>
    <t>Carreta Hidráulica 5t (5m3) RD de 1 Eixo - GRANELEIRA - C/ MANG MAIORES + PNEUS 750(I) - C PONTA ESPECIAL - AMARELA - Molas e Freios não Incluídos</t>
  </si>
  <si>
    <t>622936M17PEAV</t>
  </si>
  <si>
    <t>CBHM5000 GR SS RD MM P750(I) M17 VM</t>
  </si>
  <si>
    <t>Carreta Hidráulica 5t (5m3) RD de 1 Eixo - GRANELEIRA - C/ MANG MAIORES + PNEUS 750(I) - VERMELHA - Molas e Freios não Incluídos</t>
  </si>
  <si>
    <t>622936M17VM</t>
  </si>
  <si>
    <t>CBHM5000 GR SS RD MM P750(I) M17 VM PE</t>
  </si>
  <si>
    <t>Carreta Hidráulica 5t (5m3) RD de 1 Eixo - GRANELEIRA - C/ MANG MAIORES + PNEUS 750(I) - VERMELHA - PONTA ESPECIAL - Molas e Freios não Incluídos</t>
  </si>
  <si>
    <t>622936M17VMPE</t>
  </si>
  <si>
    <t>CBHM5000 GR SS RD P650(R) M17</t>
  </si>
  <si>
    <t>Carreta Hidráulica 5t (5m3) RD de 1 Eixo - GRANELEIRA - C/ PNEUS 650(R) - Molas e Freios não Incluídos</t>
  </si>
  <si>
    <t>622503M17</t>
  </si>
  <si>
    <t>CBHM5000 GR SS RD P650(R) M17 AN</t>
  </si>
  <si>
    <t>Carreta Hidráulica 5t (5m3) RD de 1 Eixo - GRANELEIRA - C/ PNEUS 650(R) - AZUL - Molas e Freios não Incluídos</t>
  </si>
  <si>
    <t>622503M17AN</t>
  </si>
  <si>
    <t>CBHM5000 GR SS RD P650(R) M17 AV</t>
  </si>
  <si>
    <t>Carreta Hidráulica 5t (5m3) RD de 1 Eixo - GRANELEIRA - C/ PNEUS 650(R) - AMARELA - Molas e Freios não Incluídos</t>
  </si>
  <si>
    <t>622503M17AV</t>
  </si>
  <si>
    <t>CBHM5000 GR SS RD P650(R) M17 VJ</t>
  </si>
  <si>
    <t>Carreta Hidráulica 5t (5m3) RD de 1 Eixo - GRANELEIRA - C/ PNEUS 650(R) - VERDE - Molas e Freios não Incluídos</t>
  </si>
  <si>
    <t>622503M17VJ</t>
  </si>
  <si>
    <t>CBHM5000 GR SS RD P650(R) M17 VM</t>
  </si>
  <si>
    <t>Carreta Hidráulica 5t (5m3) RD de 1 Eixo - GRANELEIRA - C/ PNEUS 650(R) - VERMELHA - Molas e Freios não Incluídos</t>
  </si>
  <si>
    <t>622503M17VM</t>
  </si>
  <si>
    <t>CBHM5000 GR SS RD P700(R) M17</t>
  </si>
  <si>
    <t>Carreta Hidráulica 5t (5m3) RD de 1 Eixo - GRANELEIRA - C/ PNEUS 700(R) - Molas e Freios não Incluídos</t>
  </si>
  <si>
    <t>622747M17</t>
  </si>
  <si>
    <t>CBHM5000 GR SS RD P700(R) M17 AN</t>
  </si>
  <si>
    <t>Carreta Hidráulica 5t (5m3) RD de 1 Eixo - GRANELEIRA - C/ PNEUS 700(R) - AZUL - Molas e Freios não Incluídos</t>
  </si>
  <si>
    <t>622747M17AN</t>
  </si>
  <si>
    <t>CBHM5000 GR SS RD P700(R) M17 AV</t>
  </si>
  <si>
    <t>Carreta Hidráulica 5t (5m3) RD de 1 Eixo - GRANELEIRA - C/ PNEUS 700(R) - AMARELA - Molas e Freios não Incluídos</t>
  </si>
  <si>
    <t>622747M17AV</t>
  </si>
  <si>
    <t>CBHM5000 GR SS RD P700(R) M17 VJ</t>
  </si>
  <si>
    <t>Carreta Hidráulica 5t (5m3) RD de 1 Eixo - GRANELEIRA - C/ PNEUS 700(R) - VERDE - Molas e Freios não Incluídos</t>
  </si>
  <si>
    <t>622747M17VJ</t>
  </si>
  <si>
    <t>CBHM5000 GR SS RD P700(R) M17 VM</t>
  </si>
  <si>
    <t>Carreta Hidráulica 5t (5m3) RD de 1 Eixo - GRANELEIRA - C/ PNEUS 700(R) - VERMELHA - Molas e Freios não Incluídos</t>
  </si>
  <si>
    <t>622747M17VM</t>
  </si>
  <si>
    <t>Carreta Hidráulica 5t (5m3) RD de 1 Eixo – GRANELEIRA - PNEUS - Molas e Freios não Incluídos</t>
  </si>
  <si>
    <t>622966M17</t>
  </si>
  <si>
    <t>CBHM5000 GR SS RD P750(I) M17 VJ</t>
  </si>
  <si>
    <t>Carreta Hidráulica 5t (5m3) RD de 1 Eixo – GRANELEIRA - PNEUS - VERDE - Molas e Freios não Incluídos</t>
  </si>
  <si>
    <t>622966M17VJ</t>
  </si>
  <si>
    <t>CBHM5000 GR SS RD P750(I) M17 VM</t>
  </si>
  <si>
    <t>Carreta Hidráulica 5t (5m3) RD de 1 Eixo – GRANELEIRA - PNEUS - VERMELHA - Molas e Freios não Incluídos</t>
  </si>
  <si>
    <t>622966M17VM</t>
  </si>
  <si>
    <t>CBHM5000 GR SS RD P750(R) M17</t>
  </si>
  <si>
    <t>Carreta Hidráulica 5t (5m3) RD de 1 Eixo - GRANELEIRA - C/ PNEUS 750(R) - Molas e Freios não Incluídos</t>
  </si>
  <si>
    <t>622487M17</t>
  </si>
  <si>
    <t>CBHM5000 GR SS RD P750(R) M17 AN</t>
  </si>
  <si>
    <t>Carreta Hidráulica 5t (5m3) RD de 1 Eixo - GRANELEIRA - C/ PNEUS 750(R) - AZUL - Molas e Freios não Incluídos</t>
  </si>
  <si>
    <t>622487M17AN</t>
  </si>
  <si>
    <t>CBHM5000 GR SS RD P750(R) M17 AV</t>
  </si>
  <si>
    <t>Carreta Hidráulica 5t (5m3) RD de 1 Eixo - GRANELEIRA - C/ PNEUS 750(R) - AMARELA - Molas e Freios não Incluídos</t>
  </si>
  <si>
    <t>622487M17AV</t>
  </si>
  <si>
    <t>CBHM5000 GR SS RD P750(R) M17 VJ</t>
  </si>
  <si>
    <t>Carreta Hidráulica 5t (5m3) RD de 1 Eixo - GRANELEIRA - C/ PNEUS 750(R) - VERDE - Molas e Freios não Incluídos</t>
  </si>
  <si>
    <t>622487M17VJ</t>
  </si>
  <si>
    <t>CBHM5000 GR SS RD P750(R) M17 VM</t>
  </si>
  <si>
    <t>Carreta Hidráulica 5t (5m3) RD de 1 Eixo - GRANELEIRA - C/ PNEUS 750(R) - VERMELHA - Molas e Freios não Incluídos</t>
  </si>
  <si>
    <t>622487M17VM</t>
  </si>
  <si>
    <t>Carreta Hidráulica 5t (5m3) de Eixo Tandem - GRANELEIRA - Molas, Freios e Pneus não Incluídos</t>
  </si>
  <si>
    <t>CBHM5000 GR SS T M20 AN</t>
  </si>
  <si>
    <t>Carreta Hidráulica 5t (5m3) de Eixo Tandem - GRANELEIRA - AZUL - Molas, Freios e Pneus não Incluídos</t>
  </si>
  <si>
    <t>614935M20AN</t>
  </si>
  <si>
    <t>CBHM5000 GR SS T M20 AV</t>
  </si>
  <si>
    <t>Carreta Hidráulica 5t (5m3) de Eixo Tandem - GRANELEIRA - AMARELA - Molas, Freios e Pneus não Incluídos</t>
  </si>
  <si>
    <t>614935M20AV</t>
  </si>
  <si>
    <t>CBHM5000 GR SS T M20 VM</t>
  </si>
  <si>
    <t>Carreta Hidráulica 5t (5m3) de Eixo Tandem - GRANELEIRA - VERMELHA - Molas, Freios e Pneus não Incluídos</t>
  </si>
  <si>
    <t>614935M20VM</t>
  </si>
  <si>
    <t>Carreta Hidráulica 5t (5m3) de Eixo Tandem - GRANELEIRA - C/ MANG MAIORES - Molas, Freios e Pneus não Incluídos</t>
  </si>
  <si>
    <t>614938M20</t>
  </si>
  <si>
    <t>CBHM5000 GR SS T MM M20 AN</t>
  </si>
  <si>
    <t>Carreta Hidráulica 5t (5m3) de Eixo Tandem - GRANELEIRA - C/ MANG MAIORES - AZUL - Molas, Freios e Pneus não Incluídos</t>
  </si>
  <si>
    <t>614938M20AN</t>
  </si>
  <si>
    <t>CBHM5000 GR SS T MM M20 AV</t>
  </si>
  <si>
    <t>Carreta Hidráulica 5t (5m3) de Eixo Tandem - GRANELEIRA - C/ MANG MAIORES - AMARELA - Molas, Freios e Pneus não Incluídos</t>
  </si>
  <si>
    <t>614938M20AV</t>
  </si>
  <si>
    <t>CBHM5000 GR SS T MM M20 VJ</t>
  </si>
  <si>
    <t>Carreta Hidráulica 5t (5m3) de Eixo Tandem - GRANELEIRA - C/ MANG MAIORES - VERDE - Molas, Freios e Pneus não Incluídos</t>
  </si>
  <si>
    <t>614938M20VJ</t>
  </si>
  <si>
    <t>CBHM5000 GR SS T MM M20 VM</t>
  </si>
  <si>
    <t>Carreta Hidráulica 5t (5m3) de Eixo Tandem - GRANELEIRA - C/ MANG MAIORES - VERMELHA - Molas, Freios e Pneus não Incluídos</t>
  </si>
  <si>
    <t>614938M20VM</t>
  </si>
  <si>
    <t>Carreta Hidráulica 5t (5m3) de Eixo Tandem - GRANELEIRA - C/ MANG MAIORES - PNEUS 750(I) - Molas e Freios não Incluídos+</t>
  </si>
  <si>
    <t>623198M20</t>
  </si>
  <si>
    <t>CBHM5000 GR SS T MM P750(I) M20 AV</t>
  </si>
  <si>
    <t>Carreta Hidráulica 5t (5m3) de Eixo Tandem - GRANELEIRA - C/ MANG MAIORES - AMARELA - PNEUS 750(I) - Molas e Freios não Incluídos</t>
  </si>
  <si>
    <t>623198M20AV</t>
  </si>
  <si>
    <t>CBHM5000 GR SS T MM P750(I) M20 VM</t>
  </si>
  <si>
    <t>Carreta Hidráulica 5t (5m3) de Eixo Tandem - GRANELEIRA - C/ MANG MAIORES - VERMELHA - PNEUS 750(I) - Molas e Freios não Incluídos</t>
  </si>
  <si>
    <t>623198M20VM</t>
  </si>
  <si>
    <t>CBHM5000 GR SS T P650(R) M20</t>
  </si>
  <si>
    <t>Carreta Hidráulica 5t (5m3) de Eixo Tandem - GRANELEIRA - C/ PNEUS 650(R) - Molas e Freios não Incluídos</t>
  </si>
  <si>
    <t>622754M20</t>
  </si>
  <si>
    <t>CBHM5000 GR SS T P650(R) M20 AV</t>
  </si>
  <si>
    <t>Carreta Hidráulica 5t (5m3) de Eixo Tandem - GRANELEIRA - C/ PNEUS 650(R) - AMARELA - Molas e Freios não Incluídos</t>
  </si>
  <si>
    <t>622754M20AV</t>
  </si>
  <si>
    <t>CBHM5000 GR SS T P650(R) M20 VJ</t>
  </si>
  <si>
    <t>Carreta Hidráulica 5t (5m3) de Eixo Tandem - GRANELEIRA - C/ PNEUS 650(R) - VERDE - Molas e Freios não Incluídos</t>
  </si>
  <si>
    <t>622754M20VJ</t>
  </si>
  <si>
    <t>Carreta Hidráulica 5t (5m3) de Eixo Tandem - GRANELEIRA - C/ PNEUS 700(R) - Molas e Freios não Incluídos</t>
  </si>
  <si>
    <t>623036M20</t>
  </si>
  <si>
    <t>Carreta Hidráulica 5t (5m3) de Eixo Tandem - GRANELEIRA - C/ PNEUS - Molas e Freios não Incluídos</t>
  </si>
  <si>
    <t>623132M20</t>
  </si>
  <si>
    <t>CBHM5000 GR SS T P750(I) M20 VJ</t>
  </si>
  <si>
    <t>Carreta Hidráulica 5t (5m3) de Eixo Tandem - GRANELEIRA - C/ PNEUS - VERDE - Molas e Freios não Incluídos</t>
  </si>
  <si>
    <t>623132M20VJ</t>
  </si>
  <si>
    <t>CBHM5000 GR SS T P750(I) M20 VM</t>
  </si>
  <si>
    <t>Carreta Hidráulica 5t (5m3) de Eixo Tandem - GRANELEIRA - C/ PNEUS - VERMELHA - Molas e Freios não Incluídos</t>
  </si>
  <si>
    <t>623132M20VM</t>
  </si>
  <si>
    <t>CBHM5000 GR SS T P750(R) M20</t>
  </si>
  <si>
    <t>Carreta Hidráulica 5t (5m3) de Eixo Tandem - GRANELEIRA - C/ PNEUS 750(R) - Molas e Freios não Incluídos</t>
  </si>
  <si>
    <t>622696M20</t>
  </si>
  <si>
    <t>Carreta Hidráulica (6m3) RD de 1 Eixo - CAFEEIRA - C/ FREIOS + ABAS LATERAIS + MANG MAIORES - Molas, Pneus não Incluídas</t>
  </si>
  <si>
    <t>623307M21</t>
  </si>
  <si>
    <t>CBHM6000 CA SC RD ABA MM M21 AN</t>
  </si>
  <si>
    <t>Carreta Hidráulica (6m3) RD de 1 Eixo - CAFEEIRA - C/ FREIOS + ABAS LATERAIS + MANG MAIORES - AZUL - Molas, Pneus não Incluídas</t>
  </si>
  <si>
    <t>623307M21AN</t>
  </si>
  <si>
    <t>CBHM6000 CA SC RD ABA MM M21 VM</t>
  </si>
  <si>
    <t>Carreta Hidráulica (6m3) RD de 1 Eixo - CAFEEIRA - C/ FREIOS + ABAS LATERAIS + MANG MAIORES - VERMELHA - Molas, Pneus não Incluídas</t>
  </si>
  <si>
    <t>623307M21VM</t>
  </si>
  <si>
    <t>CBHM6000 CA SC RD ABA MM P700(R) M21</t>
  </si>
  <si>
    <t>Carreta Hidráulica (6m3) RD de 1 Eixo - CAFEEIRA - C/ FREIOS + ABAS LATERAIS + MANG MAIORES + PNEUS 700(R) - Molas não Incluídas</t>
  </si>
  <si>
    <t>623070M21</t>
  </si>
  <si>
    <t>CBHM6000 CA SC RD ABA MM P700(R) M21 VJ</t>
  </si>
  <si>
    <t>Carreta Hidráulica (6m3) RD de 1 Eixo - CAFEEIRA - C/ FREIOS + ABAS LATERAIS + MANG MAIORES + PNEUS - VERDE - Molas não Incluídas</t>
  </si>
  <si>
    <t>623070M21VJ</t>
  </si>
  <si>
    <t>Carreta Hidráulica (6m3) RD de 1 Eixo - CAFEEIRA - C/ FREIOS + ABAS LATERAIS + MANG MAIORES + PNEUS - Molas não Incluídas</t>
  </si>
  <si>
    <t>623141M21</t>
  </si>
  <si>
    <t>CBHM6000 CA SC RD ABA MM P750(I) M21 VJ</t>
  </si>
  <si>
    <t>623141M21VJ</t>
  </si>
  <si>
    <t>CBHM6000 CA SC RD ABA MM P750(I) M21 VM</t>
  </si>
  <si>
    <t>Carreta Hidráulica (6m3) RD de 1 Eixo - CAFEEIRA - C/ FREIOS + ABAS LATERAIS + MANG MAIORES + PNEUS - VERMELHA - Molas não Incluídas</t>
  </si>
  <si>
    <t>623141M21VM</t>
  </si>
  <si>
    <t>Carreta Hidráulica (6m3) RD de 1 Eixo - CAFEEIRA - C/ FREIOS - Molas e Pneus não Incluídos</t>
  </si>
  <si>
    <t>CBHM6000 CA SC RD M21 AN</t>
  </si>
  <si>
    <t>Carreta Hidráulica (6m3) RD de 1 Eixo - CAFEEIRA - C/ FREIOS - AZUL - Molas e Pneus não Incluídos</t>
  </si>
  <si>
    <t>622578M21AN</t>
  </si>
  <si>
    <t>CBHM6000 CA SC RD M21 AV</t>
  </si>
  <si>
    <t>Carreta Hidráulica (6m3) RD de 1 Eixo - CAFEEIRA - C/ FREIOS - AMARELA - Molas e Pneus não Incluídos</t>
  </si>
  <si>
    <t>622578M21AV</t>
  </si>
  <si>
    <t>CBHM6000 CA SC RD M21 VJ</t>
  </si>
  <si>
    <t>Carreta Hidráulica (6m3) RD de 1 Eixo - CAFEEIRA - C/ FREIOS - VERDE - Molas e Pneus não Incluídos</t>
  </si>
  <si>
    <t>622578M21VJ</t>
  </si>
  <si>
    <t>CBHM6000 CA SC RD M21 VM</t>
  </si>
  <si>
    <t>Carreta Hidráulica (6m3) RD de 1 Eixo - CAFEEIRA - C/ FREIOS - VERMELHA - Molas e Pneus não Incluídos</t>
  </si>
  <si>
    <t>622578M21VM</t>
  </si>
  <si>
    <t>Carreta Hidráulica (6m3) RD de 1 Eixo - CAFEEIRA - C/ FREIOS + MANG MAIORES - Molas e Pneus não Incluídos</t>
  </si>
  <si>
    <t>622808M21</t>
  </si>
  <si>
    <t>CBHM6000 CA SC RD MM M21 AN</t>
  </si>
  <si>
    <t>Carreta Hidráulica (6m3) RD de 1 Eixo - CAFEEIRA - C/ FREIOS + MANG MAIORES - AZUL - Molas e Pneus não Incluídos</t>
  </si>
  <si>
    <t>622808M21AN</t>
  </si>
  <si>
    <t>CBHM6000 CA SC RD MM M21 AV</t>
  </si>
  <si>
    <t>Carreta Hidráulica (6m3) RD de 1 Eixo - CAFEEIRA - C/ FREIOS + MANG MAIORES - AMARELA - Molas e Pneus não Incluídos</t>
  </si>
  <si>
    <t>622808M21AV</t>
  </si>
  <si>
    <t>CBHM6000 CA SC RD MM M21 VJ</t>
  </si>
  <si>
    <t>Carreta Hidráulica (6m3) RD de 1 Eixo - CAFEEIRA - C/ FREIOS + MANG MAIORES - VERDE - Molas e Pneus não Incluídos</t>
  </si>
  <si>
    <t>622808M21VJ</t>
  </si>
  <si>
    <t>CBHM6000 CA SC RD MM M21 VM</t>
  </si>
  <si>
    <t>Carreta Hidráulica (6m3) RD de 1 Eixo - CAFEEIRA - C/ FREIOS + MANG MAIORES - VERMELHA - Molas e Pneus não Incluídos</t>
  </si>
  <si>
    <t>622808M21VM</t>
  </si>
  <si>
    <t>CBHM6000 CA SC RD MM P700(R) M21</t>
  </si>
  <si>
    <t>Carreta Hidráulica (6m3) RD de 1 Eixo - CAFEEIRA - C/ FREIOS + MANG MAIORES + PNEUS 700(R) - Molas não Incluídas</t>
  </si>
  <si>
    <t>622865M21</t>
  </si>
  <si>
    <t>CBHM6000 CA SC RD MM P700(R) M21 AN</t>
  </si>
  <si>
    <t>Carreta Hidráulica (6m3) RD de 1 Eixo - CAFEEIRA - C/ FREIOS + MANG MAIORES + PNEUS - AZUL - Molas não Incluídas</t>
  </si>
  <si>
    <t>622865M21AN</t>
  </si>
  <si>
    <t>CBHM6000 CA SC RD MM P700(R) M21 AV</t>
  </si>
  <si>
    <t>Carreta Hidráulica (6m3) RD de 1 Eixo - CAFEEIRA - C/ FREIOS + MANG MAIORES + PNEUS 700(R) - AMARELA - Molas não Incluídas</t>
  </si>
  <si>
    <t>622865M21AV</t>
  </si>
  <si>
    <t>CBHM6000 CA SC RD MM P700(R) M21 VJ</t>
  </si>
  <si>
    <t>Carreta Hidráulica (6m3) RD de 1 Eixo - CAFEEIRA - C/ FREIOS + MANG MAIORES + PNEUS - VERDE - Molas não Incluídas</t>
  </si>
  <si>
    <t>622865M21VJ</t>
  </si>
  <si>
    <t>CBHM6000 CA SC RD MM P700(R) M21 VM</t>
  </si>
  <si>
    <t>Carreta Hidráulica (6m3) RD de 1 Eixo - CAFEEIRA - C/ FREIOS + MANG MAIORES + PNEUS 700(R) - VERMELHA - Molas não Incluídas</t>
  </si>
  <si>
    <t>622865M21VM</t>
  </si>
  <si>
    <t>Carreta Hidráulica (6m3) RD de 1 Eixo - CAFEEIRA - C/ FREIOS + MANG MAIORES + PNEUS - Molas não Incluídas</t>
  </si>
  <si>
    <t>622925M21</t>
  </si>
  <si>
    <t>CBHM6000 CA SC RD MM P750(I) M21 AN</t>
  </si>
  <si>
    <t>622925M21AN</t>
  </si>
  <si>
    <t>CBHM6000 CA SC RD MM P750(I) M21 AV</t>
  </si>
  <si>
    <t>Carreta Hidráulica (6m3) RD de 1 Eixo - CAFEEIRA - C/ FREIOS + MANG MAIORES + PNEUS 750(I) - AMARELA - Molas não Incluídas</t>
  </si>
  <si>
    <t>622925M21AV</t>
  </si>
  <si>
    <t>CBHM6000 CA SC RD MM P750(I) M21 VM</t>
  </si>
  <si>
    <t>Carreta Hidráulica (6m3) RD de 1 Eixo - CAFEEIRA - C/ FREIOS + MANG MAIORES + PNEUS 750(I) - VERMELHA - Molas não Incluídas</t>
  </si>
  <si>
    <t>622925M21VM</t>
  </si>
  <si>
    <t>CBHM6000 CA SC RD MM P750(R) M21</t>
  </si>
  <si>
    <t>Carreta Hidráulica (6m3) RD de 1 Eixo - CAFEEIRA - C/ FREIOS + MANG MAIORES + PNEUS 750(R) - Molas não Incluídas</t>
  </si>
  <si>
    <t>622583M21</t>
  </si>
  <si>
    <t>CBHM6000 CA SC RD MM P750(R) M21 AV</t>
  </si>
  <si>
    <t>Carreta Hidráulica (6m3) RD de 1 Eixo - CAFEEIRA - C/ FREIOS + MANG MAIORES + PNEUS 750(R) - AMARELA - Molas não Incluídas</t>
  </si>
  <si>
    <t>622583M21AV</t>
  </si>
  <si>
    <t>CBHM6000 CA SC RD MM P750(R) M21 VJ</t>
  </si>
  <si>
    <t>Carreta Hidráulica (6m3) RD de 1 Eixo - CAFEEIRA - C/ FREIOS + MANG MAIORES + PNEUS 750(R) - VERDE - Molas não Incluídas</t>
  </si>
  <si>
    <t>622583M21VJ</t>
  </si>
  <si>
    <t>CBHM6000 CA SC RD MM P750(R) M21 VM</t>
  </si>
  <si>
    <t>Carreta Hidráulica (6m3) RD de 1 Eixo - CAFEEIRA - C/ FREIOS + MANG MAIORES + PNEUS 750(R) - VERMELHA - Molas não Incluídas</t>
  </si>
  <si>
    <t>622583M21VM</t>
  </si>
  <si>
    <t>CBHM6000 CA SC RD P650(R) M21 VJ</t>
  </si>
  <si>
    <t>Carreta Hidráulica (6m3) RD de 1 Eixo - CAFEEIRA - C/ FREIOS + PNEUS 650(R) - VERDE - Molas não Incluídas</t>
  </si>
  <si>
    <t>622582M21VJ</t>
  </si>
  <si>
    <t>CBHM6000 CA SC RD P700(R) M21</t>
  </si>
  <si>
    <t>Carreta Hidráulica (6m3) RD de 1 Eixo - CAFEEIRA - C/ FREIOS + PNEUS - Molas não Incluídas</t>
  </si>
  <si>
    <t>622733M21</t>
  </si>
  <si>
    <t>CBHM6000 CA SC RD P700(R) M21 AN</t>
  </si>
  <si>
    <t>Carreta Hidráulica (6m3) RD de 1 Eixo - CAFEEIRA - C/ FREIOS + PNEUS 700(R) - AZUL - Molas não Incluídas</t>
  </si>
  <si>
    <t>622733M21AN</t>
  </si>
  <si>
    <t>CBHM6000 CA SC RD P700(R) M21 AV</t>
  </si>
  <si>
    <t>Carreta Hidráulica (6m3) RD de 1 Eixo - CAFEEIRA - C/ FREIOS + PNEUS 700(R) - AMARELA - Molas não Incluídas</t>
  </si>
  <si>
    <t>622733M21AV</t>
  </si>
  <si>
    <t>623245M21</t>
  </si>
  <si>
    <t>CBHM6000 CA SC RD P750(I) M21 AN</t>
  </si>
  <si>
    <t>Carreta Hidráulica (6m3) RD de 1 Eixo - CAFEEIRA - C/ FREIOS + PNEUS - AZUL - Molas não Incluídas</t>
  </si>
  <si>
    <t>CBHM600</t>
  </si>
  <si>
    <t>CBHM6000 CA SC RD P750(R) M21 AV</t>
  </si>
  <si>
    <t>Carreta Hidráulica (6m3) RD de 1 Eixo - CAFEEIRA - C/ FREIOS + PNEUS 750(R) - AMARELA - Molas não Incluídas</t>
  </si>
  <si>
    <t>622591M21AV</t>
  </si>
  <si>
    <t>CBHM6000 CA SC RD P750(R) M21 VM</t>
  </si>
  <si>
    <t>Carreta Hidráulica (6m3) RD de 1 Eixo - CAFEEIRA - C/ FREIOS + PNEUS 750(R) - VERMELHA - Molas não Incluídas</t>
  </si>
  <si>
    <t>622591M21VM</t>
  </si>
  <si>
    <t>CBHM6000 CA SC RDC M21 AN</t>
  </si>
  <si>
    <t>Carreta Hidráulica (6m3) RDC de 1 Eixo - CAFEEIRA - C/ FREIOS - AZUL - Molas e Pneus não Incluídos</t>
  </si>
  <si>
    <t>623318M21AN</t>
  </si>
  <si>
    <t>CBHM6000 CA SC RDC MM M21 AN</t>
  </si>
  <si>
    <t>Carreta Hidráulica (6m3) RDC de 1 Eixo - CAFEEIRA - C/ FREIOS + MANG MAIORES - AZUL - Molas e Pneus não Incluídos</t>
  </si>
  <si>
    <t>623319M21AN</t>
  </si>
  <si>
    <t>CBHM6000 CA SC S-E S-R M21 AN</t>
  </si>
  <si>
    <t>Carreta Hidráulica (6m3) RD de 1 Eixo - CAFEEIRA - C/ FREIOS - SEM EIXO - SEM RODAS - AZUL - Molas e Pneus não Incluídos</t>
  </si>
  <si>
    <t>623268M21AN</t>
  </si>
  <si>
    <t>Carreta Hidráulica (6m3) de Eixo Tandem - CAFEEIRA - C/ FREIOS - Molas e Pneus não Incluídos</t>
  </si>
  <si>
    <t>CBHM6000 CA SC T M21 AN</t>
  </si>
  <si>
    <t>Carreta Hidráulica (6m3) de Eixo Tandem - CAFEEIRA - C/ FREIOS - AZUL - Molas e Pneus não Incluídos</t>
  </si>
  <si>
    <t>622580M21AN</t>
  </si>
  <si>
    <t>CBHM6000 CA SC T M21 VM</t>
  </si>
  <si>
    <t>Carreta Hidráulica (6m3) de Eixo Tandem - CAFEEIRA - C/ FREIOS - VERMELHA - Molas e Pneus não Incluídos</t>
  </si>
  <si>
    <t>622580M21VM</t>
  </si>
  <si>
    <t>Carreta Hidráulica (6m3) de Eixo Tandem - CAFEEIRA - C/ FREIOS + MANG MAIORES - Molas e Pneus não Incluídas</t>
  </si>
  <si>
    <t>622832M21</t>
  </si>
  <si>
    <t>CBHM6000 CA SC T MM M21 AN</t>
  </si>
  <si>
    <t>Carreta Hidráulica (6m3) de Eixo Tandem - CAFEEIRA - C/ FREIOS + MANG MAIORES - AZUL - Molas e Pneus não Incluídas</t>
  </si>
  <si>
    <t>622832M21AN</t>
  </si>
  <si>
    <t>CBHM6000 CA SC T MM M21 AV</t>
  </si>
  <si>
    <t>Carreta Hidráulica (6m3) de Eixo Tandem - CAFEEIRA - C/ FREIOS + MANG MAIORES - AMARELA - Molas e Pneus não Incluídas</t>
  </si>
  <si>
    <t>622832M21AV</t>
  </si>
  <si>
    <t>CBHM6000 CA SC T MM M21 VJ</t>
  </si>
  <si>
    <t>Carreta Hidráulica (6m3) de Eixo Tandem - CAFEEIRA - C/ FREIOS + MANG MAIORES - VERDE - Molas e Pneus não Incluídas</t>
  </si>
  <si>
    <t>622832M21VJ</t>
  </si>
  <si>
    <t>CBHM6000 CA SC T MM M21 VM</t>
  </si>
  <si>
    <t>Carreta Hidráulica (6m3) de Eixo Tandem - CAFEEIRA - C/ FREIOS + MANG MAIORES - VERMELHA - Molas e Pneus não Incluídas</t>
  </si>
  <si>
    <t>622832M21VM</t>
  </si>
  <si>
    <t>CBHM6000 CA SC T MM P700(R) M21 AV</t>
  </si>
  <si>
    <t>Carreta Hidráulica (6m3) de Eixo Tandem - CAFEEIRA - C/ FREIOS + MANG MAIORES - COM PNEUS - AMARELA - Molas não Incluídas</t>
  </si>
  <si>
    <t>623093M21AV</t>
  </si>
  <si>
    <t>Carreta Hidráulica (6m3) de Eixo Tandem - CAFEEIRA - C/ FREIOS + MANG MAIORES - C/ PNEUS 750(I) - Molas não Incluídas</t>
  </si>
  <si>
    <t>623094M21</t>
  </si>
  <si>
    <t>CBHM6000 CA SC T MM P750(I) M21 AV</t>
  </si>
  <si>
    <t>Carreta Hidráulica (6m3) de Eixo Tandem - CAFEEIRA - C/ FREIOS + MANG MAIORES - C/ PNEUS 750(I) - AMARELA - Molas não Incluídas</t>
  </si>
  <si>
    <t>623094M21AV</t>
  </si>
  <si>
    <t>CBHM6000 CA SC T MM P750(I) M21 VJ</t>
  </si>
  <si>
    <t>Carreta Hidráulica (6m3) de Eixo Tandem - CAFEEIRA - C/ FREIOS + MANG MAIORES - C/ PNEUS 750(I) - VERDE - Molas não Incluídas</t>
  </si>
  <si>
    <t>623094M21VJ</t>
  </si>
  <si>
    <t>CBHM6000 CA SC T MM P750(I) M21 VM</t>
  </si>
  <si>
    <t>Carreta Hidráulica (6m3) de Eixo Tandem - CAFEEIRA - C/ FREIOS + MANG MAIORES - C/ PNEUS 750(I) - VERMELHA - Molas não Incluídas</t>
  </si>
  <si>
    <t>623094M21VM</t>
  </si>
  <si>
    <t>Carreta Hidráulica (6m3) RD de 1 Eixo - CAFEEIRA - C/MANGUEIRAS MAIORES - C/ ABAS + PNEUS - Molas e Freios não Incluídos</t>
  </si>
  <si>
    <t>623254M21</t>
  </si>
  <si>
    <t>CBHM6000 CA SS RD ABA MM P750(I) M21 VM</t>
  </si>
  <si>
    <t>Carreta Hidráulica (6m3) RD de 1 Eixo - CAFEEIRA - C/MANGUEIRAS MAIORES - C/ ABAS + PNEUS - VERMELHA - Molas e Freios não Incluídos</t>
  </si>
  <si>
    <t>623254M21VM</t>
  </si>
  <si>
    <t>Carreta Hidráulica (6m3) RD de 1 Eixo - CAFEEIRA - C/ ABAS + PNEUS - Molas e Freios não Incluídos</t>
  </si>
  <si>
    <t>623197M21</t>
  </si>
  <si>
    <t>Carreta Hidráulica (6m3) RD de 1 Eixo - CAFEEIRA - Molas, Freios e Pneus não Incluídos</t>
  </si>
  <si>
    <t>CBHM6000 CA SS RD M21 AN</t>
  </si>
  <si>
    <t>Carreta Hidráulica (6m3) RD de 1 Eixo - CAFEEIRA - AZUL - Molas, Freios e Pneus não Incluídos</t>
  </si>
  <si>
    <t>622574M21AN</t>
  </si>
  <si>
    <t>CBHM6000 CA SS RD M21 AV</t>
  </si>
  <si>
    <t>Carreta Hidráulica (6m3) RD de 1 Eixo - CAFEEIRA - AMARELA - Molas, Freios e Pneus não Incluídos</t>
  </si>
  <si>
    <t>622574M21AV</t>
  </si>
  <si>
    <t>CBHM6000 CA SS RD M21 VJ</t>
  </si>
  <si>
    <t>Carreta Hidráulica (6m3) RD de 1 Eixo - CAFEEIRA - VERDE - Molas, Freios e Pneus não Incluídos</t>
  </si>
  <si>
    <t>622574M21VJ</t>
  </si>
  <si>
    <t>CBHM6000 CA SS RD M21 VM</t>
  </si>
  <si>
    <t>Carreta Hidráulica (6m3) RD de 1 Eixo - CAFEEIRA - VERMELHA - Molas, Freios e Pneus não Incluídos</t>
  </si>
  <si>
    <t>622574M21VM</t>
  </si>
  <si>
    <t>Carreta Hidráulica (6m3) RD de 1 Eixo - CAFEEIRA - C/ MANG MAIORES - Molas, Freios e Pneus não Incluídos</t>
  </si>
  <si>
    <t>622919M21</t>
  </si>
  <si>
    <t>CBHM6000 CA SS RD MM M21 AN</t>
  </si>
  <si>
    <t>Carreta Hidráulica (6m3) RD de 1 Eixo - CAFEEIRA - C/ MANG MAIORES - AZUL - Molas, Freios e Pneus não Incluídos</t>
  </si>
  <si>
    <t>622919M21AN</t>
  </si>
  <si>
    <t>CBHM6000 CA SS RD MM M21 AV</t>
  </si>
  <si>
    <t>Carreta Hidráulica (6m3) RD de 1 Eixo - CAFEEIRA - AMARELA - C/ MANG MAIORES - Molas, Freios e Pneus não Incluídos</t>
  </si>
  <si>
    <t>622919M21AV</t>
  </si>
  <si>
    <t>CBHM6000 CA SS RD MM M21 VJ</t>
  </si>
  <si>
    <t>Carreta Hidráulica (6m3) RD de 1 Eixo - CAFEEIRA - C/ MANG MAIORES - VERDE - Molas, Freios e Pneus não Incluídos</t>
  </si>
  <si>
    <t>622919M21VJ</t>
  </si>
  <si>
    <t>CBHM6000 CA SS RD MM M21 VM</t>
  </si>
  <si>
    <t>Carreta Hidráulica (6m3) RD de 1 Eixo - CAFEEIRA - C/ MANG MAIORES - VERMELHA - Molas, Freios e Pneus não Incluídos</t>
  </si>
  <si>
    <t>622919M21VM</t>
  </si>
  <si>
    <t>CBHM6000 CA SS RD MM P700(R) M21</t>
  </si>
  <si>
    <t>Carreta Hidráulica (6m3) RD de 1 Eixo - CAFEEIRA - C/ MANG MAIORES + PNEUS 700(R) - Molas e Freios Incluídos</t>
  </si>
  <si>
    <t>622979M21</t>
  </si>
  <si>
    <t>Carreta Hidráulica (6m3) RD de 1 Eixo - CAFEEIRA - C/ MANG. MAIORES + PNEUS - Molas e Freios não Incluídos</t>
  </si>
  <si>
    <t>622988M21</t>
  </si>
  <si>
    <t>CBHM6000 CA SS RD MM P750(I) M21 VM</t>
  </si>
  <si>
    <t>Carreta Hidráulica (6m3) RD de 1 Eixo - CAFEEIRA - C/ MANG. MAIORES + PNEUS 750(I) - VERMELHA - Molas e Freios não Incluídos</t>
  </si>
  <si>
    <t>622988M21VM</t>
  </si>
  <si>
    <t>CBHM6000 CA SS RD P650(R) M21 AV</t>
  </si>
  <si>
    <t>Carreta Hidráulica (6m3) RD de 1 Eixo - CAFEEIRA - C/ PNEUS 650(R) - AMARELA - Molas e Freios não Incluídos</t>
  </si>
  <si>
    <t>622575M21AV</t>
  </si>
  <si>
    <t>Carreta Hidráulica (6m3) RD de 1 Eixo - CAFEEIRA - C/ PNEUS - Molas e Freios não Incluídos</t>
  </si>
  <si>
    <t>623147M21</t>
  </si>
  <si>
    <t>CBHM6000 CA SS RD P750(I) M21 VM</t>
  </si>
  <si>
    <t>Carreta Hidráulica (6m3) RD de 1 Eixo - CAFEEIRA - C/ PNEUS - VERMELHA - Molas e Freios não Incluídos+</t>
  </si>
  <si>
    <t>623147M21VM</t>
  </si>
  <si>
    <t>CBHM6000 CA SS RD P750(R) M21</t>
  </si>
  <si>
    <t>Carreta Hidráulica (6m3) RD de 1 Eixo - CAFEEIRA - C/ PNEUS 750(R) - Molas e Freios não Incluídos</t>
  </si>
  <si>
    <t>622562M21</t>
  </si>
  <si>
    <t>CBHM6000 CA SS RD P750(R) M21 VJ</t>
  </si>
  <si>
    <t>Carreta Hidráulica (6m3) RD de 1 Eixo - CAFEEIRA - C/ PNEUS 750(R) - VERDE - Molas e Freios não Incluídos</t>
  </si>
  <si>
    <t>622562M21VJ</t>
  </si>
  <si>
    <t>CBHM6000 CA SS RDC MM M21 AN</t>
  </si>
  <si>
    <t>Carreta Hidráulica (6m3) RDC de 1 Eixo - CAFEEIRA - C/ MANG MAIORES - AZUL - Molas, Freios e Pneus não Incluídos</t>
  </si>
  <si>
    <t>623320M21AN</t>
  </si>
  <si>
    <t>Carreta Hidráulica (6m3) de Eixo Tandem - CAFEEIRA - Molas, Freios e Pneus não Incluídos</t>
  </si>
  <si>
    <t>Carreta Hidráulica (6m3) de Eixo Tandem - CAFEEIRA - C/ MANGUEIRAS MAIORES - Molas, Freios e Pneus não Incluídos</t>
  </si>
  <si>
    <t>622825M21</t>
  </si>
  <si>
    <t>CBHM6000 CA SS T MM M21 AN</t>
  </si>
  <si>
    <t>Carreta Hidráulica (6m3) de Eixo Tandem - CAFEEIRA - C/ MANGUEIRAS MAIORES - AZUL - Molas, Freios e Pneus não Incluídos</t>
  </si>
  <si>
    <t>622825M21AN</t>
  </si>
  <si>
    <t>CBHM6000 CA SS T MM M21 AV</t>
  </si>
  <si>
    <t>Carreta Hidráulica (6m3) de Eixo Tandem - CAFEEIRA - C/ MANGUEIRAS MAIORES - AMARELA - Molas, Freios e Pneus não Incluídos</t>
  </si>
  <si>
    <t>622825M21AV</t>
  </si>
  <si>
    <t>CBHM6000 CA SS T MM M21 VJ</t>
  </si>
  <si>
    <t>Carreta Hidráulica (6m3) de Eixo Tandem - CAFEEIRA - C/ MANGUEIRAS MAIORES - VERDE - Molas, Freios e Pneus não Incluídos</t>
  </si>
  <si>
    <t>622825M21VJ</t>
  </si>
  <si>
    <t>CBHM6000 CA SS T MM M21 VM</t>
  </si>
  <si>
    <t>Carreta Hidráulica (6m3) de Eixo Tandem - CAFEEIRA - C/ MANGUEIRAS MAIORES - VERMELHA - Molas, Freios e Pneus não Incluídos</t>
  </si>
  <si>
    <t>622825M21VM</t>
  </si>
  <si>
    <t>Carreta Hidráulica 7t (6m3) RD de 1 Eixo - USO GERAL - C/ FREIOS - Molas e Pneus não Incluídos</t>
  </si>
  <si>
    <t>CBHM6000 UG SC RD M17 AN</t>
  </si>
  <si>
    <t>Carreta Hidráulica 7t (6m3) RD de 1 Eixo - USO GERAL - C/ FREIOS - AZUL - Molas e Pneus não Incluídos</t>
  </si>
  <si>
    <t>619620M17AN</t>
  </si>
  <si>
    <t>CBHM6000 UG SC RD M17 AV</t>
  </si>
  <si>
    <t>Carreta Hidráulica 7t (6m3) RD de 1 Eixo - USO GERAL - C/ FREIOS - AMARELA - Molas e Pneus não Incluídos</t>
  </si>
  <si>
    <t>619620M17AV</t>
  </si>
  <si>
    <t>CBHM6000 UG SC RD M17 VJ</t>
  </si>
  <si>
    <t>Carreta Hidráulica 7t (6m3) RD de 1 Eixo - USO GERAL - C/ FREIOS - VERDE - Molas e Pneus não Incluídos</t>
  </si>
  <si>
    <t>619620M17VJ</t>
  </si>
  <si>
    <t>CBHM6000 UG SC RD M17 VM</t>
  </si>
  <si>
    <t>Carreta Hidráulica 7t (6m3) RD de 1 Eixo - USO GERAL - C/ FREIOS - VERMELHA - Molas e Pneus não Incluídos</t>
  </si>
  <si>
    <t>619620M17VM</t>
  </si>
  <si>
    <t>Carreta Hidráulica 7t (6m3) RD de 1 Eixo - USO GERAL - C/ FREIOS + MANG MAIORES - Molas e Pneus não Incluídos</t>
  </si>
  <si>
    <t>622845M17</t>
  </si>
  <si>
    <t>CBHM6000 UG SC RD MM M17 AV</t>
  </si>
  <si>
    <t>Carreta Hidráulica 7t (6m3) RD de 1 Eixo - USO GERAL - C/ FREIOS + MANG MAIORES - AMARELA - Molas e Pneus não Incluídos</t>
  </si>
  <si>
    <t>622845M17AV</t>
  </si>
  <si>
    <t>CBHM6000 UG SC RD MM M17 VJ</t>
  </si>
  <si>
    <t>Carreta Hidráulica 7t (6m3) RD de 1 Eixo - USO GERAL - C/ FREIOS + MANG MAIORES - VERDE - Molas e Pneus não Incluídos</t>
  </si>
  <si>
    <t>622845M17VJ</t>
  </si>
  <si>
    <t>CBHM6000 UG SC RD MM M17 VM</t>
  </si>
  <si>
    <t>Carreta Hidráulica 7t (6m3) RD de 1 Eixo - USO GERAL - C/ FREIOS + MANG MAIORES - VERMELHA - Molas e Pneus não Incluídos</t>
  </si>
  <si>
    <t>622845M17VM</t>
  </si>
  <si>
    <t>CBHM6000 UG SC RD MM P700(R) M17</t>
  </si>
  <si>
    <t>Carreta Hidráulica 7t (6m3) RD de 1 Eixo - USO GERAL - C/ FREIOS + MANG MAIORES + PNEUS - Molas não Incluídas</t>
  </si>
  <si>
    <t>622952M17</t>
  </si>
  <si>
    <t>CBHM6000 UG SC RD MM P700(R) M17 VJ</t>
  </si>
  <si>
    <t>Carreta Hidráulica 7t (6m3) RD de 1 Eixo - USO GERAL - C/ FREIOS + MANG MAIORES + PNEUS - VERDE - Molas não Incluídas</t>
  </si>
  <si>
    <t>622952M17VJ</t>
  </si>
  <si>
    <t>Carreta Hidráulica 7t (6m3) RD de 1 Eixo - USO GERAL - C/ FREIOS + MANG MAIORES + PNEUS - Molas não Incluídos</t>
  </si>
  <si>
    <t>623243M17</t>
  </si>
  <si>
    <t>CBHM6000 UG SC RD MM P750(I) M17 VJ</t>
  </si>
  <si>
    <t>Carreta Hidráulica 7t (6m3) RD de 1 Eixo - USO GERAL - C/ FREIOS + MANG MAIORES + PNEUS - VERDE - Molas não Incluídos</t>
  </si>
  <si>
    <t>623243M17VJ</t>
  </si>
  <si>
    <t>CBHM6000 UG SC RD MM P750(R) M17</t>
  </si>
  <si>
    <t>Carreta Hidráulica 7t (6m3) RD de 1 Eixo - USO GERAL - C/ FREIOS + MANG MAIORES + PNEUS 750(R) - Molas não Incluídas</t>
  </si>
  <si>
    <t>622957M17</t>
  </si>
  <si>
    <t>CBHM6000 UG SC RD MM P750(R) M17 AV</t>
  </si>
  <si>
    <t>Carreta Hidráulica 7t (6m3) RD de 1 Eixo - USO GERAL - C/ FREIOS + MANG MAIORES + PNEUS 750(R) - AMARELA - Molas não Incluídas</t>
  </si>
  <si>
    <t>622957M17AV</t>
  </si>
  <si>
    <t>CBHM6000 UG SC RD MM P750(R) M17+</t>
  </si>
  <si>
    <t>Carreta Hidráulica 7t (6m3) RD de 1 Eixo - USO GERAL - C/ FREIOS + MANG MAIORES + PNEUS 750(R) - Molas não Incluídas+</t>
  </si>
  <si>
    <t>622957M17+</t>
  </si>
  <si>
    <t>CBHM6000 UG SC RD P650(R) M17</t>
  </si>
  <si>
    <t>Carreta Hidráulica 7t (6m3) RD de 1 Eixo - USO GERAL - C/ FREIOS + PNEUS 650(R) - Molas não Incluídas</t>
  </si>
  <si>
    <t>622717M17</t>
  </si>
  <si>
    <t>Carreta Hidráulica 7t (6m3) RD de 1 Eixo - USO GERAL - C/ FREIOS + PNEUS - Molas não Incluídas</t>
  </si>
  <si>
    <t>623246M17</t>
  </si>
  <si>
    <t>Carreta Hidráulica 7t (6m3) RD de 1 Eixo - USO GERAL - Molas, Freios e Pneus não Incluídos</t>
  </si>
  <si>
    <t>CBHM6000 UG SS RD M17 AN</t>
  </si>
  <si>
    <t>Carreta Hidráulica 7t (6m3) RD de 1 Eixo - USO GERAL - AZUL - Molas, Freios e Pneus não Incluídos</t>
  </si>
  <si>
    <t>619553M17AN</t>
  </si>
  <si>
    <t>CBHM6000 UG SS RD M17 AV</t>
  </si>
  <si>
    <t>Carreta Hidráulica 7t (6m3) RD de 1 Eixo - USO GERAL - AMARELA - Molas, Freios e Pneus não Incluídos</t>
  </si>
  <si>
    <t>619553M17AV</t>
  </si>
  <si>
    <t>CBHM6000 UG SS RD M17 VJ</t>
  </si>
  <si>
    <t>Carreta Hidráulica 7t (6m3) RD de 1 Eixo - USO GERAL - VERDE - Molas, Freios e Pneus não Incluídos</t>
  </si>
  <si>
    <t>619553M17VJ</t>
  </si>
  <si>
    <t>CBHM6000 UG SS RD M17 VM</t>
  </si>
  <si>
    <t>Carreta Hidráulica 7t (6m3) RD de 1 Eixo - USO GERAL - VERMELHA - Molas, Freios e Pneus não Incluídos</t>
  </si>
  <si>
    <t>619553M17VM</t>
  </si>
  <si>
    <t>Carreta Hidráulica 7t (6m3) RD de 1 Eixo - USO GERAL - MANG MAIORES - Molas, Freios e Pneus não Incluídos+</t>
  </si>
  <si>
    <t>622962M17</t>
  </si>
  <si>
    <t>CBHM6000 UG SS RD MM M17 AV</t>
  </si>
  <si>
    <t>Carreta Hidráulica 7t (6m3) RD de 1 Eixo - USO GERAL - AMARELA - MANG MAIORES - Molas, Freios e Pneus não Incluídos</t>
  </si>
  <si>
    <t>622962M17AV</t>
  </si>
  <si>
    <t>CBHM6000 UG SS RD MM M17 VJ</t>
  </si>
  <si>
    <t>Carreta Hidráulica 7t (6m3) RD de 1 Eixo - USO GERAL - MANG MAIORES - VERDE - Molas, Freios e Pneus não Incluídos</t>
  </si>
  <si>
    <t>622962M17VJ</t>
  </si>
  <si>
    <t>CBHM6000 UG SS RD MM M17 VM</t>
  </si>
  <si>
    <t>622962M17VM</t>
  </si>
  <si>
    <t>Carreta Hidráulica 7t (6m3) RD de 1 Eixo - USO GERAL - C/ PNEUS - Molas e Freios não Incluídos</t>
  </si>
  <si>
    <t>623176M17</t>
  </si>
  <si>
    <t>CBHM6000 UG SS RD P750(I) M17 AN</t>
  </si>
  <si>
    <t>Carreta Hidráulica 7t (6m3) RD de 1 Eixo - USO GERAL - C/ PNEUS - AZUL - Molas e Freios não Incluídos</t>
  </si>
  <si>
    <t>623176M17AN</t>
  </si>
  <si>
    <t>CBHM6000 UG SS RD P750(R) M17</t>
  </si>
  <si>
    <t>Carreta Hidráulica 7t (6m3) RD de 1 Eixo - USO GERAL - C/ PNEUS 750(R) - Molas e Freios não Incluídos</t>
  </si>
  <si>
    <t>622672M17</t>
  </si>
  <si>
    <t>CBHM6000 UG SS RD P750(R) M17 AV</t>
  </si>
  <si>
    <t>Carreta Hidráulica 7t (6m3) RD de 1 Eixo - USO GERAL - C/ PNEUS 750(R) - AMARELA - Molas e Freios não Incluídos</t>
  </si>
  <si>
    <t>622672M17AV</t>
  </si>
  <si>
    <t>Carreta Hidráulica 7t (6m3) de Eixo Tandem - USO GERAL - Molas, Freios e Pneus não Incluídos</t>
  </si>
  <si>
    <t>CBHM6000 UG SS T M20 AN</t>
  </si>
  <si>
    <t>Carreta Hidráulica 7t (6m3) de Eixo Tandem - USO GERAL - AZUL - Molas, Freios e Pneus não Incluídos</t>
  </si>
  <si>
    <t>619622M20AN</t>
  </si>
  <si>
    <t>CBHM6000 UG SS T M20 VJ</t>
  </si>
  <si>
    <t>Carreta Hidráulica 7t (6m3) de Eixo Tandem - USO GERAL - VERDE - Molas, Freios e Pneus não Incluídos</t>
  </si>
  <si>
    <t>619622M20VJ</t>
  </si>
  <si>
    <t>Carreta Hidráulica 7t (6m3) de Eixo Tandem - USO GERAL - C/ MANG MAIORES - Molas, Freios e Pneus não Incluídos</t>
  </si>
  <si>
    <t>622913M20</t>
  </si>
  <si>
    <t>CBHM6000 UG SS T MM M20 AV</t>
  </si>
  <si>
    <t>Carreta Hidráulica 7t (6m3) de Eixo Tandem - USO GERAL - C/ MANG MAIORES - AMARELA - Molas, Freios e Pneus não Incluídos</t>
  </si>
  <si>
    <t>622913M20AV</t>
  </si>
  <si>
    <t>CBHM6000 UG SS T MM M20 VJ</t>
  </si>
  <si>
    <t>Carreta Hidráulica 7t (6m3) de Eixo Tandem - USO GERAL - C/ MANG MAIORES - VERDE - Molas, Freios e Pneus não Incluídos</t>
  </si>
  <si>
    <t>622913M20VJ</t>
  </si>
  <si>
    <t>CBHM6000 UG SS T MM M20 VM</t>
  </si>
  <si>
    <t>Carreta Hidráulica 7t (6m3) de Eixo Tandem - USO GERAL - C/ MANG MAIORES - VERMELHA - Molas, Freios e Pneus não Incluídos</t>
  </si>
  <si>
    <t>622913M20VM</t>
  </si>
  <si>
    <t>CBHM6000 UG SS T P700(R) M20</t>
  </si>
  <si>
    <t>Carreta Hidráulica 7t (6m3) de Eixo Tandem - USO GERAL - C/ PNEUS 700(R) - Molas e Freios não Incluídos</t>
  </si>
  <si>
    <t>623099M20</t>
  </si>
  <si>
    <t>CBHM6000 UG SS T P700(R) M20 AV</t>
  </si>
  <si>
    <t>Carreta Hidráulica 7t (6m3) de Eixo Tandem - USO GERAL - C/ PNEUS - AMARELA - Molas e Freios não Incluídos</t>
  </si>
  <si>
    <t>623099M20AV</t>
  </si>
  <si>
    <t>Carreta Hidráulica 7t (6m3) de Eixo Tandem - USO GERAL - C/ PNEUS - Molas e Freios não Incluídos</t>
  </si>
  <si>
    <t>623090M20</t>
  </si>
  <si>
    <t>CBHM6000 UG SS T P750(I) M20 AV</t>
  </si>
  <si>
    <t>Carreta Hidráulica 7t (6m3) de Eixo Tandem - USO GERAL - C/ PNEUS 750(I) - AMARELA - Molas e Freios não Incluídos</t>
  </si>
  <si>
    <t>623090M20AV</t>
  </si>
  <si>
    <t>Carreta Hidráulica 7t (6m3) de Eixo Tandem - USO GERAL - RODA 15,5" - Molas, Freios e Pneus não Incluídos</t>
  </si>
  <si>
    <t>Carreta Hidráulica 7t (6m3) de Eixo Tandem - USO GERAL - RODA 15,5" - PNEUS 400/60 - Molas e Freios não Incluídos</t>
  </si>
  <si>
    <t>623285M20</t>
  </si>
  <si>
    <t>CBHM6000-2E SS RS/RD CB M17</t>
  </si>
  <si>
    <t>Carreta Hidráulica 6t (6m3) RS/RD de 2 Eixos - USO GERAL - COMBOIO - Molas, Freios e Pneus não Incluídos</t>
  </si>
  <si>
    <t>623258M22</t>
  </si>
  <si>
    <t>CBHM6000-2E SS RS/RD CB M17 AN</t>
  </si>
  <si>
    <t>Carreta Hidráulica 6t (6m3) RS/RD de 2 Eixos - USO GERAL - COMBOIO - AZUL - Molas, Freios e Pneus não Incluídos</t>
  </si>
  <si>
    <t>623258M22AN</t>
  </si>
  <si>
    <t>Carreta Hidráulica 6t (6m3) RS/RD de 2 Eixos - USO GERAL - Molas, Freios e Pneus não Incluídos</t>
  </si>
  <si>
    <t>CBHM6000-2E SS RS/RD M17 AN</t>
  </si>
  <si>
    <t>Carreta Hidráulica 6t (6m3) RS/RD de 2 Eixos - USO GERAL - AZUL - Molas, Freios e Pneus não Incluídos</t>
  </si>
  <si>
    <t>621898M17AN</t>
  </si>
  <si>
    <t>CBHM6000-2E SS RS/RD M17 AV</t>
  </si>
  <si>
    <t>Carreta Hidráulica 6t (6m3) RS/RD de 2 Eixos - USO GERAL - AMARELA - Molas, Freios e Pneus não Incluídos</t>
  </si>
  <si>
    <t>621898M17AV</t>
  </si>
  <si>
    <t>CBHM6000-2E SS RS/RD M17 VJ</t>
  </si>
  <si>
    <t>Carreta Hidráulica 6t (6m3) RS/RD de 2 Eixos - USO GERAL - VERDE - Molas, Freios e Pneus não Incluídos</t>
  </si>
  <si>
    <t>621898M17VJ</t>
  </si>
  <si>
    <t>CBHM6000-2E SS RS/RD M17 VM</t>
  </si>
  <si>
    <t>Carreta Hidráulica 6t (6m3) RS/RD de 2 Eixos - USO GERAL - VERMELHA - Molas, Freios e Pneus não Incluídos</t>
  </si>
  <si>
    <t>621898M17VM</t>
  </si>
  <si>
    <t>CBHM6000-2E SS RS/RD P700(R) M17</t>
  </si>
  <si>
    <t>Carreta Hidráulica 6t (6m3) RS/RD de 2 Eixos – USO GERAL - C/ PNEUS 700(R) - Molas e Freios não Incluídos</t>
  </si>
  <si>
    <t>622788M17</t>
  </si>
  <si>
    <t>CBHM6000-2E SS RS/RD P700(R) M17 VM</t>
  </si>
  <si>
    <t>Carreta Hidráulica 6t (6m3) RS/RD de 2 Eixos – USO GERAL - VERMELHA - C/ PNEUS - Molas e Freios não Incluídos</t>
  </si>
  <si>
    <t>622788M17VM</t>
  </si>
  <si>
    <t>Carreta Hidráulica 6t (6m3) RS/RD de 2 Eixos - USO GERAL - C/ PNEUS - Molas e Freios não Incluídos</t>
  </si>
  <si>
    <t>622967M17</t>
  </si>
  <si>
    <t>CBHM6000-2E SS RS/RD P750(I) M17 PE VM</t>
  </si>
  <si>
    <t>Carreta Hidráulica 6t (6m3) RS/RD de 2 Eixos - USO GERAL - C/ PNEUS 750(I) - VERMELHA - C PONTA ESPECIAL - Molas e Freios não Incluídos</t>
  </si>
  <si>
    <t>622967M17PEVM</t>
  </si>
  <si>
    <t>CBHM6000-2E SS RS/RD P750(I) M17 VJ</t>
  </si>
  <si>
    <t>Carreta Hidráulica 6t (6m3) RS/RD de 2 Eixos - USO GERAL - C/ PNEUS 750(I) - VERDE - Molas e Freios não Incluídos</t>
  </si>
  <si>
    <t>622967M17VJ</t>
  </si>
  <si>
    <t>CBHM6000-2E SS RS/RD P750(I) M17 VM</t>
  </si>
  <si>
    <t>Carreta Hidráulica 6t (6m3) RS/RD de 2 Eixos - USO GERAL - C/ PNEUS 750(I) - VERMELHA - Molas e Freios não Incluídos</t>
  </si>
  <si>
    <t>622967M17VM</t>
  </si>
  <si>
    <t>CBHM6000-2E SS RS/RD P750(R) M17</t>
  </si>
  <si>
    <t>Carreta Hidráulica 6t (6m3) RS/RD de 2 Eixos - USO GERAL - C/ PNEUS 750(R) - Molas e Freios não Incluídos</t>
  </si>
  <si>
    <t>621902M17</t>
  </si>
  <si>
    <t>CBHM6000-2E SS RS/RD P750(R) M17 VJ</t>
  </si>
  <si>
    <t>Carreta Hidráulica 6t (6m3) RS/RD de 2 Eixos - USO GERAL - C/ PNEUS 750(R) - VERDE - Molas e Freios não Incluídos</t>
  </si>
  <si>
    <t>621902M17VJ</t>
  </si>
  <si>
    <t>Carreta Hidráulica 6t (6m3) RS/RS de 2 Eixos - USO GERAL - Molas, Freios e Pneus não Incluídos</t>
  </si>
  <si>
    <t>CBHM6000-2E SS RS/RS M17 AV</t>
  </si>
  <si>
    <t>Carreta Hidráulica 6t (6m3) RS/RS de 2 Eixos - USO GERAL - AMARELA - Molas, Freios e Pneus não Incluídos</t>
  </si>
  <si>
    <t>621899M17AV</t>
  </si>
  <si>
    <t>CBHM6000-2E SS RS/RS M17 VJ</t>
  </si>
  <si>
    <t>Carreta Hidráulica 6t (6m3) RS/RS de 2 Eixos - USO GERAL - VERDE - Molas, Freios e Pneus não Incluídos</t>
  </si>
  <si>
    <t>621899M17VJ</t>
  </si>
  <si>
    <t>CBHM6000-2E SS RS/RS M17 VM</t>
  </si>
  <si>
    <t>Carreta Hidráulica 6t (6m3) RS/RS de 2 Eixos - USO GERAL - VERMELHA - Molas, Freios e Pneus não Incluídos</t>
  </si>
  <si>
    <t>621899M17VM</t>
  </si>
  <si>
    <t>CBHM6000-2E SS RS/RS P700(R) M17</t>
  </si>
  <si>
    <t>Carreta Hidráulica 6t (6m3) RS/RS de 2 Eixos - USO GERAL - C/ PNEUS 700(R) - Molas e Freios não Incluídos</t>
  </si>
  <si>
    <t>622598M17</t>
  </si>
  <si>
    <t>CBHM6000-2E SS RS/RS P700(R) M17 VJ</t>
  </si>
  <si>
    <t>Carreta Hidráulica 6t (6m3) RS/RS de 2 Eixos - USO GERAL - C/ PNEUS 700(R) - VERDE - Molas e Freios não Incluídos</t>
  </si>
  <si>
    <t>622598M17VJ</t>
  </si>
  <si>
    <t>Carreta Hidráulica 6t (6m3) RS/RS de 2 Eixos - USO GERAL - C/ PNEUS - Molas e Freios não Incluídos</t>
  </si>
  <si>
    <t>622944M17</t>
  </si>
  <si>
    <t>CBHM6000-2E SS RS/RS P750(I) M17 AN</t>
  </si>
  <si>
    <t>Carreta Hidráulica 6t (6m3) RS/RS de 2 Eixos - USO GERAL - C/ PNEUS - AZUL - Molas e Freios não Incluídos</t>
  </si>
  <si>
    <t>622944M17AN</t>
  </si>
  <si>
    <t>CBHM6000-2E SS RS/RS P750(I) M17 AN PE</t>
  </si>
  <si>
    <t>Carreta Hidráulica 6t (6m3) RS/RS de 2 Eixos - USO GERAL - C/ PNEUS - AZUL -  C PONTA ESPECIAL - Molas e Freios não Incluídos</t>
  </si>
  <si>
    <t>622944M17ANPE</t>
  </si>
  <si>
    <t>CBHM6000-2E SS RS/RS P750(I) M17 VJ</t>
  </si>
  <si>
    <t>Carreta Hidráulica 6t (6m3) RS/RS de 2 Eixos - USO GERAL - C/ PNEUS - VERDE - Molas e Freios não Incluídos</t>
  </si>
  <si>
    <t>622944M17VJ</t>
  </si>
  <si>
    <t>CBHM6000-2E SS RS/RS P750(I) M17 VM</t>
  </si>
  <si>
    <t>Carreta Hidráulica 6t (6m3) RS/RS de 2 Eixos - USO GERAL - C/ PNEUS - VERMELHA - Molas e Freios não Incluídos</t>
  </si>
  <si>
    <t>622944M17VM</t>
  </si>
  <si>
    <t>CBHM6000-2E SS RS/RS P750(R) M17</t>
  </si>
  <si>
    <t>Carreta Hidráulica 6t (6m3) RS/RS de 2 Eixos - USO GERAL - C/ PNEUS 750(R) - Molas e Freios não Incluídos</t>
  </si>
  <si>
    <t>621934M17</t>
  </si>
  <si>
    <t>CBHM6000-2E SS RS/RS P750(R) M17 AN</t>
  </si>
  <si>
    <t>Carreta Hidráulica 6t (6m3) RS/RS de 2 Eixos - USO GERAL - C/ PNEUS 750(R) - AZUL - Molas e Freios não Incluídos</t>
  </si>
  <si>
    <t>621934M17AN</t>
  </si>
  <si>
    <t>CBHM6000-2E SS RS/RS P750(R) M17 VJ</t>
  </si>
  <si>
    <t>Carreta Hidráulica 6t (6m3) RS/RS de 2 Eixos - USO GERAL - C/ PNEUS 750(R) - VERDE - Molas e Freios não Incluídos</t>
  </si>
  <si>
    <t>621934M17VJ</t>
  </si>
  <si>
    <t>CBHM6000-2E SS RS/RS P750(R) M17 VM</t>
  </si>
  <si>
    <t>Carreta Hidráulica 6t (6m3) RS/RS de 2 Eixos - USO GERAL - C/ PNEUS 750(R) - VERMELHA - Molas e Freios não Incluídos</t>
  </si>
  <si>
    <t>621934M17VM</t>
  </si>
  <si>
    <t>Carreta Hidráulica 6t (6m3) RS/RS de 2 Eixos - USO GERAL - RODA 15,5" - Molas, Freios e Pneus não Incluídos</t>
  </si>
  <si>
    <t>Carreta Hidráulica 6t (6m3) RS/RS de 2 Eixos - USO GERAL - RODA 15,5" - PNEUS 400/60 - Molas e Freios não Incluídos</t>
  </si>
  <si>
    <t>623283M17</t>
  </si>
  <si>
    <t>Carreta Hidráulica 6t (6m3) RS/T de 2 Eixos - USO GERAL - Pneus, Molas e Freios não Incluídos</t>
  </si>
  <si>
    <t>Carreta Hidráulica 6t (6m3) RS/T de 2 Eixos - USO GERAL - PNEUS 750(I) - Molas e Freios não Incluídos</t>
  </si>
  <si>
    <t>623103M20</t>
  </si>
  <si>
    <t>CBHM6000-2E SS RS/T P750(R) M20</t>
  </si>
  <si>
    <t>Carreta Hidráulica 6t (6m3) RS/T de 2 Eixos - USO GERAL - PNEUS 750(R) - Molas e Freios não Incluídos</t>
  </si>
  <si>
    <t>623097M20</t>
  </si>
  <si>
    <t>CBHM6000P-2E SS RS/RD P700(R) M17</t>
  </si>
  <si>
    <t>Carreta Hidráulica 7t (6m3) RS/RD de 2 Eixos – USO GERAL - C/ PNEUS - Molas e Freios não Incluídos</t>
  </si>
  <si>
    <t>623115M17</t>
  </si>
  <si>
    <t>CBHM6000P-2E SS RS/RD P700(R) M17 VM</t>
  </si>
  <si>
    <t>Carreta Hidráulica 7t (6m3) RS/RD de 2 Eixos – USO GERAL - C/ PNEUS - VERMELHA - Molas e Freios não Incluídos</t>
  </si>
  <si>
    <t>623115M17VM</t>
  </si>
  <si>
    <t>CBHM6000P-2E SS RS/RD P750(I) M17 VM</t>
  </si>
  <si>
    <t>Carreta Hidráulica 7t (6m3) RS/RD de 2 Eixos – USO GERAL - C/ PNEUS 750(I) - VERMELHA - Molas e Freios não Incluídos</t>
  </si>
  <si>
    <t>623118M17VM</t>
  </si>
  <si>
    <t>CBHM8000 6T SS T M20</t>
  </si>
  <si>
    <t>Carreta Hidráulica 6t (8m3) Tandem de 1 Eixo – FORRAGEIRO - Molas, Freios e Pneus não Incluídos</t>
  </si>
  <si>
    <t>623272M20</t>
  </si>
  <si>
    <t>CBHM8000 CC RD M17</t>
  </si>
  <si>
    <t>Carreta Hidráulica 5t (8m3) RD de 1 Eixo - FORRAGEIRO - C/ MOLAS + FREIOS - Pneus não Incluídos</t>
  </si>
  <si>
    <t>620108M17</t>
  </si>
  <si>
    <t>Carreta Hidráulica 5t (8m3) RD de 1 Eixo - FORRAGEIRO - C/ MOLAS -Freios e Pneus não Incluídos</t>
  </si>
  <si>
    <t>Carreta Hidráulica 5t (8m3) RD de 1 Eixo - FORRAGEIRO - C/ FREIOS + BASE P/ ENSILADEIRA - Molas e Pneus não Incluídos</t>
  </si>
  <si>
    <t>CBHM8000 SC RD BE M17 AN</t>
  </si>
  <si>
    <t>Carreta Hidráulica 5t (8m3) RD de 1 Eixo - FORRAGEIRO - C/ FREIOS + BASE P/ ENSILADEIRA - AZUL - Molas e Pneus não Incluídos</t>
  </si>
  <si>
    <t>622692M17AN</t>
  </si>
  <si>
    <t>Carreta Hidráulica 5t (8m3) RD de 1 Eixo - FORRAGEIRO - C/ FREIOS -Molas e Pneus não Incluídos</t>
  </si>
  <si>
    <t>CBHM8000 SC RD MM M17 VJ</t>
  </si>
  <si>
    <t>Carreta Hidráulica 5t (8m3) RD de 1 Eixo - FORRAGEIRO - C/ FREIOS - VERDE - C/ MANGUEIRAS MAIORES - Molas e Pneus não Incluídos</t>
  </si>
  <si>
    <t>623225M17VJ</t>
  </si>
  <si>
    <t>Carreta Hidráulica 5t (8m3) RD de 1 Eixo - FORRAGEIRO - Molas, Freios e Pneus não Incluídos</t>
  </si>
  <si>
    <t>Carreta Hidráulica 5t (8m3) RD de 1 Eixo - FORRAGEIRO - C/ MANG MAIORES - Molas, Freios e Pneus não Incluídos</t>
  </si>
  <si>
    <t>623174M17</t>
  </si>
  <si>
    <t>CBHM8000 SS RD MM M17 AN</t>
  </si>
  <si>
    <t>Carreta Hidráulica 5t (8m3) RD de 1 Eixo - FORRAGEIRO - C/ MANG MAIORES - AZUL - Molas, Freios e Pneus não Incluídos</t>
  </si>
  <si>
    <t>623174M17AN</t>
  </si>
  <si>
    <t>CBHM8000 SS RD MM M17 PE VM</t>
  </si>
  <si>
    <t>Carreta Hidráulica 5t (8m3) RD de 1 Eixo - FORRAGEIRO - C/ MANG MAIORES - C PONTA ESPECIAL - VERMELHA - Molas, Freios e Pneus não Incluídos</t>
  </si>
  <si>
    <t>623174M17PEVM</t>
  </si>
  <si>
    <t>CBHM8000 SS RD MM M17 VM</t>
  </si>
  <si>
    <t>Carreta Hidráulica 5t (8m3) RD de 1 Eixo - FORRAGEIRO - C/ MANG MAIORES - VERMELHA - Molas, Freios e Pneus não Incluídos</t>
  </si>
  <si>
    <t>623174M17VM</t>
  </si>
  <si>
    <t>CBHM8000 SS RD P650(R) M17</t>
  </si>
  <si>
    <t>Carreta Hidráulica 5t (8m3) RD de 1 Eixo - FORRAGEIRO - C/ PNEUS 650(R) - Molas, Freios e Pneus não Incluídos</t>
  </si>
  <si>
    <t>622371M17</t>
  </si>
  <si>
    <t>CBHM8000 SS RD P700(R) M17</t>
  </si>
  <si>
    <t>Carreta Hidráulica 5t (8m3) RD de 1 Eixo - FORRAGEIRA - C/ PNEUS - Molas e Freios não Incluídos</t>
  </si>
  <si>
    <t>623055M17</t>
  </si>
  <si>
    <t>Carreta Hidráulica 5t (8m3) RD de 1 Eixo - FORRAGEIRA - C/ PNEUS 750(I) - Molas e Freios não Incluídos</t>
  </si>
  <si>
    <t>623227M17</t>
  </si>
  <si>
    <t>CBHM8000 SS RD P750(I) M17 VJ</t>
  </si>
  <si>
    <t>Carreta Hidráulica 5t (8m3) RD de 1 Eixo - FORRAGEIRA - C/ PNEUS 750(I) - VERDE - Molas e Freios não Incluídos</t>
  </si>
  <si>
    <t>623227M17VJ</t>
  </si>
  <si>
    <t>Carreta Hidráulica 5t (8m3) Tandem de 1 Eixo – FORRAGEIRO - Molas, Freios e Pneus não Incluídos</t>
  </si>
  <si>
    <t>Chassi Com Rodas Para Carreta de Madeira Fixa 4t de 2 Eixos - C/ MOLAS - Pneus e Freios não incluídos</t>
  </si>
  <si>
    <t>CHASSI F4 CS M22</t>
  </si>
  <si>
    <t>619336M22</t>
  </si>
  <si>
    <t>Chassi Com Rodas Para Carreta de Madeira Fixa 4t de 2 Eixos - Molas, Pneus e Freios não incluídos</t>
  </si>
  <si>
    <t>CHASSI F4 SS M22</t>
  </si>
  <si>
    <t>610045M22</t>
  </si>
  <si>
    <t>Chassi Com Rodas Para Carreta de Madeira Fixa 6t de 2 Eixos - C/ MOLAS - Pneus e Freios não incluídos</t>
  </si>
  <si>
    <t>Chassi Com Rodas Para Carreta de Madeira Fixa 6t de 2 Eixos - Molas, Pneus e Freios não incluídos</t>
  </si>
  <si>
    <t>CHASSI F6B SS RS/RD M17</t>
  </si>
  <si>
    <t>Chassi Com Rodas Para Carreta Básica 6t de 2 Eixos RS/RD -  Molas, Pneus e Freios não incluídos</t>
  </si>
  <si>
    <t>623266M17</t>
  </si>
  <si>
    <t>CHASSI FA5 SS M23</t>
  </si>
  <si>
    <t>Chassi Com Rodas Para Carreta Metal Fixa 5t de Eixo Tandem - Molas, Pneus e Freios não incluídos</t>
  </si>
  <si>
    <t>623294M23</t>
  </si>
  <si>
    <t>CHASSI FTC4300 CS IÇL M22</t>
  </si>
  <si>
    <t>Chassi Com Rodas Para Carreta Tanque 4t de 2 Eixos - IÇAMENTO LONGO - C/ MOLAS - Pneus e Freios não incluídos</t>
  </si>
  <si>
    <t>610062M22</t>
  </si>
  <si>
    <t>CHASSI FTC4300 CS M22</t>
  </si>
  <si>
    <t>Chassi Com Rodas Para Carreta Tanque 4t de 2 Eixos - C/ MOLAS - Pneus e Freios não incluídos</t>
  </si>
  <si>
    <t>623050M22</t>
  </si>
  <si>
    <t>CHASSI FTC4300 SS IÇL M22</t>
  </si>
  <si>
    <t>Chassi Com Rodas Para Carreta Tanque 4t de 2 Eixos - IÇAMENTO LONG - Molas, Pneus e Freios não incluídos</t>
  </si>
  <si>
    <t>610060M22</t>
  </si>
  <si>
    <t>CHASSI FTC4300 SS M22</t>
  </si>
  <si>
    <t>Chassi Com Rodas Para Carreta Tanque 4t de 2 Eixos - Molas, Pneus e Freios não incluídos</t>
  </si>
  <si>
    <t>623049M22</t>
  </si>
  <si>
    <t>CHASSI FTC6500 CC M17</t>
  </si>
  <si>
    <t>Chassi Com Rodas Para Carreta Tanque 6t de 2 Eixos - IÇAMENTO LONGO - C/ MOLA - C/ FREIO - Pneus não incluídos</t>
  </si>
  <si>
    <t>623129M17</t>
  </si>
  <si>
    <t>CHASSI FTC6500 SS M17</t>
  </si>
  <si>
    <t>Chassi Com Rodas Para Carreta Tanque 6t de 2 Eixos - IÇAMENTO LONGO - Molas, Pneus e Freios não incluídos</t>
  </si>
  <si>
    <t>610083M17</t>
  </si>
  <si>
    <t>CHASSI FTC6500 SS M17 RT</t>
  </si>
  <si>
    <t>Chassi Com Rodas Para Carreta Tanque 6t de 2 Eixos - IÇAMENTO LONGO - RODAS TANDEM - Molas, Pneus e Freios não incluídos</t>
  </si>
  <si>
    <t>610083M17RT</t>
  </si>
  <si>
    <t>CHASSI FTC6500 SS RS/RD M17</t>
  </si>
  <si>
    <t>Chassi Com Rodas Para Carreta Tanque 6t de 2 Eixos RS/RD -  Molas, Pneus e Freios não incluídos</t>
  </si>
  <si>
    <t>622331M17</t>
  </si>
  <si>
    <t>CHASSI FTC6500 SS RS/RS RF M17</t>
  </si>
  <si>
    <t>Chassi Com Rodas Para Carreta Tanque 6t de 2 Eixos RS/RF -  Molas, Pneus e Freios não incluídos+</t>
  </si>
  <si>
    <t>622331M17+</t>
  </si>
  <si>
    <t>CHASSI FTC6500-1E SS RD M17</t>
  </si>
  <si>
    <t>Chassi Com Rodas Para Carreta Tanque 6t de 1 Eixo RD - IÇAMENTO LONGO - Molas, Pneus e Freios não incluídos</t>
  </si>
  <si>
    <t>623228M17</t>
  </si>
  <si>
    <t>Carreta Madeira Fixa 4t RS/RS de 2 Eixos - ALT 45 - MAD NAVAL - C/ MOLAS - Freios e Pneus não Incluídos</t>
  </si>
  <si>
    <t>F4 CS RS/RS A45 M23</t>
  </si>
  <si>
    <t>622422M23</t>
  </si>
  <si>
    <t>Carreta Metálica Fixa 4t RS/RS de 2 Eixos - ALT 45 - C/ MOLAS - Freios e Pneus não Incluídos+</t>
  </si>
  <si>
    <t>F4 CS RS/RS A45 MT M22 VM</t>
  </si>
  <si>
    <t>Carreta Metálica Fixa 4t RS/RS de 2 Eixos - ALT 45 - C/ MOLAS - VERMELHA - Freios e Pneus não Incluídos</t>
  </si>
  <si>
    <t>623092M22VM</t>
  </si>
  <si>
    <t>Carreta Metálica Fixa 4t RS/RS de 2 Eixos - ALT 45 - C/ MOLAS + PNEUS - Freios não Incluídos+</t>
  </si>
  <si>
    <t>623144M22</t>
  </si>
  <si>
    <t>Carreta Madeira Fixa 4t RS/RS de 2 Eixos - ALT 45 - MAD NAVAL - C/ MOLAS + PNEUS - Freios não Incluídos</t>
  </si>
  <si>
    <t>623178M22</t>
  </si>
  <si>
    <t>F4 CS RS/RS A45 P750(I) M23</t>
  </si>
  <si>
    <t>623178M23</t>
  </si>
  <si>
    <t>Carreta Madeira Fixa 4t RS/RS de 2 Eixos – ALT 60 - MAD NAVAL - C/ MOLAS - Freios e Pneus não Incluídos</t>
  </si>
  <si>
    <t>F4 CS RS/RS A60 M23</t>
  </si>
  <si>
    <t>622427M23</t>
  </si>
  <si>
    <t>Carreta Madeira Fixa 4t RS/RS de 2 Eixos - ALT 90 - MAD NAVAL - C/ MOLAS - Freios e Pneus não Incluídos</t>
  </si>
  <si>
    <t>F4 CS RS/RS A90 M23</t>
  </si>
  <si>
    <t>622445M23</t>
  </si>
  <si>
    <t>Carreta Metálica Fixa 4t RS/RS de 2 Eixos - ALT 90 - C/ MOLAS - Freios e Pneus não Incluídos</t>
  </si>
  <si>
    <t>Carreta Metálica Fixa 4t RS/RS de 2 Eixos - ALT 90 - C/ MOLAS + PNEUS - Freios não Incluídos</t>
  </si>
  <si>
    <t>623192M22</t>
  </si>
  <si>
    <t>Carreta Madeira Fixa 4t RS/RS de 2 Eixos - ALT 45 - MAD NAVAL -  Molas, Freios e Pneus não Incluídos</t>
  </si>
  <si>
    <t>F4 SS RS/RS A45 M23</t>
  </si>
  <si>
    <t>622420M23</t>
  </si>
  <si>
    <t>Carreta Metálica Fixa 4t RS/RS de 2 Eixos – ALT 45 - Molas, Freios e Pneus não Incluídos</t>
  </si>
  <si>
    <t>F4 SS RS/RS A45 MT M22 AV</t>
  </si>
  <si>
    <t>Carreta Metálica Fixa 4t RS/RS de 2 Eixos – ALT 45 - AMARELA - Molas, Freios e Pneus não Incluídos</t>
  </si>
  <si>
    <t>622387M22AV</t>
  </si>
  <si>
    <t>Carreta Metálica Fixa 4t RS/RS de 2 Eixos – ALT 45 - C/ PNEUS -  Molas e Freios não Incluídos</t>
  </si>
  <si>
    <t>623157M22</t>
  </si>
  <si>
    <t>Carreta Madeira Fixa 4t RS/RS de 2 Eixos - ALT 45 - MAD NAVAL -  C/ PNEUS - Molas e Freios não Incluídos</t>
  </si>
  <si>
    <t>622987M22</t>
  </si>
  <si>
    <t>F4 SS RS/RS A45 P750(I) M23</t>
  </si>
  <si>
    <t>622987M23</t>
  </si>
  <si>
    <t>Carreta Madeira Fixa 4t RS/RS de 2 Eixos - MAD NAVAL - ALT 60 - Molas, Freios e Pneus não Incluídos</t>
  </si>
  <si>
    <t>F4 SS RS/RS A60 M23</t>
  </si>
  <si>
    <t>622421M23</t>
  </si>
  <si>
    <t>Carreta Madeira Fixa 4t RS/RS de 2 Eixos - MAD NAVAL - ALT 60 - PNEUS 750(I) - Molas, Freios não Incluídos</t>
  </si>
  <si>
    <t>623230M22</t>
  </si>
  <si>
    <t>623230M23</t>
  </si>
  <si>
    <t>Carreta Madeira Fixa 4t RS/RS de 2 Eixos - ALT 90 - MAD NAVAL -  C/ COMBOIO - Molas, Freios e Pneus não Incluídos</t>
  </si>
  <si>
    <t>623105M22</t>
  </si>
  <si>
    <t>F4 SS RS/RS A90 CB M23</t>
  </si>
  <si>
    <t>623105M23</t>
  </si>
  <si>
    <t>Carreta Madeira Fixa 4t RS/RS de 2 Eixos - ALT 90 - MAD NAVAL -  C/ COMBOIO - PNEUS 750(I) - Molas, Freios não Incluídos</t>
  </si>
  <si>
    <t>623211M22</t>
  </si>
  <si>
    <t>F4 SS RS/RS A90 CB P750(I) M23</t>
  </si>
  <si>
    <t>623211M23</t>
  </si>
  <si>
    <t>Carreta Madeira Fixa 4t RS/RS de 2 Eixos - ALT 90 - MAD NAVAL - Molas, Freios e Pneus não Incluídos</t>
  </si>
  <si>
    <t>F4 SS RS/RS A90 M23</t>
  </si>
  <si>
    <t>622444M23</t>
  </si>
  <si>
    <t>Carreta Metálica Fixa 4t RS/RS de 2 Eixos – ALT 90 - Molas, Freios e Pneus não Incluídos</t>
  </si>
  <si>
    <t>Carreta Madeira Fixa 6t RS/RS de 2 Eixos - ALT 45 - MAD NAVAL - C/ MOLAS + COMBOIO - Freios e Pneus não Incluídos</t>
  </si>
  <si>
    <t>622502M22</t>
  </si>
  <si>
    <t>F6 CS RS/RS A45 CB M23</t>
  </si>
  <si>
    <t>622502M23</t>
  </si>
  <si>
    <t>Carreta Madeira Fixa 6t RS/RS de 2 Eixos - ALT 45 - MAD NAVAL - C/ MOLAS + COMBOIO + PNEUS 750(I) - Freios não Incluídos</t>
  </si>
  <si>
    <t>623089M22</t>
  </si>
  <si>
    <t>F6 CS RS/RS A45 CB P750(I) M23</t>
  </si>
  <si>
    <t>623089M23</t>
  </si>
  <si>
    <t>Carreta Madeira Fixa 6t RS/RS de 2 Eixos - ALT 45 - MAD NAVAL - C/ MOLAS - Freios e Pneus não Incluídos</t>
  </si>
  <si>
    <t>F6 CS RS/RS A45 M23</t>
  </si>
  <si>
    <t>622425M23</t>
  </si>
  <si>
    <t>Carreta Metálica Fixa 6t RS/RS de 2 Eixos - ALT 45 - C/ MOLAS + COMBOIO - Freios e Pneus não Incluídos</t>
  </si>
  <si>
    <t>623066M22</t>
  </si>
  <si>
    <t>Carreta Metálica Fixa 6t RS/RS de 2 Eixos - ALT 45 - C/ MOLAS - Freios e Pneus não Incluídos</t>
  </si>
  <si>
    <t>F6 CS RS/RS A45 MT M22 VM</t>
  </si>
  <si>
    <t>Carreta Metálica Fixa 6t RS/RS de 2 Eixos - ALT 45 - C/ MOLAS - VERMELHA - Freios e Pneus não Incluídos</t>
  </si>
  <si>
    <t>622366M22VM</t>
  </si>
  <si>
    <t>F6 CS RS/RS A45 P700(R) M22 RT</t>
  </si>
  <si>
    <t>Carreta Madeira Fixa 6t RS/RS de 2 Eixos - ALT 45 - COMP. NAVAL - C/ MOLAS + PNEUS 700(R) - Freios não Incluídos</t>
  </si>
  <si>
    <t>622797M22RT</t>
  </si>
  <si>
    <t>Carreta Madeira Fixa 6t RS/RS de 2 Eixos - Comp Naval - ALT 45 - C/ MOLAS + PNEUS - Freios não Incluídos</t>
  </si>
  <si>
    <t>623102M22</t>
  </si>
  <si>
    <t>F6 CS RS/RS A45 P750(I) M23</t>
  </si>
  <si>
    <t>623102M23</t>
  </si>
  <si>
    <t>Carreta Madeira Fixa 6t RS/RS de 2 Eixos – ALT 60 - MAD NAVAL - C/ MOLAS - Freios e Pneus não Incluídos</t>
  </si>
  <si>
    <t>F6 CS RS/RS A60 M23</t>
  </si>
  <si>
    <t>622426M23</t>
  </si>
  <si>
    <t>Carreta Metálica Fixa 6t RS/RS de 2 Eixos - ALT 60 - C/ MOLAS - Freios e Pneus não Incluídos</t>
  </si>
  <si>
    <t>F6 CS RS/RS A60 P750(i) M23</t>
  </si>
  <si>
    <t>Carreta Madeira Fixa 6t RS/RS de 2 Eixos – ALT 60 - MAD NAVAL - C/ MOLAS - C/ PNEUS - Freios não Incluídos</t>
  </si>
  <si>
    <t>623298M23</t>
  </si>
  <si>
    <t>Carreta Madeira Fixa 6t RS/RS de 2 Eixos - ALT 90 - MAD NAVAL - C/ MOLAS + COMBOIO + PNEUS - Freios não Incluídos</t>
  </si>
  <si>
    <t>623175M22</t>
  </si>
  <si>
    <t>F6 CS RS/RS A90 CB P750(I) M23</t>
  </si>
  <si>
    <t>623175M23</t>
  </si>
  <si>
    <t>Carreta Madeira Fixa 6t RS/RS de 2 Eixos - ALT 90 - COMP NAVAL - C/ MOLAS - Freios e Pneus não Incluídos</t>
  </si>
  <si>
    <t>F6 CS RS/RS A90 M23</t>
  </si>
  <si>
    <t>622443M23</t>
  </si>
  <si>
    <t>Carreta Metálica Fixa 6t RS/RS de 2 Eixos - ALT 90 - C/ MOLAS - Freios e Pneus não Incluídos</t>
  </si>
  <si>
    <t>Carreta Metálica Fixa 6t RS/RS de 2 Eixos - ALT 90 - C/ MOLAS - C/PNEUS 750(I) - Freios não Incluídos</t>
  </si>
  <si>
    <t>623200M22</t>
  </si>
  <si>
    <t>Carreta Madeira Fixa 6t RS/RS de 2 Eixos -  ALT 90 - MAD NAVAL - C/ MOLAS + PNEUS - Freios não Incluídos</t>
  </si>
  <si>
    <t>623136M22</t>
  </si>
  <si>
    <t>F6 CS RS/RS A90 P750(I) M23</t>
  </si>
  <si>
    <t>623136M23</t>
  </si>
  <si>
    <t>Carreta Madeira Fixa 6t RS/RS de 2 Eixos  - ALT 45 - MAD NAVAL - Molas, Freios e Pneus não Incluídos</t>
  </si>
  <si>
    <t>F6 SS RS/RS A45 M22 RT</t>
  </si>
  <si>
    <t>Carreta Madeira Fixa 6t RS/RS de 2 Eixos com Roda Tandem - Comp. Naval - ALT 45 - Molas, Freios e Pneus não Incluídos</t>
  </si>
  <si>
    <t>622423M22RT</t>
  </si>
  <si>
    <t>F6 SS RS/RS A45 M23</t>
  </si>
  <si>
    <t>622423M23</t>
  </si>
  <si>
    <t>Carreta Metálica Fixa 6t RS/RS de 2 Eixos – ALT 45 - Molas, Freios e Pneus não Incluídos</t>
  </si>
  <si>
    <t>F6 SS RS/RS A45 MT M22 AN</t>
  </si>
  <si>
    <t>Carreta Metálica Fixa 6t RS/RS de 2 Eixos – ALT 45 - AZUL - Molas, Freios e Pneus não Incluídos</t>
  </si>
  <si>
    <t>623065M22AN</t>
  </si>
  <si>
    <t>F6 SS RS/RS A45 MT M22 AV</t>
  </si>
  <si>
    <t>Carreta Metálica Fixa 6t RS/RS de 2 Eixos – ALT 45 - AMARELA - Molas, Freios e Pneus não Incluídos</t>
  </si>
  <si>
    <t>623065M22AV</t>
  </si>
  <si>
    <t>Carreta Metálica Fixa 6t RS/RS de 2 Eixos – ALT 45  - C/ PNEUS - Molas, Freios não Incluídos</t>
  </si>
  <si>
    <t>623273M22</t>
  </si>
  <si>
    <t>Carreta Madeira Fixa 6t RS/RS de 2 Eixos - ALT 45 - MAD NAVAL -  C/ PNEUS - Molas e Freios não Incluídos</t>
  </si>
  <si>
    <t>622953M22</t>
  </si>
  <si>
    <t>F6 SS RS/RS A45 P750(I) M23</t>
  </si>
  <si>
    <t>622953M23</t>
  </si>
  <si>
    <t>Carreta Madeira Fixa 6t RS/RS de 2 Eixos - ALT 60 - MAD NAVAL - Molas, Freios e Pneus não Incluídos</t>
  </si>
  <si>
    <t>F6 SS RS/RS A60 M23</t>
  </si>
  <si>
    <t>622424M23</t>
  </si>
  <si>
    <t>Carreta Madeira Fixa 6t RS/RS de 2 Eixos - ALT 60 - MAD NAVAL -  C/ PNEUS - Molas e Freios não Incluídos</t>
  </si>
  <si>
    <t>623172M22</t>
  </si>
  <si>
    <t>F6 SS RS/RS A60 P750(I) M23</t>
  </si>
  <si>
    <t>623172M23</t>
  </si>
  <si>
    <t>Carreta Madeira Fixa 6t RS/RS de 2 Eixos - ALT 90 - MAD NAVAL -  Molas, Freios e Pneus não Incluídos</t>
  </si>
  <si>
    <t>F6 SS RS/RS A90 M23</t>
  </si>
  <si>
    <t>622446M23</t>
  </si>
  <si>
    <t>Carreta Metálica Fixa 6t RS/RS de 2 Eixos – ALT 90 - Molas, Freios e Pneus não Incluídos</t>
  </si>
  <si>
    <t>Carreta Madeira Fixa 6t RS/RD de 2 Eixos – PLATAFORMA - Molas, Freios e Pneus não Incluídos</t>
  </si>
  <si>
    <t>Carreta Madeira Fixa 6t RS/RD de 2 Eixos - PLATAFORMA - C/ PNEUS - Molas e Freios não Incluídos</t>
  </si>
  <si>
    <t>623088M22</t>
  </si>
  <si>
    <t>F6B SS RS/RD P750(R) M22</t>
  </si>
  <si>
    <t>Carreta Madeira Fixa 6t RS/RD de 2 Eixos - PLATAFORMA - C/ PNEUS 750(R) - Molas e Freios não Incluídos</t>
  </si>
  <si>
    <t>622480M22</t>
  </si>
  <si>
    <t>Carreta Madeira Fixa 6t RS/RS de 2 Eixos - PLATAFORMA - C/ BITOLA 2M + COMBOIO - Molas, Freios e Pneus não Incluídos</t>
  </si>
  <si>
    <t>Carreta Madeira Fixa 6t RS/RS de 2 Eixos - PLATAFORMA - MAD NAVAL - C/ BITOLA 2M + COMBOIO - Molas, Freios e Pneus não Incluídos</t>
  </si>
  <si>
    <t>Carreta Madeira Fixa 6t RS/RS de 2 Eixos - PLATAFORMA - C/ COMBOIO - Molas, Freios e Pneus não Incluídos</t>
  </si>
  <si>
    <t>Carreta Madeira Fixa 6t RS/RS de 2 Eixos - PLATAFORMA - MAD NAVAL - C/ COMBOIO - Molas, Freios e Pneus não Incluídos</t>
  </si>
  <si>
    <t>Carreta Madeira Fixa 6t RS/RS de 2 Eixos - PLATAFORMA - C/ COMBOIO + PNEUS - Molas e Freios não Incluídos</t>
  </si>
  <si>
    <t>623154M22</t>
  </si>
  <si>
    <t>Carreta Madeira Fixa 6t RS/RS de 2 Eixos - PLATAFORMA - Molas, Freios e Pneus não Incluídos</t>
  </si>
  <si>
    <t>623155M22</t>
  </si>
  <si>
    <t>Carreta Madeira Fixa 6t RS/RS de 2 Eixos - PLATAFORMA - PNEUS - Molas e Freios não Incluídos</t>
  </si>
  <si>
    <t>623156M22</t>
  </si>
  <si>
    <t>Carreta Metal Fixa 2t de Eixo Tandem - PLATAFORMA - Molas, Freios e Pneus não Incluídos</t>
  </si>
  <si>
    <t>FA2 SS T M23 VM</t>
  </si>
  <si>
    <t>Carreta Metal Fixa 2t de Eixo Tandem - PLATAFORMA - VERMELHA - Molas, Freios e Pneus não Incluídos</t>
  </si>
  <si>
    <t>622688M23VM</t>
  </si>
  <si>
    <t>Carreta Metal Fixa 2t de Eixo Tandem - PLATAFORMA - C/ PNEUS 175(R) - Molas, Freios e Pneus não Incluídos</t>
  </si>
  <si>
    <t>622789M23</t>
  </si>
  <si>
    <t>Carreta Metal Fixa Adensada 2t de Eixo Tandem - PLATAFORMA - Molas, Freios e Pneus não Incluídos</t>
  </si>
  <si>
    <t>FA2A SS T M23 AN</t>
  </si>
  <si>
    <t>Carreta Metal Fixa Adensada 2t de Eixo Tandem - PLATAFORMA - AZUL - Molas, Freios e Pneus não Incluídos</t>
  </si>
  <si>
    <t>623098M23AN</t>
  </si>
  <si>
    <t>FA2A SS T M23 VJ</t>
  </si>
  <si>
    <t>Carreta Metal Fixa Adensada 2t de Eixo Tandem - PLATAFORMA - VERDE - Molas, Freios e Pneus não Incluídos</t>
  </si>
  <si>
    <t>623098M23VJ</t>
  </si>
  <si>
    <t>FA2A SS T M23 VM</t>
  </si>
  <si>
    <t>Carreta Metal Fixa Adensada 2t de Eixo Tandem - PLATAFORMA - VERMELHA - Molas, Freios e Pneus não Incluídos+</t>
  </si>
  <si>
    <t>623098M23VM</t>
  </si>
  <si>
    <t>Carreta Metal Fixa Adensada 2t de Eixo Tandem - PLATAFORMA - C/ PNEUS - Molas e Freios não Incluídos</t>
  </si>
  <si>
    <t>623153M23</t>
  </si>
  <si>
    <t>Carreta Madeira Fixa Basculante 4t RD de 1 Eixo - ALT 45 - MAD NAVAL - C/ FREIOS - Molas e Pneus não Incluídos</t>
  </si>
  <si>
    <t>623329M22</t>
  </si>
  <si>
    <t>Carreta Madeira Fixa Basculante 4t RD de 1 Eixo - ALT 45 - MAD NAVAL - C/ FREIOS + PNEUS - Molas e Freios não Incluídos</t>
  </si>
  <si>
    <t>623180M22</t>
  </si>
  <si>
    <t>FA4 FB SC RD A45 P750(I) M23</t>
  </si>
  <si>
    <t>623180M23</t>
  </si>
  <si>
    <t>Carreta Madeira Fixa Basculante 4t RS de 1 Eixo - ALT 45 - MAD NAVAL - C/ FREIOS - Pneus, Molas e Freios não Incluídos</t>
  </si>
  <si>
    <t>623330M22</t>
  </si>
  <si>
    <t>Carreta Madeira Fixa Basculante 4t RS de 1 Eixo - ALT 45 - MAD NAVAL - C/ FREIOS + PNEUS - Molas e Freios não Incluídos</t>
  </si>
  <si>
    <t>623181M22</t>
  </si>
  <si>
    <t>FA4 FB SC RS A45 P750(I) M23</t>
  </si>
  <si>
    <t>623181M23</t>
  </si>
  <si>
    <t>Carreta Madeira Fixa Basculante 4t RS de 1 Eixo - ALT 60 - MAD NAVAL - C/ FREIOS - Pneus, Molas e Freios não Incluídos</t>
  </si>
  <si>
    <t>623331M22</t>
  </si>
  <si>
    <t>Carreta Madeira Fixa Basculante 4t RS de 1 Eixo - ALT 60 - MAD NAVAL - C/ FREIOS + PNEUS - Molas e Freios não Incluídos</t>
  </si>
  <si>
    <t>623182M22</t>
  </si>
  <si>
    <t>FA4 FB SC RS A60 P750(I) M23</t>
  </si>
  <si>
    <t>623182M23</t>
  </si>
  <si>
    <t>Carreta Madeira Fixa Basculante 4t RD de 1 Eixo - ALT 45 - MAD NAVAL - Molas, Freios e Pneus não Incluídos</t>
  </si>
  <si>
    <t>622454M23</t>
  </si>
  <si>
    <t>Carreta Madeira Fixa Basculante 4t RD de 1 Eixo - ALT 45 -  PNEUS 750(I) - Molas e Freios não Incluídos+</t>
  </si>
  <si>
    <t>623126M22</t>
  </si>
  <si>
    <t>FA4 FB SS RD A45 P750(I) M23</t>
  </si>
  <si>
    <t>Carreta Madeira Fixa Basculante 4t RD de 1 Eixo - ALT 45 -  PNEUS 750(I) - Molas e Freios não Incluídos</t>
  </si>
  <si>
    <t>623126M23</t>
  </si>
  <si>
    <t>Carreta Madeira Fixa Basculante 4t RD de 1 Eixo – ALT 60 - MAD NAVAL - Molas, Freios e Pneus não Incluídos+</t>
  </si>
  <si>
    <t>Carreta Madeira Fixa Basculante 4t RD de 1 Eixo – ALT 60 - MAD NAVAL - Molas, Freios e Pneus não Incluídos</t>
  </si>
  <si>
    <t>622455M23</t>
  </si>
  <si>
    <t>Carreta Madeira Fixa Basculante 4t RD de 1 Eixo – ALT 90 - MAD NAVAL - Molas, Freios e Pneus não Incluídos+</t>
  </si>
  <si>
    <t>Carreta Madeira Fixa Basculante 4t RD de 1 Eixo – ALT 90 - MAD NAVAL - Molas, Freios e Pneus não Incluídos</t>
  </si>
  <si>
    <t>622456M23</t>
  </si>
  <si>
    <t>Carreta Madeira Fixa Basculante 4t RD de 1 Eixo – ALT 90 - MAD NAVAL - C/ PNEUS - Molas e Freios não Incluídos</t>
  </si>
  <si>
    <t>623295M22</t>
  </si>
  <si>
    <t>Carreta Madeira Fixa Basculante 4t RS de 1 Eixo - ALT 45 - MAD NAVAL - Molas, Freios e Pneus não Incluídos</t>
  </si>
  <si>
    <t>622451M23</t>
  </si>
  <si>
    <t>Carreta Madeira Fixa Basculante 4t RS de 1 Eixo - ALT 45 - MAD NAVAL - C/ PNEUS - Molas e Freios não Incluídos</t>
  </si>
  <si>
    <t>623183M22</t>
  </si>
  <si>
    <t>FA4 FB SS RS A45 P750(I) M23</t>
  </si>
  <si>
    <t>623183M23</t>
  </si>
  <si>
    <t>Carreta Madeira Fixa Basculante 4t RS de 1 Eixo – ALT 60 - MAD NAVAL - Molas, Freios e Pneus não Incluídos</t>
  </si>
  <si>
    <t>622452M23</t>
  </si>
  <si>
    <t>Carreta Madeira Fixa Basculante 4t RS de 1 Eixo - ALT 60 - C/ PNEUS - Molas e Freios não Incluídos+</t>
  </si>
  <si>
    <t>623184M22</t>
  </si>
  <si>
    <t>FA4 FB SS RS A60 P750(I) M23</t>
  </si>
  <si>
    <t>Carreta Madeira Fixa Basculante 4t RS de 1 Eixo - ALT 60 - C/ PNEUS - Molas e Freios não Incluídos</t>
  </si>
  <si>
    <t>623184M23</t>
  </si>
  <si>
    <t>Carreta Madeira Fixa Basculante 4t RS de 1 Eixo – ALT 90 - MAD NAVAL - Molas, Freios e Pneus não Incluídos</t>
  </si>
  <si>
    <t>FA4 FB SS RS A90 M23</t>
  </si>
  <si>
    <t>622453M23</t>
  </si>
  <si>
    <t>Carreta Madeira Fixa 4t RS de 1 Eixo – ALT 90 - MAD NAVAL - PNEUS 750(I) - Molas, Freios não Incluídos</t>
  </si>
  <si>
    <t>623212M22</t>
  </si>
  <si>
    <t>FA4 SS RS A90 P750(I) M23</t>
  </si>
  <si>
    <t>623212M23</t>
  </si>
  <si>
    <t>Carreta Metal Fixa 5t de Eixo Tandem - PLATAFORMA - Piso Antiderrapante -  Molas, Freios e Pneus não Incluídos</t>
  </si>
  <si>
    <t>Carreta Metal Fixa 5t de Eixo Tandem - PLATAFORMA - Piso Antiderrapante - C/ PNEUS -  Molas, Freios não Incluídos</t>
  </si>
  <si>
    <t>623300M23</t>
  </si>
  <si>
    <t>Carreta Metal Fixa 5t de Eixo Tandem - PLATAFORMA -  Molas, Freios e Pneus não Incluídos</t>
  </si>
  <si>
    <t>623293M23</t>
  </si>
  <si>
    <t>Carreta Madeira Fixa 6t RD de 1 Eixo - C/ FREIO - ALT 45 - MAD NAVAL - Molas e Pneus não Incluídos</t>
  </si>
  <si>
    <t>Carreta Madeira Fixa 6t RD de 1 Eixo - ALT 45 - MAD NAVAL - Molas, Freios e Pneus não Incluídos</t>
  </si>
  <si>
    <t>622661M23</t>
  </si>
  <si>
    <t>Carreta Madeira Fixa 6t RD de 1 Eixo - ALT 45 - MAD NAVAL - PNEUS 750(I) - Molas, Freios não Incluídos</t>
  </si>
  <si>
    <t>623231M22</t>
  </si>
  <si>
    <t>FA6 SS RD A45 P750(I) M23</t>
  </si>
  <si>
    <t>623231M23</t>
  </si>
  <si>
    <t>Carreta Madeira Fixa 6t RD de 1 Eixo - ALT 90 - MAD NAVAL - Molas, Freios e Pneus não Incluídos</t>
  </si>
  <si>
    <t>623223M23</t>
  </si>
  <si>
    <t>Carreta Madeira Fixa 6t de Eixo Tandem – ALT 45 - MAD NAVAL - Molas ,Freios e Pneus não Incluídos</t>
  </si>
  <si>
    <t>622981M23</t>
  </si>
  <si>
    <t>Carreta Madeira Fixa 6t de Eixo Tandem – ALT 45 - MAD NAVAL - C/ PNEUS - Molas, Freios não Incluídos</t>
  </si>
  <si>
    <t>623267M22</t>
  </si>
  <si>
    <t>FA6 SS T A45 P750(I) M23</t>
  </si>
  <si>
    <t>623267M23</t>
  </si>
  <si>
    <t>Carreta Madeira Fixa 6t de Eixo Tandem – ALT 90 - MAD NAVAL - Molas ,Freios e Pneus não Incluídos</t>
  </si>
  <si>
    <t>623005M23</t>
  </si>
  <si>
    <t>Carreta Metálica Fixa 6t de Eixo Tandem - PLATAFORMA - Molas, Pneus e Freios não Incluídos</t>
  </si>
  <si>
    <t>FA6F SS T M22 VM</t>
  </si>
  <si>
    <t>Carreta Metálica Fixa 6t de Eixo Tandem - PLATAFORMA - VERMELHA - Molas, Pneus e Freios não Incluídos</t>
  </si>
  <si>
    <t>623134M22VM</t>
  </si>
  <si>
    <t>Carreta Metálica Fixa 6t de Eixo Tandem - PLATAFORMA - C/ PNEUS 750(I) - Molas e Freios não Incluídos</t>
  </si>
  <si>
    <t>622993M22</t>
  </si>
  <si>
    <t>FA6F SS T P750(I) M22 VJ</t>
  </si>
  <si>
    <t>Carreta Metálica Fixa 6t de Eixo Tandem - PLATAFORMA - C/ PNEUS 750(I) - VERDE - Molas e Freios não Incluídos</t>
  </si>
  <si>
    <t>622993M22VJ</t>
  </si>
  <si>
    <t>Carreta Tanque (10500L) de Eixo Tandem de 1 Eixo – TANQUE - BOMBA (MANG. 6m) + KIT BOMBEIRO - Molas, Freios e Pneus não Incluídos</t>
  </si>
  <si>
    <t>623164M22</t>
  </si>
  <si>
    <t>Carreta Tanque (10500L) de Eixo Tandem de 1 Eixo – TANQUE - BOMBA (MANG. 6m) + KIT BOMBEIRO - C/ PNEUS - Molas e Freios não Incluídos</t>
  </si>
  <si>
    <t>623169M22</t>
  </si>
  <si>
    <t>Carreta Tanque (10500L) de Eixo Tandem de 1 Eixo – TANQUE - Molas, Freios e Pneus não Incluídos</t>
  </si>
  <si>
    <t>Carreta Tanque (10500L) de Eixo Tandem de 1 Eixo - ARO 20" – TANQUE - Molas, Freios e Pneus não Incluídos</t>
  </si>
  <si>
    <t>Carreta Tanque (10500L) de 2 Eixos - TANQUE - RODA 20" + BOMBA (MANG. 6m) + KIT BOMBEIRO + BANDEJA - Molas, Freios e Pneus não Incluídos</t>
  </si>
  <si>
    <t>623335M23</t>
  </si>
  <si>
    <t>Carreta Tanque (10500L) de 2 Eixos - TANQUE - RODA 20" + BOMBA (MANG. 6m) + KIT BOMBEIRO - Molas, Freios e Pneus não Incluídos</t>
  </si>
  <si>
    <t>623276M23</t>
  </si>
  <si>
    <t>Carreta Tanque (10500L) de 2 Eixos – TANQUE - RODA 20" - Molas e Freios não Incluídos</t>
  </si>
  <si>
    <t>623240M23</t>
  </si>
  <si>
    <t>fora de linha Carreta Tanque (10500L) de 2 Eixos – TANQUE + BOMBA (MANG. 6m) + KIT BOMBEIRO - Molas e Freios não Incluídos</t>
  </si>
  <si>
    <t>623276M22</t>
  </si>
  <si>
    <t>fora de linha Carreta Tanque (10500L) de 2 Eixos – TANQUE + BOMBA (MANG. 6m) + KIT BOMBEIRO + PNEUS 900 - Molas e Freios não Incluídos</t>
  </si>
  <si>
    <t>623277M22</t>
  </si>
  <si>
    <t>fora de linha Carreta Tanque (10500L) de 2 Eixos – TANQUE - Molas e Freios não Incluídos</t>
  </si>
  <si>
    <t>623240M22</t>
  </si>
  <si>
    <t>Carreta Tanque (10500L) de 2 Eixos - TANQUE - RODA 15,5" -  BOMBA (MANG. 6m) + KIT BOMBEIRO + BANDEJA - Molas, Freios e Pneus não Incluídos</t>
  </si>
  <si>
    <t>FT10500-2E SS RS/RS R15,5 BB BD P400 M22.1</t>
  </si>
  <si>
    <t>fora de linha Carreta Tanque (10500L) de 2 Eixos – TANQUE - BOMBA (MANG. 6m) + KIT BOMBEIRO + BANDEJA + PNEUS 400 - Molas e Freios não Incluídos</t>
  </si>
  <si>
    <t>623209M22.1</t>
  </si>
  <si>
    <t>Carreta Tanque (10500L) de 2 Eixos – TANQUE - BOMBA (MANG. 6m) + KIT BOMBEIRO + BANDEJA + PNEUS 400 - Molas e Freios não Incluídos</t>
  </si>
  <si>
    <t>Carreta Tanque (10500L) de 2 Eixos - TANQUE - RODA 15,5" + BOMBA (MANG. 6m) + KIT BOMBEIRO - Molas, Freios e Pneus não Incluídos</t>
  </si>
  <si>
    <t>fora de linha Carreta Tanque (10500L) de 2 Eixos – TANQUE + BOMBA (MANG. 6m) + KIT BOMBEIRO + PNEUS 400 - Molas e Freios não Incluídos</t>
  </si>
  <si>
    <t>623209M22</t>
  </si>
  <si>
    <t>Carreta Tanque (10500L) de 2 Eixos - TANQUE - RODA 15,5" - BOMBA (MANG. 6m) + KIT BOMBEIRO + PNEUS 400 - Molas e Freios não Incluídos</t>
  </si>
  <si>
    <t>fora de linha Carreta Tanque (10500L) de 2 Eixos – TANQUE - Molas, Freios e Pneus não Incluídos</t>
  </si>
  <si>
    <t>623203M22</t>
  </si>
  <si>
    <t>Carreta Tanque (10500L) de 2 Eixos – TANQUE - RODA 15,5" -  Molas, Freios e Pneus não Incluídos</t>
  </si>
  <si>
    <t>Carreta Tanque (12500L) RS/T de 2 Eixos - TANQUE - RODA 20" - BOMBA (MANG. 6m) + KIT BOMBEIRO + BANDEJA - Molas, Freios e Pneus não Incluídos</t>
  </si>
  <si>
    <t>Carreta Tanque (12500L) RS/T de 2 Eixos - TANQUE - RODA 20" - BOMBA (MANG. 6m) + KIT BOMBEIRO + BANDEJA + PNEUS 900(I) - Molas e Freios não Incluídos</t>
  </si>
  <si>
    <t>fora de linha Carreta Tanque (12500L) RS/T de 2 Eixos – TANQUE - BOMBA (MANG. 6m) + KIT BOMBEIRO - Molas, Freios e Pneus não Incluídos</t>
  </si>
  <si>
    <t>623241M22</t>
  </si>
  <si>
    <t>Carreta Tanque (12500L) RS/T de 2 Eixos - TANQUE - RODA 20" - BOMBA (MANG. 6m) + KIT BOMBEIRO - Molas, Freios e Pneus não Incluídos</t>
  </si>
  <si>
    <t>fora de linha Carreta Tanque (12500L) RS/T de 2 Eixos – TANQUE - BOMBA (MANG. 6m) + KIT BOMBEIRO + PNEUS 900(I) - Molas e Freios não Incluídos</t>
  </si>
  <si>
    <t>623275M22</t>
  </si>
  <si>
    <t>Carreta Tanque (12500L) RS/T de 2 Eixos - TANQUE - RODA 20" - BOMBA (MANG. 6m) + KIT BOMBEIRO + PNEUS 900(I) - Molas e Freios não Incluídos</t>
  </si>
  <si>
    <t>fora de linha Carreta Tanque (12500L) RS/T de 2 Eixos – TANQUE - Molas, Freios e Pneus não Incluídos</t>
  </si>
  <si>
    <t>623239M22</t>
  </si>
  <si>
    <t>Carreta Tanque (12500L) RS/T de 2 Eixos – TANQUE - RODA 20" -  Molas, Freios e Pneus não Incluídos</t>
  </si>
  <si>
    <t>Carreta Tanque (12500L) RS/T de 2 Eixos - TANQUE - RODA 15,5" - BOMBA (MANG. 6m) + KIT BOMBEIRO + BANDEJA - Molas, Freios e Pneus não Incluídos</t>
  </si>
  <si>
    <t>Carreta Tanque (12500L) RS/T de 2 Eixos - TANQUE - RODA 15,5" - BOMBA + KIT BOMBEIRO + BANDEJA + PNEUS 400 - Molas, Freios e Pneus não Incluídos</t>
  </si>
  <si>
    <t>Carreta Tanque (12500L) RS/T de 2 Eixos – TANQUE - BOMBA (MANG. 6m) + KIT BOMBEIRO - Molas, Freios e Pneus não Incluídos</t>
  </si>
  <si>
    <t>fora de linha Carreta Tanque (12500L) RS/T de 2 Eixos – TANQUE - BOMBA (MANG. 6m) + KIT BOMBEIRO - C/ PNEUS 400 - Molas e Freios não Incluídos</t>
  </si>
  <si>
    <t>FT12500 SS RS/T R15,5 BB P400 M22 VJ</t>
  </si>
  <si>
    <t>fora de linha Carreta Tanque (12500L) RS/T de 2 Eixos – TANQUE - BOMBA (MANG. 6m) + KIT BOMBEIRO - C/ PNEUS 400 - VERDE</t>
  </si>
  <si>
    <t>623168M22VJ</t>
  </si>
  <si>
    <t>Carreta Tanque (12500L) RS/T de 2 Eixos – TANQUE - BOMBA (MANG. 6m) + KIT BOMBEIRO + PNEUS 400 - Molas, Freios e Pneus não Incluídos</t>
  </si>
  <si>
    <t>623206M22</t>
  </si>
  <si>
    <t>Carreta Tanque (12500L) RS/T de 2 Eixos – TANQUE - RODA 15,5" - Molas, Freios e Pneus não Incluídos</t>
  </si>
  <si>
    <t>FT6500 SS RS/RS BB M23</t>
  </si>
  <si>
    <t>Carreta Tanque (6500L) RS/RS de 2 Eixos - TANQUE - BOMBA (MANG 6m) - Molas, Freios e Pneus não Incluídos</t>
  </si>
  <si>
    <t>623312M23</t>
  </si>
  <si>
    <t>FT6500 SS RS/RS BB P750(I) M23</t>
  </si>
  <si>
    <t>Carreta Tanque (6500L) RS/RS de 2 Eixos - TANQUE - BOMBA (MANG 6m) - C/ PNEUS - Molas, Freios não Incluídos</t>
  </si>
  <si>
    <t>623297M23</t>
  </si>
  <si>
    <t>Carreta Tanque (6500L) RS/RS de 2 Eixos - TANQUE - Molas, Freios não Incluídos</t>
  </si>
  <si>
    <t>FT6500 SS RS/RS P750(I) M23</t>
  </si>
  <si>
    <t>Carreta Tanque (6500L) RS/RS de 2 Eixos - TANQUE - PNEUS - Molas e Freios não Incluídos</t>
  </si>
  <si>
    <t>623311M23</t>
  </si>
  <si>
    <t>Carreta Tanque (4300L) RS/RS de 2 Eixos - TANQUE  - C/ MOLAS + BOMBA (MANG 6m) - Freios e Pneus não Incluídos+</t>
  </si>
  <si>
    <t>622894M22</t>
  </si>
  <si>
    <t>Carreta Tanque (4300L) RS/RS de 2 Eixos - TANQUE - C/ MOLAS + BOMBA (MANG 6m) - C/ PNEUS - Freios não Incluídos</t>
  </si>
  <si>
    <t>622965M22</t>
  </si>
  <si>
    <t>Carreta Tanque (4300L) RS/RS de 2 Eixos - TANQUE - C/ MOLAS - Freios e Pneus não Incluídos</t>
  </si>
  <si>
    <t>Carreta Tanque (4300L) RS/RS de 2 Eixos - TANQUE - C/ MOLAS + PNEUS - Freios não Incluídos</t>
  </si>
  <si>
    <t>623150M22</t>
  </si>
  <si>
    <t>FTC4300 CS RS/RS P750(I) M22 VJ</t>
  </si>
  <si>
    <t>Carreta Tanque (4300L) RS/RS de 2 Eixos - TANQUE - C/ MOLAS + PNEUS - VERDE - Freios não Incluídos</t>
  </si>
  <si>
    <t>623150M22VJ</t>
  </si>
  <si>
    <t>Carreta Tanque (4300L) RS/RS de 2 Eixos - TANQUE - PLATAFORMA P/ BOMBA - C/ BARRA ESPARGEDORA - C/ MOLAS + PNEUS - Freios não Incluídos</t>
  </si>
  <si>
    <t>623308M22</t>
  </si>
  <si>
    <t>Carreta Tanque (4300L) RS/RS de 2 Eixos - TANQUE - BOMBA (MANG 6m) - Molas, Freios e Pneus não Incluídos</t>
  </si>
  <si>
    <t>622632M22</t>
  </si>
  <si>
    <t>FTC4300 SS RS/RS BB M22 VM</t>
  </si>
  <si>
    <t>Carreta Tanque (4300L) RS/RS de 2 Eixos - TANQUE - BOMBA (MANG 6m) - VERMELHA - Molas, Freios e Pneus não Incluídos</t>
  </si>
  <si>
    <t>622632M22VM</t>
  </si>
  <si>
    <t>Carreta Tanque (4300L) RS/RS de 2 Eixos - TANQUE - BOMBA (MANG 6m) - C/ PNEUS - Molas e Freios não Incluídos</t>
  </si>
  <si>
    <t>622983M22</t>
  </si>
  <si>
    <t>FTC4300 SS RS/RS BB P750(I) M22 VM</t>
  </si>
  <si>
    <t>Carreta Tanque (4300L) RS/RS de 2 Eixos - TANQUE - BOMBA (MANG 6m) - VERMELHA - C/ PNEUS - Molas e Freios não Incluídos</t>
  </si>
  <si>
    <t>622983M22VM</t>
  </si>
  <si>
    <t>Carreta Tanque (4300L) RS/RS de 2 Eixos - TANQUE - Molas, Freios e Pneus não Incluídos</t>
  </si>
  <si>
    <t>Carreta Tanque (4300L) RS/RS de 2 Eixos - TANQUE - C/ PNEUS 750(I) - Molas e Freios não Incluídos</t>
  </si>
  <si>
    <t>622977M22</t>
  </si>
  <si>
    <t>Carreta Tanque (4300L) RS/RS de 2 Eixos - TANQUE - PLAT P/ BOMBA - Molas, Freios e Pneus não Incluídos</t>
  </si>
  <si>
    <t>622558M22</t>
  </si>
  <si>
    <t>FTC4300 SS RS/RS PL M22 AN</t>
  </si>
  <si>
    <t>Carreta Tanque (4300L) RS/RS de 2 Eixos - TANQUE - PLAT P/ BOMBA - AZUL - Molas, Freios e Pneus não Incluídos</t>
  </si>
  <si>
    <t>622558M22AN</t>
  </si>
  <si>
    <t>FTC4300 SS RS/RS PL M22 VM</t>
  </si>
  <si>
    <t>Carreta Tanque (4300L) RS/RS de 2 Eixos - TANQUE - PLAT P/ BOMBA - VERMELHO - Molas, Freios e Pneus não Incluídos+</t>
  </si>
  <si>
    <t>622558M22VM</t>
  </si>
  <si>
    <t>Carreta Tanque (4300L) RS/RS de 2 Eixos - TANQUE - PLAT P/ BOMBA - C/ PNEUS - Molas e Freios não Incluídos</t>
  </si>
  <si>
    <t>623213M22</t>
  </si>
  <si>
    <t>Carreta Tanque (4300L) RD de 1 Eixo – TANQUE - C/ MOLAS - Freios e Pneus não Incluídos</t>
  </si>
  <si>
    <t>Carreta Tanque (4300L) RD de 1 Eixo – TANQUE - C/ MOLAS + PNEUS - Freios não Incluídos</t>
  </si>
  <si>
    <t>623191M22</t>
  </si>
  <si>
    <t>FTC4300-1E ESP SS T BB P750(I) M22</t>
  </si>
  <si>
    <t>Carreta Tanque (4300L) de Eixo Tandem de 1 Eixo COM CHASSI P/ TANQUE 6500– TANQUE - BOMBA (MANG. 6m) - C/ PNEUS - Molas, Freios não Incluídos</t>
  </si>
  <si>
    <t>623304M22</t>
  </si>
  <si>
    <t>Carreta Tanque (4300L) RD de 1 Eixo - TANQUE - BOMBA (MANG 6m) - Molas, Freios e Pneus não Incluídos</t>
  </si>
  <si>
    <t>623030M22</t>
  </si>
  <si>
    <t>FTC4300-1E SS RD BB P700(R) M22</t>
  </si>
  <si>
    <t>Carreta Tanque (4300L) RD de 1 Eixo - TANQUE - BOMBA - C/ PNEUS 700(R) - Molas e Freios não Incluídos</t>
  </si>
  <si>
    <t>622906M22</t>
  </si>
  <si>
    <t>FTC4300-1E SS RD BB P700(R) M22 VM</t>
  </si>
  <si>
    <t>Carreta Tanque (4300L) RD de 1 Eixo - TANQUE - BOMBA - C/ PNEUS - VERMELHA - Molas e Freios não Incluídos</t>
  </si>
  <si>
    <t>622906M22VM</t>
  </si>
  <si>
    <t>Carreta Tanque (4300L) RD de 1 Eixo - TANQUE - BOMBA (MANG 6m) - C/ PNEUS - Molas e Freios não Incluídos</t>
  </si>
  <si>
    <t>622929M22</t>
  </si>
  <si>
    <t>FTC4300-1E SS RD BB P750(I) M22 AN</t>
  </si>
  <si>
    <t>Carreta Tanque (4300L) RD de 1 Eixo - TANQUE - BOMBA (MANG. 6M) - PNEUS 750(I) - AZUL - Molas, Freios não Incluídos</t>
  </si>
  <si>
    <t>622929M22AN</t>
  </si>
  <si>
    <t>FTC4300-1E SS RD BB P750(I) M22 PE</t>
  </si>
  <si>
    <t>Carreta Tanque (4300L) RD de 1 Eixo - TANQUE - BOMBA (MANG 6m) - C/ PNEUS - C PONTA ESPECIAL - Molas e Freios não Incluídos</t>
  </si>
  <si>
    <t>622929M22PE</t>
  </si>
  <si>
    <t>Carreta Tanque (4300L) RD de 1 Eixo - TANQUE - Molas, Freios e Pneus não Incluídos</t>
  </si>
  <si>
    <t>FTC4300-1E SS RD M22 AN</t>
  </si>
  <si>
    <t>Carreta Tanque (4300L) RD de 1 Eixo - TANQUE - AZUL - Molas, Freios e Pneus não Incluídos</t>
  </si>
  <si>
    <t>622720M22AN</t>
  </si>
  <si>
    <t>FTC4300-1E SS RD M22 VJ</t>
  </si>
  <si>
    <t>Carreta Tanque (4300L) RD de 1 Eixo - TANQUE - VERDE - Molas, Freios e Pneus não Incluídos</t>
  </si>
  <si>
    <t>622720M22VJ</t>
  </si>
  <si>
    <t>FTC4300-1E SS RD P700(R) M22</t>
  </si>
  <si>
    <t>Carreta Tanque (4300L) RD de 1 Eixo - TANQUE - C/ PNEUS - Molas e Freios não Incluídos</t>
  </si>
  <si>
    <t>622917M22</t>
  </si>
  <si>
    <t>Carreta Tanque (4300L) RD de 1 Eixo - TANQUE - PNEUS 750(I) - Molas, Freios não Incluídos</t>
  </si>
  <si>
    <t>623234M22</t>
  </si>
  <si>
    <t>FTC4300-1E SS RD P750(I) M22 VJ</t>
  </si>
  <si>
    <t>Carreta Tanque (4300L) RD de 1 Eixo - TANQUE - PNEUS 750(I) - VERDE - Molas, Freios não Incluídos</t>
  </si>
  <si>
    <t>623234M22VJ</t>
  </si>
  <si>
    <t>Carreta Tanque (4300L) RD de 1 Eixo - TANQUE - PLAT P/ BOMBA - Molas, Freios e Pneus não Incluídos+</t>
  </si>
  <si>
    <t>623216M22</t>
  </si>
  <si>
    <t>FTC4300-1E SS RD PL M22 AN</t>
  </si>
  <si>
    <t>Carreta Tanque (4300L) RD de 1 Eixo - TANQUE - PLAT P/ BOMBA - AZUL - Molas, Freios e Pneus não Incluídos</t>
  </si>
  <si>
    <t>623216M22AN</t>
  </si>
  <si>
    <t>FTC4300-1E SS RD PL P700(R) M22</t>
  </si>
  <si>
    <t>Carreta Tanque (4300L) RD de 1 Eixo - TANQUE - PLAT P/ BOMBA - C/ PNEUS - Molas e Freios não Incluídos</t>
  </si>
  <si>
    <t>623029M22</t>
  </si>
  <si>
    <t>FTC4300-1E SS RD PL P700(R) M22 VM</t>
  </si>
  <si>
    <t>Carreta Tanque (4300L) RD de 1 Eixo - TANQUE - PLAT P/ BOMBA - C/ PNEUS - VERMELHA - Molas e Freios não Incluídos</t>
  </si>
  <si>
    <t>623029M22VM</t>
  </si>
  <si>
    <t>Carreta Tanque (4300L) RD de 1 Eixo - TANQUE - PLATAFORMA P/ BOMBA - PNEUS 750(I) - Molas, Freios não Incluídos</t>
  </si>
  <si>
    <t>623235M22</t>
  </si>
  <si>
    <t>FTC4300-1E SS RD PL P750(I) M22 AN</t>
  </si>
  <si>
    <t>Carreta Tanque (4300L) RD de 1 Eixo - TANQUE - PLATAFORMA P/ BOMBA - PNEUS 750(I) - AZUL - Molas, Freios não Incluídos</t>
  </si>
  <si>
    <t>623235M22AN</t>
  </si>
  <si>
    <t>Carreta Tanque (4300L) TANDEM de 1 Eixo - TANQUE - Molas, Freios e Pneus não Incluídos</t>
  </si>
  <si>
    <t>Carreta Tanque (6500L) RS/RS de 2 Eixos – TANQUE - BOMBA (MANG 6m) - C/ MOLAS + FREIOS + PNEUS - LARANJA</t>
  </si>
  <si>
    <t>FTC6500 CS RS/RS BB P700(R) M22</t>
  </si>
  <si>
    <t>Carreta Tanque (6500L) RS/RS de 2 Eixos – TANQUE - C/ MOLAS + BOMBA (MANG 6m) - C/ PNEUS 700(R) - Freios não Incluídos</t>
  </si>
  <si>
    <t>623045M22</t>
  </si>
  <si>
    <t>FTC6500 CS RS/RS BB P700(R) M22 AN</t>
  </si>
  <si>
    <t>Carreta Tanque (6500L) RS/RS de 2 Eixos – TANQUE - C/ MOLAS + BOMBA (MANG 6m) - C/ PNEUS - AZUL - Freios não Incluídos+</t>
  </si>
  <si>
    <t>623045M22AN</t>
  </si>
  <si>
    <t>FTC6500 CS RS/RS BB P700(R) M22 CO</t>
  </si>
  <si>
    <t>Carreta Tanque (6500L) RS/RS de 2 Eixos – TANQUE - C/ MOLAS + BOMBA (MANG 6m) - C/ PNEUS - CINZA - Freios não Incluídos</t>
  </si>
  <si>
    <t>623045M22CO</t>
  </si>
  <si>
    <t>Carreta Tanque (6500L) RS/RS de 2 Eixos – TANQUE - BOMBA (MANG 6m) - C/MOLAS - C/ PNEUS - LARANJA - Freios não Incluídos</t>
  </si>
  <si>
    <t>622994M22</t>
  </si>
  <si>
    <t>FTC6500 CS RS/RS BB P750(I) M22 AN</t>
  </si>
  <si>
    <t>Carreta Tanque (6500L) RS/RS de 2 Eixos – TANQUE - BOMBA (MANG 6m) - C/MOLAS - C/ PNEUS - AZUL - Freios não Incluídos</t>
  </si>
  <si>
    <t>622994M22AN</t>
  </si>
  <si>
    <t>FTC6500 CS RS/RS BB P750(I) M22 AV</t>
  </si>
  <si>
    <t>Carreta Tanque (6500L) RS/RS de 2 Eixos – TANQUE - BOMBA (MANG 6m) - C/MOLAS - C/ PNEUS - AMARELA - Freios não Incluídos</t>
  </si>
  <si>
    <t>622994M22AV</t>
  </si>
  <si>
    <t>FTC6500 CS RS/RS BB P750(I) M22 VJ</t>
  </si>
  <si>
    <t>Carreta Tanque (6500L) RS/RS de 2 Eixos – TANQUE - BOMBA (MANG 6m) - C/MOLAS - C/ PNEUS - VERDE - Freios não Incluídos</t>
  </si>
  <si>
    <t>622994M22VJ</t>
  </si>
  <si>
    <t>FTC6500 CS RS/RS BB P750(I) M22 VM</t>
  </si>
  <si>
    <t>Carreta Tanque (6500L) RS/RS de 2 Eixos – TANQUE - BOMBA (MANG 6m) - C/MOLAS - C/ PNEUS - VERMELHA - Freios não Incluídos</t>
  </si>
  <si>
    <t>622994M22VM</t>
  </si>
  <si>
    <t>Carreta Tanque (6500L) RS/RS de 2 Eixos - TANQUE - C/ MOLAS - Freios e Pneus não Incluídos</t>
  </si>
  <si>
    <t>FTC6500 CS RS/RS M22 AN</t>
  </si>
  <si>
    <t>Carreta Tanque (6500L) RS/RS de 2 Eixos - TANQUE - C/ MOLAS - AZUL - Freios e Pneus não Incluídos</t>
  </si>
  <si>
    <t>620737M22AN</t>
  </si>
  <si>
    <t>FTC6500 CS RS/RS M22 VJ</t>
  </si>
  <si>
    <t>Carreta Tanque (6500L) RS/RS de 2 Eixos - TANQUE - C/ MOLAS - VERDE - Freios e Pneus não Incluídos</t>
  </si>
  <si>
    <t>620737M22VJ</t>
  </si>
  <si>
    <t>Carreta Tanque (6500L) RS/RS de 2 Eixos - TANQUE - C/ MOLAS + PNEUS - Freios não Incluídos</t>
  </si>
  <si>
    <t>623140M22</t>
  </si>
  <si>
    <t>Carreta Tanque (6500L) RS/RS de 2 Eixos – TANQUE - PLAT. P/ BOMBA - C/ MOLAS - Freios e Pneus não Incluídos</t>
  </si>
  <si>
    <t>621135M22</t>
  </si>
  <si>
    <t>FTC6500 CS RS/RS PL M22 AN</t>
  </si>
  <si>
    <t>Carreta Tanque (6500L) RS/RS de 2 Eixos – TANQUE - PLAT. P/ BOMBA - C/ MOLAS  - AZUL - Freios e Pneus não Incluídos</t>
  </si>
  <si>
    <t>621135M22AN</t>
  </si>
  <si>
    <t>FTC6500 CS RS/RS PL M22 AN RT</t>
  </si>
  <si>
    <t>621135M22ANRT</t>
  </si>
  <si>
    <t>FTC6500 CS RS/RS PL M22 VJ</t>
  </si>
  <si>
    <t>Carreta Tanque (6500L) RS/RS de 2 Eixos – TANQUE - PLAT. P/ BOMBA - C/ MOLAS - VERDE - Freios e Pneus não Incluídos</t>
  </si>
  <si>
    <t>621135M22VJ</t>
  </si>
  <si>
    <t>Carreta Tanque (6500L) RS/RS de 2 Eixos – TANQUE - PLAT. P/ BOMBA - C/ MOLAS + PNEUS - Freios e não Incluídos</t>
  </si>
  <si>
    <t>623151M22</t>
  </si>
  <si>
    <t>Carreta Tanque (6500L) RS/RD de 2 Eixos - TANQUE - Molas, Freios e Pneus não Incluídos</t>
  </si>
  <si>
    <t>Carreta Tanque (6500L) RS/RD de 2 Eixos - TANQUE - PLAT P/ BOMBA - Molas, Freios e Pneus não Incluídos</t>
  </si>
  <si>
    <t>623014M22</t>
  </si>
  <si>
    <t>FTC6500 SS RS/RD PL M22 VJ</t>
  </si>
  <si>
    <t>Carreta Tanque (6500L) RS/RD de 2 Eixos - TANQUE - PLAT P/ BOMBA - VERDE - Molas, Freios e Pneus não Incluídos</t>
  </si>
  <si>
    <t>623014M22VJ</t>
  </si>
  <si>
    <t>613431M22</t>
  </si>
  <si>
    <t>FTC6500 SS RS/RS BB M22 AN</t>
  </si>
  <si>
    <t>Carreta Tanque (6500L) RS/RS de 2 Eixos - TANQUE - BOMBA (MANG 6m) - AZUL -  Molas, Freios e Pneus não Incluídos</t>
  </si>
  <si>
    <t>613431M22AN</t>
  </si>
  <si>
    <t>FTC6500 SS RS/RS BB M22 VM</t>
  </si>
  <si>
    <t>Carreta Tanque (6500L) RS/RS de 2 Eixos - TANQUE - BOMBA (MANG 6m) - VERMELHA -  Molas, Freios e Pneus não Incluídos</t>
  </si>
  <si>
    <t>613431M22VM</t>
  </si>
  <si>
    <t>FTC6500 SS RS/RS BB P700(R) M22</t>
  </si>
  <si>
    <t>Carreta Tanque (6500L) RS/RS de 2 Eixos - TANQUE - BOMBA (MANG 6m) - C/ PNEUS 700(R) - Molas e Freios não Incluídos</t>
  </si>
  <si>
    <t>622863M22</t>
  </si>
  <si>
    <t>FTC6500 SS RS/RS BB P700(R) M22 AN</t>
  </si>
  <si>
    <t>Carreta Tanque (6500L) RS/RS de 2 Eixos – TANQUE - BOMBA (MANG 6m) - C/ PNEUS 700(R) - AZUL - Molas e Freios não Incluídos</t>
  </si>
  <si>
    <t>622863M22AN</t>
  </si>
  <si>
    <t>FTC6500 SS RS/RS BB P700(R) M22 AN RT</t>
  </si>
  <si>
    <t>Carreta Tanque (6500L) RS/RS de 2 Eixos - TANQUE - BOMBA (MANG 6m) - C/ PNEUS - AZUL - Molas e Freios não Incluídos</t>
  </si>
  <si>
    <t>622863M22ANRT</t>
  </si>
  <si>
    <t>FTC6500 SS RS/RS BB P700(R) M22 CO</t>
  </si>
  <si>
    <t>Carreta Tanque (6500L) RS/RS de 2 Eixos – TANQUE - BOMBA (MANG 6m) - C/ PNEUS 700(R) - CINZA - Molas e Freios não Incluídos</t>
  </si>
  <si>
    <t>622863M22CO</t>
  </si>
  <si>
    <t>FTC6500 SS RS/RS BB P700(R) M22 RT</t>
  </si>
  <si>
    <t>Carreta Tanque (6500L) RS/RS de 2 Eixos Roda Tandem - TANQUE - BOMBA (MANG 6m) - C/ PNEUS - Molas e Freios não Incluídos</t>
  </si>
  <si>
    <t>622863M22RT</t>
  </si>
  <si>
    <t>FTC6500 SS RS/RS BB P700(R) M22 VJ</t>
  </si>
  <si>
    <t>Carreta Tanque (6500L) RS/RS de 2 Eixos - TANQUE - BOMBA (MANG 6m) - C/ PNEUS 700(R) - VERDE - Molas e Freios não Incluídos</t>
  </si>
  <si>
    <t>622863M22VJ</t>
  </si>
  <si>
    <t>FTC6500 SS RS/RS BB P700(R) M22 VM</t>
  </si>
  <si>
    <t>Carreta Tanque (6500L) RS/RS de 2 Eixos – TANQUE - BOMBA (MANG 6m) - C/ PNEUS - VERMELHA - Molas e Freios não Incluídos</t>
  </si>
  <si>
    <t>622863M22VM</t>
  </si>
  <si>
    <t>Carreta Tanque (6500L) RS/RS de 2 Eixos - TANQUE - BOMBA (MANG 6m) - C/ PNEUS - Molas e Freios não Incluídos</t>
  </si>
  <si>
    <t>622927M22</t>
  </si>
  <si>
    <t>FTC6500 SS RS/RS BB P750(I) M22 AN</t>
  </si>
  <si>
    <t>622927M22AN</t>
  </si>
  <si>
    <t>FTC6500 SS RS/RS BB P750(I) M22 CO RT</t>
  </si>
  <si>
    <t>Carreta Tanque (6500L) RS/RS de 2 Eixos - TANQUE - BOMBA (MANG 6m) - C/PNEUS - CINZA - Molas e Freios não Incluídos+</t>
  </si>
  <si>
    <t>622927M22CORT</t>
  </si>
  <si>
    <t>FTC6500 SS RS/RS BB P750(I) M22 VJ</t>
  </si>
  <si>
    <t>Carreta Tanque (6500L) RS/RS de 2 Eixos - TANQUE - BOMBA (MANG 6m) - C/ PNEUS - VERDE - Molas e Freios não Incluídos</t>
  </si>
  <si>
    <t>622927M22VJ</t>
  </si>
  <si>
    <t>FTC6500 SS RS/RS BB P750(I) M22 VM</t>
  </si>
  <si>
    <t>Carreta Tanque (6500L) RS/RS de 2 Eixos - TANQUE - BOMBA (MANG 6m) - C/ PNEUS - VERMELHO - Molas e Freios não Incluídos</t>
  </si>
  <si>
    <t>622927M22VM</t>
  </si>
  <si>
    <t>FTC6500 SS RS/RS BB P750(I) M22+</t>
  </si>
  <si>
    <t>Carreta Tanque (6500L) RS/RS de 2 Eixos - TANQUE - BOMBA (MANG 6m) - C/ PNEUS - Molas e Freios não Incluídos+</t>
  </si>
  <si>
    <t>622927M22+</t>
  </si>
  <si>
    <t>FTC6500 SS RS/RS BB P750(R) M22</t>
  </si>
  <si>
    <t>Carreta Tanque (6500L) RS/RS de 2 Eixos - TANQUE - BOMBA (MANG 6m) - C/ PNEUS 750(R) - Molas e Freios não Incluídos</t>
  </si>
  <si>
    <t>622618M22</t>
  </si>
  <si>
    <t>Carreta Tanque (6500L) RS/RS de 2 Eixos - TANQUE - Molas, Freios e Pneus não Incluídos</t>
  </si>
  <si>
    <t>FTC6500 SS RS/RS M22 AN</t>
  </si>
  <si>
    <t>Carreta Tanque (6500L) RS/RS de 2 Eixos - TANQUE - AZUL - Molas, Freios e Pneus não Incluídos</t>
  </si>
  <si>
    <t>613426M22AN</t>
  </si>
  <si>
    <t>FTC6500 SS RS/RS M22 AV</t>
  </si>
  <si>
    <t>Carreta Tanque (6500L) RS/RS de 2 Eixos - TANQUE - AMARELA - Molas, Freios e Pneus não Incluídos</t>
  </si>
  <si>
    <t>613426M22AV</t>
  </si>
  <si>
    <t>FTC6500 SS RS/RS M22 RT</t>
  </si>
  <si>
    <t>Carreta Tanque (6500L) RS/RS de 2 Eixos Roda Tandem - TANQUE - Molas, Freios e Pneus não Incluídos</t>
  </si>
  <si>
    <t>613426M22RT</t>
  </si>
  <si>
    <t>FTC6500 SS RS/RS M22 VM</t>
  </si>
  <si>
    <t>Carreta Tanque (6500L) RS/RS de 2 Eixos - TANQUE - VERMELHA - Molas, Freios e Pneus não Incluídos</t>
  </si>
  <si>
    <t>613426M22VM</t>
  </si>
  <si>
    <t>FTC6500 SS RS/RS P700(R) M22</t>
  </si>
  <si>
    <t>Carreta Tanque (6500L) RS/RS de 2 Eixos - TANQUE - C/ PNEUS 700(R) - Molas e Freios não Incluídos</t>
  </si>
  <si>
    <t>623054M22</t>
  </si>
  <si>
    <t>FTC6500 SS RS/RS P700(R) M22 AN RT</t>
  </si>
  <si>
    <t>Carreta Tanque (6500L) RS/RS de 2 Eixos - TANQUE - C/ PNEUS - Molas e Freios não Incluídos</t>
  </si>
  <si>
    <t>623054M22ANRT</t>
  </si>
  <si>
    <t>FTC6500 SS RS/RS P700(R) M22 RT</t>
  </si>
  <si>
    <t>Carreta Tanque (6500L) RS/RS de 2 Eixos - TANQUE - C/ PNEUS - Molas e Freios não Incluídos+</t>
  </si>
  <si>
    <t>623054M22RT</t>
  </si>
  <si>
    <t>623201M22</t>
  </si>
  <si>
    <t>Carreta Tanque (6500L) RS/RS de 2 Eixos - TANQUE - PLAT P/ BOMBA - Molas, Freios e Pneus não Incluídos</t>
  </si>
  <si>
    <t>622999M22</t>
  </si>
  <si>
    <t>FTC6500 SS RS/RS PL M22 AN</t>
  </si>
  <si>
    <t>Carreta Tanque (6500L) RS/RS de 2 Eixos - TANQUE - PLAT P/ BOMBA - Azul - Molas, Freios e Pneus não Incluídos</t>
  </si>
  <si>
    <t>622999M22AN</t>
  </si>
  <si>
    <t>FTC6500 SS RS/RS PL M22 AN RT</t>
  </si>
  <si>
    <t>622999M22ANRT</t>
  </si>
  <si>
    <t>FTC6500 SS RS/RS PL M22 RT</t>
  </si>
  <si>
    <t>Carreta Tanque (6500L) RS/RS de 2 Eixos com Roda Tandem - TANQUE - PLAT P/ BOMBA - Molas, Freios e Pneus não Incluídos</t>
  </si>
  <si>
    <t>622999M22RT</t>
  </si>
  <si>
    <t>FTC6500 SS RS/RS PL M22 VJ</t>
  </si>
  <si>
    <t>Carreta Tanque (6500L) RS/RS de 2 Eixos – TANQUE - PLAT P/ BOMBA - VERDE - Molas, Freios e Pneus não Incluídos</t>
  </si>
  <si>
    <t>622999M22VJ</t>
  </si>
  <si>
    <t>FTC6500 SS RS/RS PL M22 VM</t>
  </si>
  <si>
    <t>Carreta Tanque (6500L) RS/RS de 2 Eixos - TANQUE - PLAT P/ BOMBA - VERMELHA - Molas, Freios e Pneus não Incluídos</t>
  </si>
  <si>
    <t>622999M22VM</t>
  </si>
  <si>
    <t>FTC6500 SS RS/RS PL P700(R) M22</t>
  </si>
  <si>
    <t>Carreta Tanque (6500L) RS/RS de 2 Eixos - TANQUE - PLAT P/ BOMBA - C/ PNEUS - Molas e Freios não Incluídos</t>
  </si>
  <si>
    <t>622903M22</t>
  </si>
  <si>
    <t>FTC6500 SS RS/RS PL P700(R) M22 AN</t>
  </si>
  <si>
    <t>Carreta Tanque (6500L) RS/RS de 2 Eixos - TANQUE -  PLAT P/ BOMBA - C/ PNEUS - AZUL - Molas e Freios não Incluídos</t>
  </si>
  <si>
    <t>622903M22AN</t>
  </si>
  <si>
    <t>FTC6500 SS RS/RS PL P700(R) M22 VJ</t>
  </si>
  <si>
    <t>Carreta Tanque (6500L) RS/RS de 2 Eixos - TANQUE -  PLAT P/ BOMBA - C/ PNEUS - VERDE - Molas e Freios não Incluídos</t>
  </si>
  <si>
    <t>622903M22VJ</t>
  </si>
  <si>
    <t>622954M22</t>
  </si>
  <si>
    <t>FTC6500 SS RS/RS PL P750(I) M22 AN</t>
  </si>
  <si>
    <t>Carreta Tanque (6500L) RS/RS de 2 Eixos - TANQUE - PLAT P/ BOMBA - C/ PNEUS - AZUL - Molas e Freios não Incluídos</t>
  </si>
  <si>
    <t>622954M22AN</t>
  </si>
  <si>
    <t>FTC6500 SS RS/RS PL P750(I) M22 VM</t>
  </si>
  <si>
    <t>Carreta Tanque (6500L) RS/RS de 2 Eixos - TANQUE - PLAT P/ BOMBA - C/ PNEUS - VERMELHO - Molas e Freios não Incluídos</t>
  </si>
  <si>
    <t>622954M22VM</t>
  </si>
  <si>
    <t>FTC6500 SS RS/RS PL P750(R) M22</t>
  </si>
  <si>
    <t>613436M22</t>
  </si>
  <si>
    <t>FTC6500 SS RS/RS PL P750(R) M22 AN</t>
  </si>
  <si>
    <t>613436M22AN</t>
  </si>
  <si>
    <t>FTC6500 SS RS/RS PL P750(R) M22 AV</t>
  </si>
  <si>
    <t>Carreta Tanque (6500L) RS/RS de 2 Eixos - TANQUE - PLAT P/ BOMBA - C/ PNEUS - AMARELA - Molas e Freios não Incluídos</t>
  </si>
  <si>
    <t>613436M22AV</t>
  </si>
  <si>
    <t>FTC6500 SS RS/RS PL P750(R) M22 VJ</t>
  </si>
  <si>
    <t>Carreta Tanque (6500L) RS/RS de 2 Eixos - TANQUE - PLAT P/ BOMBA - C/ PNEUS - VERDE - Molas e Freios não Incluídos</t>
  </si>
  <si>
    <t>613436M22VJ</t>
  </si>
  <si>
    <t>FTC6500 SS RS/RS PL P750(R) M22 VM</t>
  </si>
  <si>
    <t>Carreta Tanque (6500L) RS/RS de 2 Eixos - TANQUE - PLAT P/ BOMBA - C/ PNEUS - VERMELHA - Molas e Freios não Incluídos</t>
  </si>
  <si>
    <t>613436M22VM</t>
  </si>
  <si>
    <t>FTC6500 SS RS/RS R20 P900(R) M22</t>
  </si>
  <si>
    <t>Carreta Tanque (6500L) RS/RS de 2 Eixos - TANQUE - ARO 20" - C/ PNEUS - Molas, Freios não Incluídos</t>
  </si>
  <si>
    <t>623327M22</t>
  </si>
  <si>
    <t>FTC6500 SS RS/RS RF PL M22 VJ</t>
  </si>
  <si>
    <t>Carreta Tanque (6500L) RS/RF de 2 Eixos - TANQUE - PLAT P/ BOMBA - VERDE - Molas, Freios e Pneus não Incluídos+</t>
  </si>
  <si>
    <t>623014M22VJ+</t>
  </si>
  <si>
    <t>Carreta Tanque (6500L) de Eixo RD - TANQUE - BOMBA (MANG 6m) - Molas, Freios e Pneus não Incluídos</t>
  </si>
  <si>
    <t>623264M22</t>
  </si>
  <si>
    <t>Carreta Tanque (6500L) de Eixo RD - TANQUE - PLAT. C/ BOMBA - C/ PNEUS - Molas, Freios não Incluídos</t>
  </si>
  <si>
    <t>623265M22</t>
  </si>
  <si>
    <t>Carreta Tanque (6500L) de Eixo RD - TANQUE - Molas, Freios e Pneus não Incluídos</t>
  </si>
  <si>
    <t>Carreta Tanque (6500L) de Eixo RD - TANQUE - PLAT. P/ BOMBA - Molas, Freios e Pneus não Incluídos</t>
  </si>
  <si>
    <t>623229M22</t>
  </si>
  <si>
    <t>Carreta Tanque (6500L) de Eixo Tandem de 1 Eixo – TANQUE - BOMBA (MANG. 6m) - Molas, Freios e Pneus não Incluídos</t>
  </si>
  <si>
    <t>623009M22</t>
  </si>
  <si>
    <t>FTC6500-1E SS T BB M22 AN</t>
  </si>
  <si>
    <t>Carreta Tanque (6500L) de Eixo Tandem de 1 Eixo – TANQUE - BOMBA (MANG. 6m) - AZUL - Molas, Freios e Pneus não Incluídos</t>
  </si>
  <si>
    <t>623009M22AN</t>
  </si>
  <si>
    <t>FTC6500-1E SS T BB M22 RT</t>
  </si>
  <si>
    <t>623009M22RT</t>
  </si>
  <si>
    <t>Carreta Tanque (6500L) de Eixo Tandem de 1 Eixo – TANQUE - BOMBA (MANG. 6m) - C/ PNEUS - Molas, Freios não Incluídos</t>
  </si>
  <si>
    <t>623303M22</t>
  </si>
  <si>
    <t>Carreta Tanque (6500L) de Eixo Tandem de 1 Eixo – TANQUE - Molas, Freios e Pneus não Incluídos</t>
  </si>
  <si>
    <t>FTC6500-1E SS T M22 VJ</t>
  </si>
  <si>
    <t>Carreta Tanque (6500L) de Eixo Tandem de 1 Eixo – TANQUE - VERDE - Molas, Freios e Pneus não Incluídos</t>
  </si>
  <si>
    <t>623120M22VJ</t>
  </si>
  <si>
    <t>Carreta Tanque (6500L) de Eixo Tandem de 1 Eixo – TANQUE - PLATAFORMA P/ BOMBA - Molas, Freios e Pneus não Incluídos</t>
  </si>
  <si>
    <t>623306M22</t>
  </si>
  <si>
    <t>FTC6500-1E SS T PL M22 VJ</t>
  </si>
  <si>
    <t>Carreta Tanque (6500L) de Eixo Tandem de 1 Eixo – TANQUE - PLATAFORMA P/ BOMBA - VERDE - Molas, Freios e Pneus não Incluídos</t>
  </si>
  <si>
    <t>623306M22VJ</t>
  </si>
  <si>
    <t>Carreta Tanque Distribuidor de Esterco Líquido (4000L) 1 Eixo Rodado Duplo - TANQUE - C/ BOMBA (MANG 6m) - Molas, Freios e Pneus não Incluídos</t>
  </si>
  <si>
    <t>623238M22</t>
  </si>
  <si>
    <t>FTD5000 SS T BB M22</t>
  </si>
  <si>
    <t>Carreta Tanque Distribuidor de Esterco Líquido (5000L) 1 Eixo Tandem - TANQUE - BOMBA (MANG 6m) + KIT BOMBEIRO - Molas, Freios e Pneus não Incluídos</t>
  </si>
  <si>
    <t>622738M22</t>
  </si>
  <si>
    <t>Carreta Tanque Distribuidor de Esterco Líquido (5000L) 1 Eixo Tandem - TANQUE - BOMBA (MANG 6m) - C/ PNEUS - Molas e Freios não Incluídos</t>
  </si>
  <si>
    <t>623171M22</t>
  </si>
  <si>
    <t>Carreta Tanque Distribuidor de Esterco Líquido (5000L) 1 Eixo Tandem - TANQUE - Molas, Freios e Pneus não Incluídos</t>
  </si>
  <si>
    <t>Máquina Para Colheita de Frutas (16m) RS de 1 Eixo - COLHEITADEIRA - Molas, Freios e Pneus não Incluídos</t>
  </si>
  <si>
    <t>623326M23</t>
  </si>
  <si>
    <t>TESTE</t>
  </si>
  <si>
    <t>622738M22+</t>
  </si>
  <si>
    <t>TESTE TRAINEE</t>
  </si>
  <si>
    <t>Carreta Hidráulica 5t (5m3) RD de 1 Eixo - GRANELEIRA - Molas, Freios e Pneus não Incluídos+</t>
  </si>
  <si>
    <t>623261M17</t>
  </si>
  <si>
    <t>CÓDIGO</t>
  </si>
  <si>
    <t>DESCRIÇÃO</t>
  </si>
  <si>
    <t>Custo Contabil</t>
  </si>
  <si>
    <t>25/05/2023</t>
  </si>
  <si>
    <t>a</t>
  </si>
  <si>
    <t>v</t>
  </si>
  <si>
    <t>c</t>
  </si>
  <si>
    <t>d</t>
  </si>
  <si>
    <t>f</t>
  </si>
  <si>
    <t>e</t>
  </si>
  <si>
    <t>g</t>
  </si>
  <si>
    <t>a (n tem bobina)</t>
  </si>
  <si>
    <t>lista</t>
  </si>
  <si>
    <t>preco</t>
  </si>
  <si>
    <t>Lista Preço SDE e COE</t>
  </si>
  <si>
    <t>CBH5 FO SC RD BE P750(I) M21</t>
  </si>
  <si>
    <t>Lista Preço N e NE</t>
  </si>
  <si>
    <t>Lista Preço MT</t>
  </si>
  <si>
    <t>CBH5 FO-1M SC RD BE P750(I) M21</t>
  </si>
  <si>
    <t>CBHM10000 SS T P750(I) M20</t>
  </si>
  <si>
    <t>CBHM5000 GR CS RD P750(I) M17</t>
  </si>
  <si>
    <t>FA6 SC RD A45 M23</t>
  </si>
  <si>
    <t>CBH6R FO SS RD P750(I) M21</t>
  </si>
  <si>
    <t>CBHM10000-2E SS RS/T P750(I) M20</t>
  </si>
  <si>
    <t>CBH6-2E FO SS RS/RS R20 P900(I) M21</t>
  </si>
  <si>
    <t>CBH7-2E FO SS RS/RS R20 P900(I) M21</t>
  </si>
  <si>
    <t>CBHL3000 CS RS/RS TH CB P750(I) M23</t>
  </si>
  <si>
    <t>F4 CS RS/RS A90 P750(I) M23</t>
  </si>
  <si>
    <t>FA6F SS T CB P750(I) M22</t>
  </si>
  <si>
    <t>CBHM4500 SC RS P750(I) M17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</si>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</sst>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 -416]#,##0.00"/>
    <numFmt numFmtId="165" formatCode="000000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rgb="FFFFFFFF"/>
      <name val="Arial"/>
      <scheme val="minor"/>
    </font>
    <font>
      <b/>
      <sz val="15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6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horizontal="right"/>
    </xf>
    <xf numFmtId="0" fontId="6" fillId="3" borderId="0" xfId="0" applyFont="1" applyFill="1" applyAlignment="1"/>
    <xf numFmtId="0" fontId="6" fillId="4" borderId="0" xfId="0" applyFont="1" applyFill="1" applyAlignment="1"/>
    <xf numFmtId="4" fontId="2" fillId="0" borderId="0" xfId="0" applyNumberFormat="1" applyFont="1" applyAlignment="1"/>
    <xf numFmtId="4" fontId="3" fillId="0" borderId="0" xfId="0" applyNumberFormat="1" applyFont="1"/>
    <xf numFmtId="165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3" fillId="0" borderId="4" xfId="0" quotePrefix="1" applyFont="1" applyBorder="1" applyAlignment="1"/>
    <xf numFmtId="0" fontId="3" fillId="0" borderId="5" xfId="0" applyFont="1" applyBorder="1" applyAlignment="1"/>
    <xf numFmtId="0" fontId="3" fillId="0" borderId="6" xfId="0" quotePrefix="1" applyFont="1" applyBorder="1" applyAlignment="1"/>
    <xf numFmtId="0" fontId="8" fillId="0" borderId="0" xfId="0" applyFont="1" applyAlignment="1"/>
    <xf numFmtId="164" fontId="3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lhe1-480095-25052023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A1:H14">
  <tableColumns count="8">
    <tableColumn id="1" name="Recurso"/>
    <tableColumn id="2" name="Nome"/>
    <tableColumn id="3" name="Procedência"/>
    <tableColumn id="4" name="Qtd."/>
    <tableColumn id="5" name="Un."/>
    <tableColumn id="6" name="Custo"/>
    <tableColumn id="7" name="Carreta"/>
    <tableColumn id="8" name="DataRef."/>
  </tableColumns>
  <tableStyleInfo name="Detalhe1-480095-2505202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2"/>
  <sheetViews>
    <sheetView workbookViewId="0"/>
  </sheetViews>
  <sheetFormatPr defaultColWidth="12.5703125" defaultRowHeight="15.75" customHeight="1" x14ac:dyDescent="0.2"/>
  <cols>
    <col min="1" max="1" width="8.42578125" customWidth="1"/>
  </cols>
  <sheetData>
    <row r="1" spans="1:5" ht="15.75" customHeight="1" x14ac:dyDescent="0.25">
      <c r="A1" s="1" t="s">
        <v>0</v>
      </c>
      <c r="B1" s="1" t="s">
        <v>1</v>
      </c>
      <c r="C1" s="2" t="s">
        <v>2</v>
      </c>
      <c r="E1" s="3"/>
    </row>
    <row r="2" spans="1:5" ht="15.75" customHeight="1" x14ac:dyDescent="0.25">
      <c r="A2" s="4" t="s">
        <v>3</v>
      </c>
      <c r="B2" s="5" t="s">
        <v>4</v>
      </c>
      <c r="C2" s="6">
        <v>5</v>
      </c>
      <c r="E2" s="7"/>
    </row>
    <row r="3" spans="1:5" ht="15.75" customHeight="1" x14ac:dyDescent="0.25">
      <c r="A3" s="8" t="s">
        <v>5</v>
      </c>
      <c r="B3" s="5" t="s">
        <v>4</v>
      </c>
      <c r="C3" s="6">
        <f>C2</f>
        <v>5</v>
      </c>
      <c r="E3" s="7"/>
    </row>
    <row r="4" spans="1:5" ht="15.75" customHeight="1" x14ac:dyDescent="0.25">
      <c r="A4" s="4" t="s">
        <v>6</v>
      </c>
      <c r="B4" s="5" t="s">
        <v>7</v>
      </c>
      <c r="C4" s="6">
        <v>12</v>
      </c>
      <c r="E4" s="7"/>
    </row>
    <row r="5" spans="1:5" ht="15.75" customHeight="1" x14ac:dyDescent="0.25">
      <c r="A5" s="4" t="s">
        <v>8</v>
      </c>
      <c r="B5" s="5" t="s">
        <v>9</v>
      </c>
      <c r="C5" s="6">
        <v>5</v>
      </c>
      <c r="E5" s="7"/>
    </row>
    <row r="6" spans="1:5" ht="15.75" customHeight="1" x14ac:dyDescent="0.25">
      <c r="A6" s="8" t="s">
        <v>10</v>
      </c>
      <c r="B6" s="5" t="s">
        <v>11</v>
      </c>
      <c r="C6" s="6">
        <v>40</v>
      </c>
      <c r="E6" s="7"/>
    </row>
    <row r="7" spans="1:5" ht="15.75" customHeight="1" x14ac:dyDescent="0.25">
      <c r="A7" s="8" t="s">
        <v>12</v>
      </c>
      <c r="B7" s="5" t="s">
        <v>11</v>
      </c>
      <c r="C7" s="6">
        <v>40</v>
      </c>
      <c r="E7" s="7"/>
    </row>
    <row r="8" spans="1:5" ht="15.75" customHeight="1" x14ac:dyDescent="0.25">
      <c r="A8" s="4" t="s">
        <v>13</v>
      </c>
      <c r="B8" s="5" t="s">
        <v>14</v>
      </c>
      <c r="C8" s="5">
        <v>0</v>
      </c>
      <c r="E8" s="7"/>
    </row>
    <row r="9" spans="1:5" ht="15.75" customHeight="1" x14ac:dyDescent="0.25">
      <c r="A9" s="4" t="s">
        <v>15</v>
      </c>
      <c r="B9" s="5" t="s">
        <v>16</v>
      </c>
      <c r="C9" s="6">
        <v>5</v>
      </c>
      <c r="E9" s="7"/>
    </row>
    <row r="10" spans="1:5" ht="15.75" customHeight="1" x14ac:dyDescent="0.25">
      <c r="A10" s="4" t="s">
        <v>17</v>
      </c>
      <c r="B10" s="5" t="s">
        <v>18</v>
      </c>
      <c r="C10" s="5">
        <v>0</v>
      </c>
      <c r="E10" s="7"/>
    </row>
    <row r="11" spans="1:5" ht="15.75" customHeight="1" x14ac:dyDescent="0.25">
      <c r="E11" s="7"/>
    </row>
    <row r="12" spans="1:5" ht="15.75" customHeight="1" x14ac:dyDescent="0.25">
      <c r="E12" s="7"/>
    </row>
    <row r="13" spans="1:5" ht="15.75" customHeight="1" x14ac:dyDescent="0.25">
      <c r="E13" s="7"/>
    </row>
    <row r="14" spans="1:5" ht="15.75" customHeight="1" x14ac:dyDescent="0.25">
      <c r="E14" s="7"/>
    </row>
    <row r="15" spans="1:5" ht="15.75" customHeight="1" x14ac:dyDescent="0.25">
      <c r="E15" s="7"/>
    </row>
    <row r="16" spans="1:5" ht="15.75" customHeight="1" x14ac:dyDescent="0.25">
      <c r="E16" s="7"/>
    </row>
    <row r="17" spans="5:5" ht="15.75" customHeight="1" x14ac:dyDescent="0.25">
      <c r="E17" s="7"/>
    </row>
    <row r="18" spans="5:5" ht="15.75" customHeight="1" x14ac:dyDescent="0.25">
      <c r="E18" s="7"/>
    </row>
    <row r="19" spans="5:5" ht="15.75" customHeight="1" x14ac:dyDescent="0.25">
      <c r="E19" s="7"/>
    </row>
    <row r="20" spans="5:5" ht="15.75" customHeight="1" x14ac:dyDescent="0.25">
      <c r="E20" s="7"/>
    </row>
    <row r="21" spans="5:5" ht="15.75" customHeight="1" x14ac:dyDescent="0.25">
      <c r="E21" s="7"/>
    </row>
    <row r="22" spans="5:5" ht="15.75" customHeight="1" x14ac:dyDescent="0.25">
      <c r="E22" s="7"/>
    </row>
    <row r="23" spans="5:5" ht="15.75" customHeight="1" x14ac:dyDescent="0.25">
      <c r="E23" s="7"/>
    </row>
    <row r="24" spans="5:5" ht="15.75" customHeight="1" x14ac:dyDescent="0.25">
      <c r="E24" s="7"/>
    </row>
    <row r="25" spans="5:5" ht="15.75" customHeight="1" x14ac:dyDescent="0.25">
      <c r="E25" s="7"/>
    </row>
    <row r="26" spans="5:5" ht="15.75" customHeight="1" x14ac:dyDescent="0.25">
      <c r="E26" s="7"/>
    </row>
    <row r="27" spans="5:5" ht="15.75" customHeight="1" x14ac:dyDescent="0.25">
      <c r="E27" s="7"/>
    </row>
    <row r="28" spans="5:5" ht="15.75" customHeight="1" x14ac:dyDescent="0.25">
      <c r="E28" s="7"/>
    </row>
    <row r="29" spans="5:5" ht="15.75" customHeight="1" x14ac:dyDescent="0.25">
      <c r="E29" s="7"/>
    </row>
    <row r="30" spans="5:5" ht="15.75" customHeight="1" x14ac:dyDescent="0.25">
      <c r="E30" s="7"/>
    </row>
    <row r="31" spans="5:5" ht="15.75" customHeight="1" x14ac:dyDescent="0.25">
      <c r="E31" s="7"/>
    </row>
    <row r="32" spans="5:5" ht="15.75" customHeight="1" x14ac:dyDescent="0.25">
      <c r="E32" s="7"/>
    </row>
    <row r="33" spans="5:5" ht="15.75" customHeight="1" x14ac:dyDescent="0.25">
      <c r="E33" s="7"/>
    </row>
    <row r="34" spans="5:5" ht="15" x14ac:dyDescent="0.25">
      <c r="E34" s="7"/>
    </row>
    <row r="35" spans="5:5" ht="15" x14ac:dyDescent="0.25">
      <c r="E35" s="7"/>
    </row>
    <row r="36" spans="5:5" ht="15" x14ac:dyDescent="0.25">
      <c r="E36" s="7"/>
    </row>
    <row r="37" spans="5:5" ht="15" x14ac:dyDescent="0.25">
      <c r="E37" s="7"/>
    </row>
    <row r="38" spans="5:5" ht="15" x14ac:dyDescent="0.25">
      <c r="E38" s="7"/>
    </row>
    <row r="39" spans="5:5" ht="15" x14ac:dyDescent="0.25">
      <c r="E39" s="7"/>
    </row>
    <row r="40" spans="5:5" ht="15" x14ac:dyDescent="0.25">
      <c r="E40" s="7"/>
    </row>
    <row r="41" spans="5:5" ht="15" x14ac:dyDescent="0.25">
      <c r="E41" s="7"/>
    </row>
    <row r="42" spans="5:5" ht="15" x14ac:dyDescent="0.25">
      <c r="E42" s="7"/>
    </row>
    <row r="43" spans="5:5" ht="15" x14ac:dyDescent="0.25">
      <c r="E43" s="7"/>
    </row>
    <row r="44" spans="5:5" ht="15" x14ac:dyDescent="0.25">
      <c r="E44" s="7"/>
    </row>
    <row r="45" spans="5:5" ht="15" x14ac:dyDescent="0.25">
      <c r="E45" s="7"/>
    </row>
    <row r="46" spans="5:5" ht="15" x14ac:dyDescent="0.25">
      <c r="E46" s="7"/>
    </row>
    <row r="47" spans="5:5" ht="15" x14ac:dyDescent="0.25">
      <c r="E47" s="7"/>
    </row>
    <row r="48" spans="5:5" ht="15" x14ac:dyDescent="0.25">
      <c r="E48" s="7"/>
    </row>
    <row r="49" spans="5:5" ht="15" x14ac:dyDescent="0.25">
      <c r="E49" s="7"/>
    </row>
    <row r="50" spans="5:5" ht="15" x14ac:dyDescent="0.25">
      <c r="E50" s="7"/>
    </row>
    <row r="51" spans="5:5" ht="15" x14ac:dyDescent="0.25">
      <c r="E51" s="7"/>
    </row>
    <row r="52" spans="5:5" ht="15" x14ac:dyDescent="0.25">
      <c r="E52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235"/>
  <sheetViews>
    <sheetView workbookViewId="0"/>
  </sheetViews>
  <sheetFormatPr defaultColWidth="12.5703125" defaultRowHeight="15.75" customHeight="1" x14ac:dyDescent="0.2"/>
  <cols>
    <col min="1" max="1" width="34.140625" customWidth="1"/>
    <col min="16" max="16" width="38.42578125" customWidth="1"/>
    <col min="17" max="17" width="37.42578125" customWidth="1"/>
    <col min="19" max="19" width="25.140625" customWidth="1"/>
  </cols>
  <sheetData>
    <row r="1" spans="1:24" ht="15.75" customHeight="1" x14ac:dyDescent="0.25">
      <c r="A1" s="14" t="s">
        <v>455</v>
      </c>
      <c r="B1" s="4" t="str">
        <f t="shared" ref="B1:B21" si="0">VLOOKUP(A1,G:I,3,0)</f>
        <v>623164M22</v>
      </c>
      <c r="G1" s="8" t="s">
        <v>19</v>
      </c>
      <c r="H1" s="8" t="s">
        <v>499</v>
      </c>
      <c r="I1" s="8" t="s">
        <v>567</v>
      </c>
      <c r="J1" s="8" t="s">
        <v>19</v>
      </c>
      <c r="L1" s="15" t="s">
        <v>568</v>
      </c>
      <c r="M1" s="4" t="str">
        <f t="shared" ref="M1:M16" si="1">VLOOKUP(L1,B:B,1,0)</f>
        <v>623207M22</v>
      </c>
      <c r="P1" s="13" t="s">
        <v>569</v>
      </c>
      <c r="Q1" s="4" t="str">
        <f t="shared" ref="Q1:Q30" si="2">LEFT(P1,LEN(P1)-3)</f>
        <v>FT10500 SS T R15,5 M22</v>
      </c>
      <c r="S1" s="8" t="s">
        <v>570</v>
      </c>
      <c r="T1" s="8" t="s">
        <v>571</v>
      </c>
      <c r="W1" s="8" t="s">
        <v>334</v>
      </c>
      <c r="X1" s="8" t="s">
        <v>336</v>
      </c>
    </row>
    <row r="2" spans="1:24" ht="15.75" customHeight="1" x14ac:dyDescent="0.25">
      <c r="A2" s="14" t="s">
        <v>456</v>
      </c>
      <c r="B2" s="4" t="str">
        <f t="shared" si="0"/>
        <v>623169M22</v>
      </c>
      <c r="G2" s="8" t="s">
        <v>572</v>
      </c>
      <c r="H2" s="8" t="s">
        <v>573</v>
      </c>
      <c r="I2" s="8" t="s">
        <v>572</v>
      </c>
      <c r="J2" s="8" t="s">
        <v>572</v>
      </c>
      <c r="L2" s="15" t="s">
        <v>574</v>
      </c>
      <c r="M2" s="4" t="str">
        <f t="shared" si="1"/>
        <v>623271M22</v>
      </c>
      <c r="P2" s="13" t="s">
        <v>575</v>
      </c>
      <c r="Q2" s="4" t="str">
        <f t="shared" si="2"/>
        <v>FT10500 SS T R20" M22</v>
      </c>
      <c r="S2" s="16" t="s">
        <v>336</v>
      </c>
      <c r="T2" s="8" t="s">
        <v>576</v>
      </c>
      <c r="W2" s="8" t="s">
        <v>328</v>
      </c>
      <c r="X2" s="8" t="s">
        <v>20</v>
      </c>
    </row>
    <row r="3" spans="1:24" ht="15.75" customHeight="1" x14ac:dyDescent="0.25">
      <c r="A3" s="14" t="s">
        <v>457</v>
      </c>
      <c r="B3" s="4" t="str">
        <f t="shared" si="0"/>
        <v>623207M22</v>
      </c>
      <c r="G3" s="8" t="s">
        <v>577</v>
      </c>
      <c r="H3" s="8" t="s">
        <v>578</v>
      </c>
      <c r="I3" s="8" t="s">
        <v>577</v>
      </c>
      <c r="J3" s="8" t="s">
        <v>577</v>
      </c>
      <c r="L3" s="15" t="s">
        <v>579</v>
      </c>
      <c r="M3" s="4" t="e">
        <f t="shared" si="1"/>
        <v>#N/A</v>
      </c>
      <c r="P3" s="13" t="s">
        <v>580</v>
      </c>
      <c r="Q3" s="4" t="str">
        <f t="shared" si="2"/>
        <v>FT10500-2E SS RS/RS R15,5 BB BD M23</v>
      </c>
      <c r="S3" s="16" t="s">
        <v>337</v>
      </c>
      <c r="T3" s="8" t="s">
        <v>498</v>
      </c>
      <c r="U3" s="8" t="s">
        <v>318</v>
      </c>
      <c r="W3" s="8" t="s">
        <v>581</v>
      </c>
      <c r="X3" s="8" t="s">
        <v>22</v>
      </c>
    </row>
    <row r="4" spans="1:24" ht="15.75" customHeight="1" x14ac:dyDescent="0.25">
      <c r="A4" s="17" t="s">
        <v>457</v>
      </c>
      <c r="B4" s="4" t="str">
        <f t="shared" si="0"/>
        <v>623207M22</v>
      </c>
      <c r="G4" s="8" t="s">
        <v>582</v>
      </c>
      <c r="H4" s="8" t="s">
        <v>583</v>
      </c>
      <c r="I4" s="8" t="s">
        <v>582</v>
      </c>
      <c r="J4" s="8" t="s">
        <v>582</v>
      </c>
      <c r="L4" s="15" t="s">
        <v>584</v>
      </c>
      <c r="M4" s="4" t="e">
        <f t="shared" si="1"/>
        <v>#N/A</v>
      </c>
      <c r="P4" s="13" t="s">
        <v>585</v>
      </c>
      <c r="Q4" s="4" t="str">
        <f t="shared" si="2"/>
        <v>FT10500-2E SS RS/RS R15,5 BB BD P400 M23</v>
      </c>
      <c r="S4" s="16" t="s">
        <v>20</v>
      </c>
      <c r="T4" s="8">
        <v>480095</v>
      </c>
      <c r="U4" s="8" t="s">
        <v>318</v>
      </c>
      <c r="W4" s="8" t="s">
        <v>324</v>
      </c>
      <c r="X4" s="8" t="s">
        <v>29</v>
      </c>
    </row>
    <row r="5" spans="1:24" ht="15.75" customHeight="1" x14ac:dyDescent="0.25">
      <c r="A5" s="14" t="s">
        <v>459</v>
      </c>
      <c r="B5" s="4" t="str">
        <f t="shared" si="0"/>
        <v>623271M22</v>
      </c>
      <c r="G5" s="8" t="s">
        <v>586</v>
      </c>
      <c r="H5" s="8" t="s">
        <v>587</v>
      </c>
      <c r="I5" s="8" t="s">
        <v>586</v>
      </c>
      <c r="J5" s="8" t="s">
        <v>586</v>
      </c>
      <c r="L5" s="15" t="s">
        <v>588</v>
      </c>
      <c r="M5" s="4" t="e">
        <f t="shared" si="1"/>
        <v>#N/A</v>
      </c>
      <c r="P5" s="13" t="s">
        <v>589</v>
      </c>
      <c r="Q5" s="4" t="str">
        <f t="shared" si="2"/>
        <v>FT10500-2E SS RS/RS R15,5 BB M23</v>
      </c>
      <c r="S5" s="16" t="s">
        <v>22</v>
      </c>
      <c r="T5" s="8">
        <v>617532</v>
      </c>
      <c r="U5" s="8" t="s">
        <v>318</v>
      </c>
      <c r="W5" s="8" t="s">
        <v>590</v>
      </c>
      <c r="X5" s="8" t="s">
        <v>32</v>
      </c>
    </row>
    <row r="6" spans="1:24" ht="15.75" customHeight="1" x14ac:dyDescent="0.25">
      <c r="A6" s="14" t="s">
        <v>463</v>
      </c>
      <c r="B6" s="4" t="str">
        <f t="shared" si="0"/>
        <v>623276M22</v>
      </c>
      <c r="G6" s="8" t="s">
        <v>591</v>
      </c>
      <c r="H6" s="8" t="s">
        <v>592</v>
      </c>
      <c r="I6" s="8" t="s">
        <v>591</v>
      </c>
      <c r="J6" s="8" t="s">
        <v>591</v>
      </c>
      <c r="L6" s="15" t="s">
        <v>593</v>
      </c>
      <c r="M6" s="4" t="e">
        <f t="shared" si="1"/>
        <v>#N/A</v>
      </c>
      <c r="P6" s="13" t="s">
        <v>594</v>
      </c>
      <c r="Q6" s="4" t="str">
        <f t="shared" si="2"/>
        <v>FT10500-2E SS RS/RS R15,5 BB P400 M23</v>
      </c>
      <c r="S6" s="16" t="s">
        <v>25</v>
      </c>
      <c r="T6" s="8">
        <v>617908</v>
      </c>
      <c r="U6" s="8" t="s">
        <v>318</v>
      </c>
      <c r="W6" s="8" t="s">
        <v>327</v>
      </c>
      <c r="X6" s="8" t="s">
        <v>38</v>
      </c>
    </row>
    <row r="7" spans="1:24" ht="15.75" customHeight="1" x14ac:dyDescent="0.25">
      <c r="A7" s="14" t="s">
        <v>464</v>
      </c>
      <c r="B7" s="4" t="str">
        <f t="shared" si="0"/>
        <v>623277M22</v>
      </c>
      <c r="G7" s="8" t="s">
        <v>595</v>
      </c>
      <c r="H7" s="8" t="s">
        <v>596</v>
      </c>
      <c r="I7" s="8" t="s">
        <v>595</v>
      </c>
      <c r="J7" s="8" t="s">
        <v>595</v>
      </c>
      <c r="L7" s="18">
        <v>62333223</v>
      </c>
      <c r="M7" s="4" t="e">
        <f t="shared" si="1"/>
        <v>#N/A</v>
      </c>
      <c r="P7" s="4" t="s">
        <v>597</v>
      </c>
      <c r="Q7" s="4" t="str">
        <f t="shared" si="2"/>
        <v>FT12500 SS RS/T BB BD M23</v>
      </c>
      <c r="S7" s="16" t="s">
        <v>598</v>
      </c>
      <c r="T7" s="8">
        <v>617945</v>
      </c>
      <c r="U7" s="8" t="s">
        <v>318</v>
      </c>
      <c r="W7" s="8" t="s">
        <v>599</v>
      </c>
      <c r="X7" s="8" t="s">
        <v>44</v>
      </c>
    </row>
    <row r="8" spans="1:24" ht="15.75" customHeight="1" x14ac:dyDescent="0.25">
      <c r="A8" s="14" t="s">
        <v>465</v>
      </c>
      <c r="B8" s="4" t="str">
        <f t="shared" si="0"/>
        <v>623240M22</v>
      </c>
      <c r="G8" s="8" t="s">
        <v>600</v>
      </c>
      <c r="H8" s="8" t="s">
        <v>601</v>
      </c>
      <c r="I8" s="8" t="s">
        <v>600</v>
      </c>
      <c r="J8" s="8" t="s">
        <v>600</v>
      </c>
      <c r="L8" s="15" t="s">
        <v>602</v>
      </c>
      <c r="M8" s="4" t="e">
        <f t="shared" si="1"/>
        <v>#N/A</v>
      </c>
      <c r="P8" s="13" t="s">
        <v>603</v>
      </c>
      <c r="Q8" s="4" t="str">
        <f t="shared" si="2"/>
        <v>FT12500 SS RS/T BB BD P900(I) M23</v>
      </c>
      <c r="S8" s="16" t="s">
        <v>29</v>
      </c>
      <c r="T8" s="8">
        <v>619762</v>
      </c>
      <c r="U8" s="8" t="s">
        <v>318</v>
      </c>
      <c r="W8" s="8" t="s">
        <v>604</v>
      </c>
      <c r="X8" s="8" t="s">
        <v>47</v>
      </c>
    </row>
    <row r="9" spans="1:24" ht="15.75" customHeight="1" x14ac:dyDescent="0.25">
      <c r="A9" s="14" t="s">
        <v>272</v>
      </c>
      <c r="B9" s="4" t="str">
        <f t="shared" si="0"/>
        <v>623209M22</v>
      </c>
      <c r="G9" s="8" t="s">
        <v>605</v>
      </c>
      <c r="H9" s="8" t="s">
        <v>606</v>
      </c>
      <c r="I9" s="8" t="s">
        <v>605</v>
      </c>
      <c r="J9" s="8" t="s">
        <v>605</v>
      </c>
      <c r="L9" s="15" t="s">
        <v>607</v>
      </c>
      <c r="M9" s="4" t="e">
        <f t="shared" si="1"/>
        <v>#N/A</v>
      </c>
      <c r="P9" s="13" t="s">
        <v>608</v>
      </c>
      <c r="Q9" s="4" t="str">
        <f t="shared" si="2"/>
        <v>FT12500 SS RS/T BB M23</v>
      </c>
      <c r="S9" s="16" t="s">
        <v>32</v>
      </c>
      <c r="T9" s="8">
        <v>623063</v>
      </c>
      <c r="U9" s="8" t="s">
        <v>318</v>
      </c>
      <c r="W9" s="8" t="s">
        <v>609</v>
      </c>
      <c r="X9" s="8" t="s">
        <v>51</v>
      </c>
    </row>
    <row r="10" spans="1:24" ht="15.75" customHeight="1" x14ac:dyDescent="0.25">
      <c r="A10" s="14" t="s">
        <v>470</v>
      </c>
      <c r="B10" s="4" t="str">
        <f t="shared" si="0"/>
        <v>623203M22</v>
      </c>
      <c r="G10" s="8" t="s">
        <v>610</v>
      </c>
      <c r="H10" s="8" t="s">
        <v>611</v>
      </c>
      <c r="I10" s="8" t="s">
        <v>610</v>
      </c>
      <c r="J10" s="8" t="s">
        <v>610</v>
      </c>
      <c r="L10" s="15" t="s">
        <v>612</v>
      </c>
      <c r="M10" s="4" t="e">
        <f t="shared" si="1"/>
        <v>#N/A</v>
      </c>
      <c r="P10" s="13" t="s">
        <v>613</v>
      </c>
      <c r="Q10" s="4" t="str">
        <f t="shared" si="2"/>
        <v>FT12500 SS RS/T BB P900(I) M23</v>
      </c>
      <c r="S10" s="16" t="s">
        <v>35</v>
      </c>
      <c r="T10" s="8">
        <v>623075</v>
      </c>
      <c r="U10" s="8" t="s">
        <v>318</v>
      </c>
      <c r="W10" s="8" t="s">
        <v>614</v>
      </c>
      <c r="X10" s="8" t="s">
        <v>52</v>
      </c>
    </row>
    <row r="11" spans="1:24" ht="15.75" customHeight="1" x14ac:dyDescent="0.25">
      <c r="A11" s="14" t="s">
        <v>471</v>
      </c>
      <c r="B11" s="4" t="str">
        <f t="shared" si="0"/>
        <v>623203M23</v>
      </c>
      <c r="G11" s="8" t="s">
        <v>615</v>
      </c>
      <c r="H11" s="8" t="s">
        <v>616</v>
      </c>
      <c r="I11" s="8" t="s">
        <v>615</v>
      </c>
      <c r="J11" s="8" t="s">
        <v>615</v>
      </c>
      <c r="L11" s="15" t="s">
        <v>617</v>
      </c>
      <c r="M11" s="4" t="e">
        <f t="shared" si="1"/>
        <v>#N/A</v>
      </c>
      <c r="P11" s="13" t="s">
        <v>618</v>
      </c>
      <c r="Q11" s="4" t="str">
        <f t="shared" si="2"/>
        <v>FT12500 SS RS/T R15,5 BB BD M23</v>
      </c>
      <c r="S11" s="16" t="s">
        <v>38</v>
      </c>
      <c r="T11" s="8" t="s">
        <v>30</v>
      </c>
      <c r="U11" s="8" t="s">
        <v>318</v>
      </c>
      <c r="W11" s="8" t="s">
        <v>619</v>
      </c>
      <c r="X11" s="8" t="s">
        <v>54</v>
      </c>
    </row>
    <row r="12" spans="1:24" ht="15.75" customHeight="1" x14ac:dyDescent="0.25">
      <c r="A12" s="14" t="s">
        <v>474</v>
      </c>
      <c r="B12" s="4" t="str">
        <f t="shared" si="0"/>
        <v>623241M22</v>
      </c>
      <c r="G12" s="8" t="s">
        <v>620</v>
      </c>
      <c r="H12" s="8" t="s">
        <v>621</v>
      </c>
      <c r="I12" s="8" t="s">
        <v>620</v>
      </c>
      <c r="J12" s="8" t="s">
        <v>620</v>
      </c>
      <c r="L12" s="15" t="s">
        <v>622</v>
      </c>
      <c r="M12" s="4" t="e">
        <f t="shared" si="1"/>
        <v>#N/A</v>
      </c>
      <c r="P12" s="13" t="s">
        <v>623</v>
      </c>
      <c r="Q12" s="4" t="str">
        <f t="shared" si="2"/>
        <v>FT12500 SS RS/T R15,5 BB BD P400 M23</v>
      </c>
      <c r="S12" s="16" t="s">
        <v>40</v>
      </c>
      <c r="T12" s="8" t="s">
        <v>312</v>
      </c>
      <c r="U12" s="8" t="s">
        <v>318</v>
      </c>
      <c r="W12" s="8" t="s">
        <v>624</v>
      </c>
      <c r="X12" s="8" t="s">
        <v>56</v>
      </c>
    </row>
    <row r="13" spans="1:24" ht="15.75" customHeight="1" x14ac:dyDescent="0.25">
      <c r="A13" s="14" t="s">
        <v>476</v>
      </c>
      <c r="B13" s="4" t="str">
        <f t="shared" si="0"/>
        <v>623275M22</v>
      </c>
      <c r="G13" s="8" t="s">
        <v>625</v>
      </c>
      <c r="H13" s="8" t="s">
        <v>626</v>
      </c>
      <c r="I13" s="8" t="s">
        <v>625</v>
      </c>
      <c r="J13" s="8" t="s">
        <v>625</v>
      </c>
      <c r="L13" s="15" t="s">
        <v>627</v>
      </c>
      <c r="M13" s="4" t="str">
        <f t="shared" si="1"/>
        <v>623165M22</v>
      </c>
      <c r="P13" s="13" t="s">
        <v>628</v>
      </c>
      <c r="Q13" s="4" t="str">
        <f t="shared" si="2"/>
        <v>FT12500 SS RS/T R15,5 BB M22</v>
      </c>
      <c r="S13" s="16" t="s">
        <v>42</v>
      </c>
      <c r="T13" s="8" t="s">
        <v>313</v>
      </c>
      <c r="U13" s="8" t="s">
        <v>318</v>
      </c>
      <c r="W13" s="8" t="s">
        <v>629</v>
      </c>
      <c r="X13" s="8" t="s">
        <v>58</v>
      </c>
    </row>
    <row r="14" spans="1:24" ht="15.75" customHeight="1" x14ac:dyDescent="0.25">
      <c r="A14" s="14" t="s">
        <v>478</v>
      </c>
      <c r="B14" s="4" t="str">
        <f t="shared" si="0"/>
        <v>623239M22</v>
      </c>
      <c r="G14" s="8" t="s">
        <v>630</v>
      </c>
      <c r="H14" s="8" t="s">
        <v>631</v>
      </c>
      <c r="I14" s="8" t="s">
        <v>630</v>
      </c>
      <c r="J14" s="8" t="s">
        <v>630</v>
      </c>
      <c r="L14" s="15" t="s">
        <v>632</v>
      </c>
      <c r="M14" s="4" t="str">
        <f t="shared" si="1"/>
        <v>623165M23</v>
      </c>
      <c r="P14" s="13" t="s">
        <v>633</v>
      </c>
      <c r="Q14" s="4" t="str">
        <f t="shared" si="2"/>
        <v>FT12500 SS RS/T R15,5 BB M23</v>
      </c>
      <c r="S14" s="16" t="s">
        <v>44</v>
      </c>
      <c r="T14" s="8" t="s">
        <v>314</v>
      </c>
      <c r="U14" s="8" t="s">
        <v>318</v>
      </c>
      <c r="W14" s="8" t="s">
        <v>634</v>
      </c>
      <c r="X14" s="8" t="s">
        <v>59</v>
      </c>
    </row>
    <row r="15" spans="1:24" ht="15.75" customHeight="1" x14ac:dyDescent="0.25">
      <c r="A15" s="14" t="s">
        <v>479</v>
      </c>
      <c r="B15" s="4" t="str">
        <f t="shared" si="0"/>
        <v>623239M23</v>
      </c>
      <c r="G15" s="8">
        <v>618032</v>
      </c>
      <c r="H15" s="8" t="s">
        <v>635</v>
      </c>
      <c r="I15" s="8">
        <v>618032</v>
      </c>
      <c r="J15" s="8">
        <v>618032</v>
      </c>
      <c r="L15" s="15" t="s">
        <v>636</v>
      </c>
      <c r="M15" s="4" t="str">
        <f t="shared" si="1"/>
        <v>623168M22</v>
      </c>
      <c r="P15" s="13" t="s">
        <v>637</v>
      </c>
      <c r="Q15" s="4" t="str">
        <f t="shared" si="2"/>
        <v>FT12500 SS RS/T R15,5 BB P400 M22</v>
      </c>
      <c r="S15" s="16" t="s">
        <v>46</v>
      </c>
      <c r="T15" s="8" t="s">
        <v>315</v>
      </c>
      <c r="U15" s="8" t="s">
        <v>318</v>
      </c>
      <c r="W15" s="8" t="s">
        <v>638</v>
      </c>
      <c r="X15" s="8" t="s">
        <v>63</v>
      </c>
    </row>
    <row r="16" spans="1:24" ht="15.75" customHeight="1" x14ac:dyDescent="0.25">
      <c r="A16" s="14" t="s">
        <v>273</v>
      </c>
      <c r="B16" s="4" t="str">
        <f t="shared" si="0"/>
        <v>623165M22</v>
      </c>
      <c r="G16" s="8">
        <v>618755</v>
      </c>
      <c r="H16" s="8" t="s">
        <v>639</v>
      </c>
      <c r="I16" s="8">
        <v>618755</v>
      </c>
      <c r="J16" s="8">
        <v>618755</v>
      </c>
      <c r="L16" s="15" t="s">
        <v>640</v>
      </c>
      <c r="M16" s="4" t="e">
        <f t="shared" si="1"/>
        <v>#N/A</v>
      </c>
      <c r="P16" s="13" t="s">
        <v>641</v>
      </c>
      <c r="Q16" s="4" t="str">
        <f t="shared" si="2"/>
        <v>FT12500 SS RS/T R15,5 BB P400 M23</v>
      </c>
      <c r="S16" s="16" t="s">
        <v>47</v>
      </c>
      <c r="T16" s="8" t="s">
        <v>336</v>
      </c>
      <c r="U16" s="8" t="s">
        <v>334</v>
      </c>
      <c r="W16" s="8" t="s">
        <v>642</v>
      </c>
      <c r="X16" s="8" t="s">
        <v>65</v>
      </c>
    </row>
    <row r="17" spans="1:24" ht="12.75" x14ac:dyDescent="0.2">
      <c r="A17" s="14" t="s">
        <v>482</v>
      </c>
      <c r="B17" s="4" t="str">
        <f t="shared" si="0"/>
        <v>623165M23</v>
      </c>
      <c r="G17" s="8" t="s">
        <v>643</v>
      </c>
      <c r="H17" s="8" t="s">
        <v>644</v>
      </c>
      <c r="I17" s="8" t="s">
        <v>643</v>
      </c>
      <c r="J17" s="8" t="s">
        <v>643</v>
      </c>
      <c r="P17" s="13" t="s">
        <v>645</v>
      </c>
      <c r="Q17" s="4" t="str">
        <f t="shared" si="2"/>
        <v>FT10500 SS T BB KB R15,5 M22</v>
      </c>
      <c r="S17" s="16" t="s">
        <v>48</v>
      </c>
      <c r="T17" s="8" t="s">
        <v>20</v>
      </c>
      <c r="U17" s="8" t="s">
        <v>328</v>
      </c>
      <c r="W17" s="8" t="s">
        <v>646</v>
      </c>
      <c r="X17" s="8" t="s">
        <v>67</v>
      </c>
    </row>
    <row r="18" spans="1:24" ht="12.75" x14ac:dyDescent="0.2">
      <c r="A18" s="14" t="s">
        <v>274</v>
      </c>
      <c r="B18" s="4" t="str">
        <f t="shared" si="0"/>
        <v>623168M22</v>
      </c>
      <c r="G18" s="8" t="s">
        <v>647</v>
      </c>
      <c r="H18" s="8" t="s">
        <v>648</v>
      </c>
      <c r="I18" s="8" t="s">
        <v>647</v>
      </c>
      <c r="J18" s="8" t="s">
        <v>647</v>
      </c>
      <c r="P18" s="13" t="s">
        <v>649</v>
      </c>
      <c r="Q18" s="4" t="str">
        <f t="shared" si="2"/>
        <v>FT10500 SS T BB KB R15,5 P400 M22</v>
      </c>
      <c r="S18" s="16" t="s">
        <v>49</v>
      </c>
      <c r="T18" s="8" t="s">
        <v>22</v>
      </c>
      <c r="U18" s="8" t="s">
        <v>581</v>
      </c>
      <c r="W18" s="8" t="s">
        <v>650</v>
      </c>
      <c r="X18" s="8" t="s">
        <v>69</v>
      </c>
    </row>
    <row r="19" spans="1:24" ht="12.75" x14ac:dyDescent="0.2">
      <c r="A19" s="14" t="s">
        <v>484</v>
      </c>
      <c r="B19" s="4" t="str">
        <f t="shared" si="0"/>
        <v>623206M22</v>
      </c>
      <c r="G19" s="8" t="s">
        <v>651</v>
      </c>
      <c r="H19" s="8" t="s">
        <v>652</v>
      </c>
      <c r="I19" s="8" t="s">
        <v>651</v>
      </c>
      <c r="J19" s="8" t="s">
        <v>651</v>
      </c>
      <c r="P19" s="13" t="s">
        <v>653</v>
      </c>
      <c r="Q19" s="4" t="str">
        <f t="shared" si="2"/>
        <v>FT10500-2E SS RS/RS BB M22</v>
      </c>
      <c r="S19" s="16" t="s">
        <v>50</v>
      </c>
      <c r="T19" s="8" t="s">
        <v>29</v>
      </c>
      <c r="U19" s="8" t="s">
        <v>324</v>
      </c>
      <c r="W19" s="8" t="s">
        <v>654</v>
      </c>
      <c r="X19" s="8" t="s">
        <v>70</v>
      </c>
    </row>
    <row r="20" spans="1:24" ht="12.75" x14ac:dyDescent="0.2">
      <c r="A20" s="14" t="s">
        <v>485</v>
      </c>
      <c r="B20" s="4" t="str">
        <f t="shared" si="0"/>
        <v>623206M23</v>
      </c>
      <c r="G20" s="8" t="s">
        <v>655</v>
      </c>
      <c r="H20" s="8" t="s">
        <v>656</v>
      </c>
      <c r="I20" s="8" t="s">
        <v>655</v>
      </c>
      <c r="J20" s="8" t="s">
        <v>655</v>
      </c>
      <c r="P20" s="13" t="s">
        <v>657</v>
      </c>
      <c r="Q20" s="4" t="str">
        <f t="shared" si="2"/>
        <v>FT10500-2E SS RS/RS BB P900(I) M22</v>
      </c>
      <c r="S20" s="19" t="s">
        <v>338</v>
      </c>
      <c r="T20" s="8" t="s">
        <v>32</v>
      </c>
      <c r="U20" s="8" t="s">
        <v>590</v>
      </c>
      <c r="W20" s="8" t="s">
        <v>658</v>
      </c>
      <c r="X20" s="8" t="s">
        <v>72</v>
      </c>
    </row>
    <row r="21" spans="1:24" ht="12.75" x14ac:dyDescent="0.2">
      <c r="A21" s="17" t="s">
        <v>484</v>
      </c>
      <c r="B21" s="4" t="str">
        <f t="shared" si="0"/>
        <v>623206M22</v>
      </c>
      <c r="G21" s="8">
        <v>622184</v>
      </c>
      <c r="H21" s="8" t="s">
        <v>659</v>
      </c>
      <c r="I21" s="8">
        <v>622184</v>
      </c>
      <c r="J21" s="8">
        <v>622184</v>
      </c>
      <c r="P21" s="13" t="s">
        <v>660</v>
      </c>
      <c r="Q21" s="4" t="str">
        <f t="shared" si="2"/>
        <v>FT10500-2E SS RS/RS M22</v>
      </c>
      <c r="S21" s="16" t="s">
        <v>51</v>
      </c>
      <c r="T21" s="8" t="s">
        <v>38</v>
      </c>
      <c r="U21" s="8" t="s">
        <v>327</v>
      </c>
      <c r="W21" s="8" t="s">
        <v>75</v>
      </c>
      <c r="X21" s="8" t="s">
        <v>75</v>
      </c>
    </row>
    <row r="22" spans="1:24" ht="12.75" x14ac:dyDescent="0.2">
      <c r="G22" s="8" t="s">
        <v>661</v>
      </c>
      <c r="H22" s="8" t="s">
        <v>662</v>
      </c>
      <c r="I22" s="8" t="s">
        <v>661</v>
      </c>
      <c r="J22" s="8" t="s">
        <v>661</v>
      </c>
      <c r="P22" s="13" t="s">
        <v>663</v>
      </c>
      <c r="Q22" s="4" t="str">
        <f t="shared" si="2"/>
        <v>FT10500-2E SS RS/RS R15,5 BB P400 M22</v>
      </c>
      <c r="S22" s="16" t="s">
        <v>52</v>
      </c>
      <c r="T22" s="8" t="s">
        <v>44</v>
      </c>
      <c r="U22" s="8" t="s">
        <v>599</v>
      </c>
      <c r="W22" s="8" t="s">
        <v>664</v>
      </c>
      <c r="X22" s="8" t="s">
        <v>347</v>
      </c>
    </row>
    <row r="23" spans="1:24" ht="12.75" x14ac:dyDescent="0.2">
      <c r="G23" s="8" t="s">
        <v>313</v>
      </c>
      <c r="H23" s="8" t="s">
        <v>665</v>
      </c>
      <c r="I23" s="8" t="s">
        <v>313</v>
      </c>
      <c r="J23" s="8" t="s">
        <v>313</v>
      </c>
      <c r="P23" s="13" t="s">
        <v>666</v>
      </c>
      <c r="Q23" s="4" t="str">
        <f t="shared" si="2"/>
        <v>FT10500-2E SS RS/RS R15,5 M22</v>
      </c>
      <c r="S23" s="16" t="s">
        <v>53</v>
      </c>
      <c r="T23" s="8" t="s">
        <v>47</v>
      </c>
      <c r="U23" s="8" t="s">
        <v>604</v>
      </c>
      <c r="W23" s="8" t="s">
        <v>667</v>
      </c>
      <c r="X23" s="8" t="s">
        <v>78</v>
      </c>
    </row>
    <row r="24" spans="1:24" ht="12.75" x14ac:dyDescent="0.2">
      <c r="G24" s="8" t="s">
        <v>668</v>
      </c>
      <c r="H24" s="8" t="s">
        <v>669</v>
      </c>
      <c r="I24" s="8" t="s">
        <v>668</v>
      </c>
      <c r="J24" s="8" t="s">
        <v>668</v>
      </c>
      <c r="P24" s="13" t="s">
        <v>670</v>
      </c>
      <c r="Q24" s="4" t="str">
        <f t="shared" si="2"/>
        <v>FT10500-2E SS RS/RS R15,5 M23</v>
      </c>
      <c r="S24" s="16" t="s">
        <v>340</v>
      </c>
      <c r="T24" s="8" t="s">
        <v>51</v>
      </c>
      <c r="U24" s="8" t="s">
        <v>609</v>
      </c>
      <c r="W24" s="8" t="s">
        <v>671</v>
      </c>
      <c r="X24" s="8" t="s">
        <v>80</v>
      </c>
    </row>
    <row r="25" spans="1:24" ht="12.75" x14ac:dyDescent="0.2">
      <c r="G25" s="8" t="s">
        <v>672</v>
      </c>
      <c r="H25" s="8" t="s">
        <v>673</v>
      </c>
      <c r="I25" s="8" t="s">
        <v>672</v>
      </c>
      <c r="J25" s="8" t="s">
        <v>672</v>
      </c>
      <c r="P25" s="13" t="s">
        <v>674</v>
      </c>
      <c r="Q25" s="4" t="str">
        <f t="shared" si="2"/>
        <v>FT12500 SS RS/T BB M22</v>
      </c>
      <c r="S25" s="16" t="s">
        <v>54</v>
      </c>
      <c r="T25" s="8" t="s">
        <v>52</v>
      </c>
      <c r="U25" s="8" t="s">
        <v>614</v>
      </c>
      <c r="W25" s="8" t="s">
        <v>675</v>
      </c>
      <c r="X25" s="8" t="s">
        <v>81</v>
      </c>
    </row>
    <row r="26" spans="1:24" ht="12.75" x14ac:dyDescent="0.2">
      <c r="G26" s="8" t="s">
        <v>676</v>
      </c>
      <c r="H26" s="8" t="s">
        <v>677</v>
      </c>
      <c r="I26" s="8" t="s">
        <v>676</v>
      </c>
      <c r="J26" s="8" t="s">
        <v>676</v>
      </c>
      <c r="P26" s="13" t="s">
        <v>678</v>
      </c>
      <c r="Q26" s="4" t="str">
        <f t="shared" si="2"/>
        <v>FT12500 SS RS/T BB P900(I) M22</v>
      </c>
      <c r="S26" s="16" t="s">
        <v>55</v>
      </c>
      <c r="T26" s="8" t="s">
        <v>54</v>
      </c>
      <c r="U26" s="8" t="s">
        <v>619</v>
      </c>
      <c r="W26" s="8" t="s">
        <v>679</v>
      </c>
      <c r="X26" s="8" t="s">
        <v>84</v>
      </c>
    </row>
    <row r="27" spans="1:24" ht="12.75" x14ac:dyDescent="0.2">
      <c r="G27" s="8" t="s">
        <v>680</v>
      </c>
      <c r="H27" s="8" t="s">
        <v>681</v>
      </c>
      <c r="I27" s="8" t="s">
        <v>680</v>
      </c>
      <c r="J27" s="8" t="s">
        <v>680</v>
      </c>
      <c r="P27" s="13" t="s">
        <v>682</v>
      </c>
      <c r="Q27" s="4" t="str">
        <f t="shared" si="2"/>
        <v>FT12500 SS RS/T M22</v>
      </c>
      <c r="S27" s="16" t="s">
        <v>56</v>
      </c>
      <c r="T27" s="8" t="s">
        <v>56</v>
      </c>
      <c r="U27" s="8" t="s">
        <v>624</v>
      </c>
      <c r="W27" s="8" t="s">
        <v>683</v>
      </c>
      <c r="X27" s="8" t="s">
        <v>86</v>
      </c>
    </row>
    <row r="28" spans="1:24" ht="12.75" x14ac:dyDescent="0.2">
      <c r="G28" s="8" t="s">
        <v>684</v>
      </c>
      <c r="H28" s="8" t="s">
        <v>685</v>
      </c>
      <c r="I28" s="8" t="s">
        <v>684</v>
      </c>
      <c r="J28" s="8" t="s">
        <v>684</v>
      </c>
      <c r="P28" s="13" t="s">
        <v>686</v>
      </c>
      <c r="Q28" s="4" t="str">
        <f t="shared" si="2"/>
        <v>FT12500 SS RS/T M23</v>
      </c>
      <c r="S28" s="16" t="s">
        <v>57</v>
      </c>
      <c r="T28" s="8" t="s">
        <v>58</v>
      </c>
      <c r="U28" s="8" t="s">
        <v>629</v>
      </c>
      <c r="W28" s="8" t="s">
        <v>687</v>
      </c>
      <c r="X28" s="8" t="s">
        <v>87</v>
      </c>
    </row>
    <row r="29" spans="1:24" ht="12.75" x14ac:dyDescent="0.2">
      <c r="G29" s="8" t="s">
        <v>688</v>
      </c>
      <c r="H29" s="8" t="s">
        <v>689</v>
      </c>
      <c r="I29" s="8" t="s">
        <v>688</v>
      </c>
      <c r="J29" s="8" t="s">
        <v>688</v>
      </c>
      <c r="P29" s="13" t="s">
        <v>690</v>
      </c>
      <c r="Q29" s="4" t="str">
        <f t="shared" si="2"/>
        <v>FT12500 SS RS/T R15,5 M22</v>
      </c>
      <c r="S29" s="16" t="s">
        <v>58</v>
      </c>
      <c r="T29" s="8" t="s">
        <v>59</v>
      </c>
      <c r="U29" s="8" t="s">
        <v>634</v>
      </c>
      <c r="W29" s="8" t="s">
        <v>691</v>
      </c>
      <c r="X29" s="8" t="s">
        <v>89</v>
      </c>
    </row>
    <row r="30" spans="1:24" ht="12.75" x14ac:dyDescent="0.2">
      <c r="G30" s="8" t="s">
        <v>692</v>
      </c>
      <c r="H30" s="8" t="s">
        <v>693</v>
      </c>
      <c r="I30" s="8" t="s">
        <v>692</v>
      </c>
      <c r="J30" s="8" t="s">
        <v>692</v>
      </c>
      <c r="P30" s="13" t="s">
        <v>694</v>
      </c>
      <c r="Q30" s="4" t="str">
        <f t="shared" si="2"/>
        <v>FT12500 SS RS/T R15,5 M23</v>
      </c>
      <c r="S30" s="16" t="s">
        <v>59</v>
      </c>
      <c r="T30" s="8" t="s">
        <v>63</v>
      </c>
      <c r="U30" s="8" t="s">
        <v>638</v>
      </c>
      <c r="W30" s="8" t="s">
        <v>695</v>
      </c>
      <c r="X30" s="8" t="s">
        <v>90</v>
      </c>
    </row>
    <row r="31" spans="1:24" ht="12.75" x14ac:dyDescent="0.2">
      <c r="G31" s="8" t="s">
        <v>696</v>
      </c>
      <c r="H31" s="8" t="s">
        <v>697</v>
      </c>
      <c r="I31" s="8" t="s">
        <v>696</v>
      </c>
      <c r="J31" s="8" t="s">
        <v>696</v>
      </c>
      <c r="S31" s="16" t="s">
        <v>60</v>
      </c>
      <c r="T31" s="8" t="s">
        <v>65</v>
      </c>
      <c r="U31" s="8" t="s">
        <v>642</v>
      </c>
      <c r="W31" s="8" t="s">
        <v>698</v>
      </c>
      <c r="X31" s="8" t="s">
        <v>92</v>
      </c>
    </row>
    <row r="32" spans="1:24" ht="12.75" x14ac:dyDescent="0.2">
      <c r="G32" s="8" t="s">
        <v>699</v>
      </c>
      <c r="H32" s="8" t="s">
        <v>700</v>
      </c>
      <c r="I32" s="8" t="s">
        <v>699</v>
      </c>
      <c r="J32" s="8" t="s">
        <v>699</v>
      </c>
      <c r="S32" s="16" t="s">
        <v>61</v>
      </c>
      <c r="T32" s="8" t="s">
        <v>67</v>
      </c>
      <c r="U32" s="8" t="s">
        <v>646</v>
      </c>
      <c r="W32" s="8" t="s">
        <v>701</v>
      </c>
      <c r="X32" s="8" t="s">
        <v>94</v>
      </c>
    </row>
    <row r="33" spans="7:24" ht="12.75" x14ac:dyDescent="0.2">
      <c r="G33" s="8" t="s">
        <v>702</v>
      </c>
      <c r="H33" s="8" t="s">
        <v>681</v>
      </c>
      <c r="I33" s="8" t="s">
        <v>702</v>
      </c>
      <c r="J33" s="8" t="s">
        <v>702</v>
      </c>
      <c r="S33" s="16" t="s">
        <v>62</v>
      </c>
      <c r="T33" s="8" t="s">
        <v>69</v>
      </c>
      <c r="U33" s="8" t="s">
        <v>650</v>
      </c>
      <c r="W33" s="8" t="s">
        <v>703</v>
      </c>
      <c r="X33" s="8" t="s">
        <v>95</v>
      </c>
    </row>
    <row r="34" spans="7:24" ht="12.75" x14ac:dyDescent="0.2">
      <c r="G34" s="8" t="s">
        <v>704</v>
      </c>
      <c r="H34" s="8" t="s">
        <v>685</v>
      </c>
      <c r="I34" s="8" t="s">
        <v>704</v>
      </c>
      <c r="J34" s="8" t="s">
        <v>704</v>
      </c>
      <c r="S34" s="16" t="s">
        <v>63</v>
      </c>
      <c r="T34" s="8" t="s">
        <v>70</v>
      </c>
      <c r="U34" s="8" t="s">
        <v>654</v>
      </c>
      <c r="W34" s="8" t="s">
        <v>705</v>
      </c>
      <c r="X34" s="8" t="s">
        <v>96</v>
      </c>
    </row>
    <row r="35" spans="7:24" ht="12.75" x14ac:dyDescent="0.2">
      <c r="G35" s="8" t="s">
        <v>706</v>
      </c>
      <c r="H35" s="8" t="s">
        <v>707</v>
      </c>
      <c r="I35" s="8" t="s">
        <v>706</v>
      </c>
      <c r="J35" s="8" t="s">
        <v>706</v>
      </c>
      <c r="S35" s="16" t="s">
        <v>64</v>
      </c>
      <c r="T35" s="8" t="s">
        <v>72</v>
      </c>
      <c r="U35" s="8" t="s">
        <v>658</v>
      </c>
      <c r="W35" s="8" t="s">
        <v>708</v>
      </c>
      <c r="X35" s="8" t="s">
        <v>97</v>
      </c>
    </row>
    <row r="36" spans="7:24" ht="12.75" x14ac:dyDescent="0.2">
      <c r="G36" s="8" t="s">
        <v>709</v>
      </c>
      <c r="H36" s="8" t="s">
        <v>697</v>
      </c>
      <c r="I36" s="8" t="s">
        <v>709</v>
      </c>
      <c r="J36" s="8" t="s">
        <v>709</v>
      </c>
      <c r="S36" s="16" t="s">
        <v>65</v>
      </c>
      <c r="T36" s="8" t="s">
        <v>75</v>
      </c>
      <c r="U36" s="8" t="s">
        <v>75</v>
      </c>
      <c r="W36" s="8" t="s">
        <v>710</v>
      </c>
      <c r="X36" s="8" t="s">
        <v>99</v>
      </c>
    </row>
    <row r="37" spans="7:24" ht="12.75" x14ac:dyDescent="0.2">
      <c r="G37" s="8" t="s">
        <v>711</v>
      </c>
      <c r="H37" s="8" t="s">
        <v>712</v>
      </c>
      <c r="I37" s="8" t="s">
        <v>711</v>
      </c>
      <c r="J37" s="8" t="s">
        <v>711</v>
      </c>
      <c r="S37" s="16" t="s">
        <v>66</v>
      </c>
      <c r="T37" s="8" t="s">
        <v>347</v>
      </c>
      <c r="U37" s="8" t="s">
        <v>664</v>
      </c>
      <c r="W37" s="8" t="s">
        <v>713</v>
      </c>
      <c r="X37" s="8" t="s">
        <v>102</v>
      </c>
    </row>
    <row r="38" spans="7:24" ht="12.75" x14ac:dyDescent="0.2">
      <c r="G38" s="8" t="s">
        <v>714</v>
      </c>
      <c r="H38" s="8" t="s">
        <v>715</v>
      </c>
      <c r="I38" s="8" t="s">
        <v>714</v>
      </c>
      <c r="J38" s="8" t="s">
        <v>714</v>
      </c>
      <c r="S38" s="16" t="s">
        <v>343</v>
      </c>
      <c r="T38" s="8" t="s">
        <v>78</v>
      </c>
      <c r="U38" s="8" t="s">
        <v>667</v>
      </c>
      <c r="W38" s="8" t="s">
        <v>716</v>
      </c>
      <c r="X38" s="8" t="s">
        <v>104</v>
      </c>
    </row>
    <row r="39" spans="7:24" ht="12.75" x14ac:dyDescent="0.2">
      <c r="G39" s="8" t="s">
        <v>717</v>
      </c>
      <c r="H39" s="8" t="s">
        <v>718</v>
      </c>
      <c r="I39" s="8" t="s">
        <v>717</v>
      </c>
      <c r="J39" s="8" t="s">
        <v>717</v>
      </c>
      <c r="S39" s="16" t="s">
        <v>67</v>
      </c>
      <c r="T39" s="8" t="s">
        <v>80</v>
      </c>
      <c r="U39" s="8" t="s">
        <v>671</v>
      </c>
      <c r="W39" s="8" t="s">
        <v>719</v>
      </c>
      <c r="X39" s="8" t="s">
        <v>106</v>
      </c>
    </row>
    <row r="40" spans="7:24" ht="12.75" x14ac:dyDescent="0.2">
      <c r="G40" s="8" t="s">
        <v>720</v>
      </c>
      <c r="H40" s="8" t="s">
        <v>721</v>
      </c>
      <c r="I40" s="8" t="s">
        <v>720</v>
      </c>
      <c r="J40" s="8" t="s">
        <v>720</v>
      </c>
      <c r="S40" s="16" t="s">
        <v>68</v>
      </c>
      <c r="T40" s="8" t="s">
        <v>81</v>
      </c>
      <c r="U40" s="8" t="s">
        <v>675</v>
      </c>
      <c r="W40" s="8" t="s">
        <v>722</v>
      </c>
      <c r="X40" s="8" t="s">
        <v>110</v>
      </c>
    </row>
    <row r="41" spans="7:24" ht="12.75" x14ac:dyDescent="0.2">
      <c r="G41" s="8" t="s">
        <v>723</v>
      </c>
      <c r="H41" s="8" t="s">
        <v>724</v>
      </c>
      <c r="I41" s="8" t="s">
        <v>723</v>
      </c>
      <c r="J41" s="8" t="s">
        <v>723</v>
      </c>
      <c r="S41" s="16" t="s">
        <v>69</v>
      </c>
      <c r="T41" s="8" t="s">
        <v>84</v>
      </c>
      <c r="U41" s="8" t="s">
        <v>679</v>
      </c>
      <c r="W41" s="8" t="s">
        <v>725</v>
      </c>
      <c r="X41" s="8" t="s">
        <v>360</v>
      </c>
    </row>
    <row r="42" spans="7:24" ht="12.75" x14ac:dyDescent="0.2">
      <c r="G42" s="8" t="s">
        <v>726</v>
      </c>
      <c r="H42" s="8" t="s">
        <v>727</v>
      </c>
      <c r="I42" s="8" t="s">
        <v>726</v>
      </c>
      <c r="J42" s="8" t="s">
        <v>726</v>
      </c>
      <c r="S42" s="16" t="s">
        <v>70</v>
      </c>
      <c r="T42" s="8" t="s">
        <v>86</v>
      </c>
      <c r="U42" s="8" t="s">
        <v>683</v>
      </c>
      <c r="W42" s="8" t="s">
        <v>728</v>
      </c>
      <c r="X42" s="8" t="s">
        <v>114</v>
      </c>
    </row>
    <row r="43" spans="7:24" ht="12.75" x14ac:dyDescent="0.2">
      <c r="G43" s="8" t="s">
        <v>729</v>
      </c>
      <c r="H43" s="8" t="s">
        <v>730</v>
      </c>
      <c r="I43" s="8" t="s">
        <v>729</v>
      </c>
      <c r="J43" s="8" t="s">
        <v>729</v>
      </c>
      <c r="S43" s="16" t="s">
        <v>71</v>
      </c>
      <c r="T43" s="8" t="s">
        <v>87</v>
      </c>
      <c r="U43" s="8" t="s">
        <v>687</v>
      </c>
      <c r="W43" s="8" t="s">
        <v>731</v>
      </c>
      <c r="X43" s="8" t="s">
        <v>116</v>
      </c>
    </row>
    <row r="44" spans="7:24" ht="12.75" x14ac:dyDescent="0.2">
      <c r="G44" s="8" t="s">
        <v>732</v>
      </c>
      <c r="H44" s="8" t="s">
        <v>733</v>
      </c>
      <c r="I44" s="8" t="s">
        <v>732</v>
      </c>
      <c r="J44" s="8" t="s">
        <v>732</v>
      </c>
      <c r="S44" s="16" t="s">
        <v>72</v>
      </c>
      <c r="T44" s="8" t="s">
        <v>89</v>
      </c>
      <c r="U44" s="8" t="s">
        <v>691</v>
      </c>
      <c r="W44" s="8" t="s">
        <v>734</v>
      </c>
      <c r="X44" s="8" t="s">
        <v>117</v>
      </c>
    </row>
    <row r="45" spans="7:24" ht="12.75" x14ac:dyDescent="0.2">
      <c r="G45" s="8" t="s">
        <v>735</v>
      </c>
      <c r="H45" s="8" t="s">
        <v>736</v>
      </c>
      <c r="I45" s="8" t="s">
        <v>735</v>
      </c>
      <c r="J45" s="8" t="s">
        <v>735</v>
      </c>
      <c r="S45" s="16" t="s">
        <v>73</v>
      </c>
      <c r="T45" s="8" t="s">
        <v>90</v>
      </c>
      <c r="U45" s="8" t="s">
        <v>695</v>
      </c>
      <c r="W45" s="8" t="s">
        <v>737</v>
      </c>
      <c r="X45" s="8" t="s">
        <v>118</v>
      </c>
    </row>
    <row r="46" spans="7:24" ht="12.75" x14ac:dyDescent="0.2">
      <c r="G46" s="8" t="s">
        <v>738</v>
      </c>
      <c r="H46" s="8" t="s">
        <v>739</v>
      </c>
      <c r="I46" s="8" t="s">
        <v>738</v>
      </c>
      <c r="J46" s="8" t="s">
        <v>738</v>
      </c>
      <c r="S46" s="16" t="s">
        <v>74</v>
      </c>
      <c r="T46" s="8" t="s">
        <v>92</v>
      </c>
      <c r="U46" s="8" t="s">
        <v>698</v>
      </c>
      <c r="W46" s="8" t="s">
        <v>740</v>
      </c>
      <c r="X46" s="8" t="s">
        <v>120</v>
      </c>
    </row>
    <row r="47" spans="7:24" ht="12.75" x14ac:dyDescent="0.2">
      <c r="G47" s="8" t="s">
        <v>741</v>
      </c>
      <c r="H47" s="8" t="s">
        <v>742</v>
      </c>
      <c r="I47" s="8" t="s">
        <v>741</v>
      </c>
      <c r="J47" s="8" t="s">
        <v>741</v>
      </c>
      <c r="S47" s="16" t="s">
        <v>75</v>
      </c>
      <c r="T47" s="8" t="s">
        <v>94</v>
      </c>
      <c r="U47" s="8" t="s">
        <v>701</v>
      </c>
      <c r="W47" s="8" t="s">
        <v>743</v>
      </c>
      <c r="X47" s="8" t="s">
        <v>365</v>
      </c>
    </row>
    <row r="48" spans="7:24" ht="12.75" x14ac:dyDescent="0.2">
      <c r="G48" s="8" t="s">
        <v>744</v>
      </c>
      <c r="H48" s="8" t="s">
        <v>745</v>
      </c>
      <c r="I48" s="8" t="s">
        <v>744</v>
      </c>
      <c r="J48" s="8" t="s">
        <v>744</v>
      </c>
      <c r="S48" s="16" t="s">
        <v>76</v>
      </c>
      <c r="T48" s="8" t="s">
        <v>95</v>
      </c>
      <c r="U48" s="8" t="s">
        <v>703</v>
      </c>
      <c r="W48" s="8" t="s">
        <v>746</v>
      </c>
      <c r="X48" s="8" t="s">
        <v>366</v>
      </c>
    </row>
    <row r="49" spans="7:24" ht="12.75" x14ac:dyDescent="0.2">
      <c r="G49" s="8" t="s">
        <v>747</v>
      </c>
      <c r="H49" s="8" t="s">
        <v>748</v>
      </c>
      <c r="I49" s="8" t="s">
        <v>747</v>
      </c>
      <c r="J49" s="8" t="s">
        <v>747</v>
      </c>
      <c r="S49" s="16" t="s">
        <v>346</v>
      </c>
      <c r="T49" s="8" t="s">
        <v>96</v>
      </c>
      <c r="U49" s="8" t="s">
        <v>705</v>
      </c>
      <c r="W49" s="8" t="s">
        <v>749</v>
      </c>
      <c r="X49" s="8" t="s">
        <v>368</v>
      </c>
    </row>
    <row r="50" spans="7:24" ht="12.75" x14ac:dyDescent="0.2">
      <c r="G50" s="8" t="s">
        <v>750</v>
      </c>
      <c r="H50" s="8" t="s">
        <v>751</v>
      </c>
      <c r="I50" s="8" t="s">
        <v>750</v>
      </c>
      <c r="J50" s="8" t="s">
        <v>750</v>
      </c>
      <c r="S50" s="16" t="s">
        <v>347</v>
      </c>
      <c r="T50" s="8" t="s">
        <v>97</v>
      </c>
      <c r="U50" s="8" t="s">
        <v>708</v>
      </c>
      <c r="W50" s="8" t="s">
        <v>752</v>
      </c>
      <c r="X50" s="8" t="s">
        <v>36</v>
      </c>
    </row>
    <row r="51" spans="7:24" ht="12.75" x14ac:dyDescent="0.2">
      <c r="G51" s="8" t="s">
        <v>332</v>
      </c>
      <c r="H51" s="8" t="s">
        <v>753</v>
      </c>
      <c r="I51" s="8" t="s">
        <v>332</v>
      </c>
      <c r="J51" s="8" t="s">
        <v>332</v>
      </c>
      <c r="S51" s="16" t="s">
        <v>348</v>
      </c>
      <c r="T51" s="8" t="s">
        <v>99</v>
      </c>
      <c r="U51" s="8" t="s">
        <v>710</v>
      </c>
      <c r="W51" s="8" t="s">
        <v>754</v>
      </c>
      <c r="X51" s="8" t="s">
        <v>371</v>
      </c>
    </row>
    <row r="52" spans="7:24" ht="12.75" x14ac:dyDescent="0.2">
      <c r="G52" s="8" t="s">
        <v>755</v>
      </c>
      <c r="H52" s="8" t="s">
        <v>756</v>
      </c>
      <c r="I52" s="8" t="s">
        <v>755</v>
      </c>
      <c r="J52" s="8" t="s">
        <v>755</v>
      </c>
      <c r="S52" s="16" t="s">
        <v>349</v>
      </c>
      <c r="T52" s="8" t="s">
        <v>102</v>
      </c>
      <c r="U52" s="8" t="s">
        <v>713</v>
      </c>
      <c r="W52" s="8" t="s">
        <v>757</v>
      </c>
      <c r="X52" s="8" t="s">
        <v>372</v>
      </c>
    </row>
    <row r="53" spans="7:24" ht="12.75" x14ac:dyDescent="0.2">
      <c r="G53" s="8" t="s">
        <v>758</v>
      </c>
      <c r="H53" s="8" t="s">
        <v>759</v>
      </c>
      <c r="I53" s="8" t="s">
        <v>758</v>
      </c>
      <c r="J53" s="8" t="s">
        <v>758</v>
      </c>
      <c r="S53" s="16" t="s">
        <v>77</v>
      </c>
      <c r="T53" s="8" t="s">
        <v>104</v>
      </c>
      <c r="U53" s="8" t="s">
        <v>716</v>
      </c>
      <c r="W53" s="8" t="s">
        <v>760</v>
      </c>
      <c r="X53" s="8" t="s">
        <v>374</v>
      </c>
    </row>
    <row r="54" spans="7:24" ht="12.75" x14ac:dyDescent="0.2">
      <c r="G54" s="8" t="s">
        <v>761</v>
      </c>
      <c r="H54" s="8" t="s">
        <v>762</v>
      </c>
      <c r="I54" s="8" t="s">
        <v>761</v>
      </c>
      <c r="J54" s="8" t="s">
        <v>761</v>
      </c>
      <c r="S54" s="16" t="s">
        <v>78</v>
      </c>
      <c r="T54" s="8" t="s">
        <v>106</v>
      </c>
      <c r="U54" s="8" t="s">
        <v>719</v>
      </c>
      <c r="W54" s="8" t="s">
        <v>763</v>
      </c>
      <c r="X54" s="8" t="s">
        <v>375</v>
      </c>
    </row>
    <row r="55" spans="7:24" ht="12.75" x14ac:dyDescent="0.2">
      <c r="G55" s="8" t="s">
        <v>764</v>
      </c>
      <c r="H55" s="8" t="s">
        <v>765</v>
      </c>
      <c r="I55" s="8" t="s">
        <v>764</v>
      </c>
      <c r="J55" s="8" t="s">
        <v>764</v>
      </c>
      <c r="S55" s="16" t="s">
        <v>79</v>
      </c>
      <c r="T55" s="8" t="s">
        <v>110</v>
      </c>
      <c r="U55" s="8" t="s">
        <v>722</v>
      </c>
      <c r="X55" s="8" t="s">
        <v>377</v>
      </c>
    </row>
    <row r="56" spans="7:24" ht="12.75" x14ac:dyDescent="0.2">
      <c r="G56" s="8" t="s">
        <v>766</v>
      </c>
      <c r="H56" s="8" t="s">
        <v>767</v>
      </c>
      <c r="I56" s="8" t="s">
        <v>766</v>
      </c>
      <c r="J56" s="8" t="s">
        <v>766</v>
      </c>
      <c r="S56" s="16" t="s">
        <v>350</v>
      </c>
      <c r="T56" s="8" t="s">
        <v>360</v>
      </c>
      <c r="U56" s="8" t="s">
        <v>725</v>
      </c>
      <c r="W56" s="8" t="s">
        <v>768</v>
      </c>
      <c r="X56" s="8" t="s">
        <v>122</v>
      </c>
    </row>
    <row r="57" spans="7:24" ht="12.75" x14ac:dyDescent="0.2">
      <c r="G57" s="8" t="s">
        <v>769</v>
      </c>
      <c r="H57" s="8" t="s">
        <v>770</v>
      </c>
      <c r="I57" s="8" t="s">
        <v>769</v>
      </c>
      <c r="J57" s="8" t="s">
        <v>769</v>
      </c>
      <c r="S57" s="16" t="s">
        <v>351</v>
      </c>
      <c r="T57" s="8" t="s">
        <v>114</v>
      </c>
      <c r="U57" s="8" t="s">
        <v>728</v>
      </c>
      <c r="W57" s="8" t="s">
        <v>771</v>
      </c>
      <c r="X57" s="8" t="s">
        <v>123</v>
      </c>
    </row>
    <row r="58" spans="7:24" ht="12.75" x14ac:dyDescent="0.2">
      <c r="G58" s="8" t="s">
        <v>772</v>
      </c>
      <c r="H58" s="8" t="s">
        <v>773</v>
      </c>
      <c r="I58" s="8" t="s">
        <v>772</v>
      </c>
      <c r="J58" s="8" t="s">
        <v>772</v>
      </c>
      <c r="S58" s="19" t="s">
        <v>353</v>
      </c>
      <c r="T58" s="8" t="s">
        <v>116</v>
      </c>
      <c r="U58" s="8" t="s">
        <v>731</v>
      </c>
      <c r="W58" s="8" t="s">
        <v>774</v>
      </c>
      <c r="X58" s="8" t="s">
        <v>383</v>
      </c>
    </row>
    <row r="59" spans="7:24" ht="12.75" x14ac:dyDescent="0.2">
      <c r="G59" s="8" t="s">
        <v>775</v>
      </c>
      <c r="H59" s="8" t="s">
        <v>776</v>
      </c>
      <c r="I59" s="8" t="s">
        <v>775</v>
      </c>
      <c r="J59" s="8" t="s">
        <v>775</v>
      </c>
      <c r="S59" s="16" t="s">
        <v>80</v>
      </c>
      <c r="T59" s="8" t="s">
        <v>117</v>
      </c>
      <c r="U59" s="8" t="s">
        <v>734</v>
      </c>
      <c r="W59" s="8" t="s">
        <v>777</v>
      </c>
      <c r="X59" s="8" t="s">
        <v>384</v>
      </c>
    </row>
    <row r="60" spans="7:24" ht="12.75" x14ac:dyDescent="0.2">
      <c r="G60" s="8">
        <v>623071</v>
      </c>
      <c r="H60" s="8" t="s">
        <v>778</v>
      </c>
      <c r="I60" s="8">
        <v>623071</v>
      </c>
      <c r="J60" s="8">
        <v>623071</v>
      </c>
      <c r="S60" s="16" t="s">
        <v>81</v>
      </c>
      <c r="T60" s="8" t="s">
        <v>118</v>
      </c>
      <c r="U60" s="8" t="s">
        <v>737</v>
      </c>
      <c r="W60" s="8" t="s">
        <v>779</v>
      </c>
      <c r="X60" s="8" t="s">
        <v>125</v>
      </c>
    </row>
    <row r="61" spans="7:24" ht="12.75" x14ac:dyDescent="0.2">
      <c r="G61" s="8" t="s">
        <v>780</v>
      </c>
      <c r="H61" s="8" t="s">
        <v>781</v>
      </c>
      <c r="I61" s="8" t="s">
        <v>780</v>
      </c>
      <c r="J61" s="8" t="s">
        <v>780</v>
      </c>
      <c r="S61" s="16" t="s">
        <v>82</v>
      </c>
      <c r="T61" s="8" t="s">
        <v>120</v>
      </c>
      <c r="U61" s="8" t="s">
        <v>740</v>
      </c>
      <c r="W61" s="8" t="s">
        <v>782</v>
      </c>
      <c r="X61" s="8" t="s">
        <v>127</v>
      </c>
    </row>
    <row r="62" spans="7:24" ht="12.75" x14ac:dyDescent="0.2">
      <c r="G62" s="8" t="s">
        <v>783</v>
      </c>
      <c r="H62" s="8" t="s">
        <v>784</v>
      </c>
      <c r="I62" s="8" t="s">
        <v>783</v>
      </c>
      <c r="J62" s="8" t="s">
        <v>783</v>
      </c>
      <c r="S62" s="16" t="s">
        <v>83</v>
      </c>
      <c r="T62" s="8" t="s">
        <v>365</v>
      </c>
      <c r="U62" s="8" t="s">
        <v>743</v>
      </c>
      <c r="W62" s="8" t="s">
        <v>785</v>
      </c>
      <c r="X62" s="8" t="s">
        <v>386</v>
      </c>
    </row>
    <row r="63" spans="7:24" ht="12.75" x14ac:dyDescent="0.2">
      <c r="G63" s="8" t="s">
        <v>333</v>
      </c>
      <c r="H63" s="8" t="s">
        <v>786</v>
      </c>
      <c r="I63" s="8" t="s">
        <v>333</v>
      </c>
      <c r="J63" s="8" t="s">
        <v>333</v>
      </c>
      <c r="S63" s="16" t="s">
        <v>84</v>
      </c>
      <c r="T63" s="8" t="s">
        <v>366</v>
      </c>
      <c r="U63" s="8" t="s">
        <v>746</v>
      </c>
      <c r="W63" s="8" t="s">
        <v>329</v>
      </c>
      <c r="X63" s="8" t="s">
        <v>128</v>
      </c>
    </row>
    <row r="64" spans="7:24" ht="12.75" x14ac:dyDescent="0.2">
      <c r="G64" s="8" t="s">
        <v>787</v>
      </c>
      <c r="H64" s="8" t="s">
        <v>788</v>
      </c>
      <c r="I64" s="8" t="s">
        <v>787</v>
      </c>
      <c r="J64" s="8" t="s">
        <v>787</v>
      </c>
      <c r="S64" s="16" t="s">
        <v>85</v>
      </c>
      <c r="T64" s="8" t="s">
        <v>368</v>
      </c>
      <c r="U64" s="8" t="s">
        <v>749</v>
      </c>
      <c r="W64" s="8" t="s">
        <v>789</v>
      </c>
      <c r="X64" s="8" t="s">
        <v>129</v>
      </c>
    </row>
    <row r="65" spans="7:24" ht="12.75" x14ac:dyDescent="0.2">
      <c r="G65" s="8" t="s">
        <v>790</v>
      </c>
      <c r="H65" s="8" t="s">
        <v>791</v>
      </c>
      <c r="I65" s="8" t="s">
        <v>790</v>
      </c>
      <c r="J65" s="8" t="s">
        <v>790</v>
      </c>
      <c r="S65" s="16" t="s">
        <v>354</v>
      </c>
      <c r="T65" s="8" t="s">
        <v>36</v>
      </c>
      <c r="U65" s="8" t="s">
        <v>752</v>
      </c>
      <c r="W65" s="8" t="s">
        <v>792</v>
      </c>
      <c r="X65" s="8" t="s">
        <v>130</v>
      </c>
    </row>
    <row r="66" spans="7:24" ht="12.75" x14ac:dyDescent="0.2">
      <c r="G66" s="8" t="s">
        <v>793</v>
      </c>
      <c r="H66" s="8" t="s">
        <v>794</v>
      </c>
      <c r="I66" s="8" t="s">
        <v>793</v>
      </c>
      <c r="J66" s="8" t="s">
        <v>793</v>
      </c>
      <c r="S66" s="16" t="s">
        <v>86</v>
      </c>
      <c r="T66" s="8" t="s">
        <v>371</v>
      </c>
      <c r="U66" s="8" t="s">
        <v>754</v>
      </c>
      <c r="W66" s="8" t="s">
        <v>330</v>
      </c>
      <c r="X66" s="8" t="s">
        <v>131</v>
      </c>
    </row>
    <row r="67" spans="7:24" ht="12.75" x14ac:dyDescent="0.2">
      <c r="G67" s="8" t="s">
        <v>795</v>
      </c>
      <c r="H67" s="8" t="s">
        <v>796</v>
      </c>
      <c r="I67" s="8" t="s">
        <v>795</v>
      </c>
      <c r="J67" s="8" t="s">
        <v>795</v>
      </c>
      <c r="S67" s="16" t="s">
        <v>87</v>
      </c>
      <c r="T67" s="8" t="s">
        <v>372</v>
      </c>
      <c r="U67" s="8" t="s">
        <v>757</v>
      </c>
      <c r="W67" s="8" t="s">
        <v>321</v>
      </c>
      <c r="X67" s="8" t="s">
        <v>132</v>
      </c>
    </row>
    <row r="68" spans="7:24" ht="12.75" x14ac:dyDescent="0.2">
      <c r="G68" s="8" t="s">
        <v>797</v>
      </c>
      <c r="H68" s="8" t="s">
        <v>798</v>
      </c>
      <c r="I68" s="8" t="s">
        <v>799</v>
      </c>
      <c r="J68" s="8" t="s">
        <v>797</v>
      </c>
      <c r="S68" s="16" t="s">
        <v>88</v>
      </c>
      <c r="T68" s="8" t="s">
        <v>374</v>
      </c>
      <c r="U68" s="8" t="s">
        <v>760</v>
      </c>
      <c r="W68" s="8" t="s">
        <v>800</v>
      </c>
      <c r="X68" s="8" t="s">
        <v>133</v>
      </c>
    </row>
    <row r="69" spans="7:24" ht="12.75" x14ac:dyDescent="0.2">
      <c r="G69" s="8" t="s">
        <v>801</v>
      </c>
      <c r="H69" s="8" t="s">
        <v>802</v>
      </c>
      <c r="I69" s="8" t="s">
        <v>803</v>
      </c>
      <c r="J69" s="8" t="s">
        <v>801</v>
      </c>
      <c r="S69" s="16" t="s">
        <v>89</v>
      </c>
      <c r="T69" s="8" t="s">
        <v>375</v>
      </c>
      <c r="U69" s="8" t="s">
        <v>763</v>
      </c>
      <c r="W69" s="8" t="s">
        <v>804</v>
      </c>
      <c r="X69" s="8" t="s">
        <v>134</v>
      </c>
    </row>
    <row r="70" spans="7:24" ht="12.75" x14ac:dyDescent="0.2">
      <c r="G70" s="8" t="s">
        <v>805</v>
      </c>
      <c r="H70" s="8" t="s">
        <v>806</v>
      </c>
      <c r="I70" s="8">
        <v>622231</v>
      </c>
      <c r="J70" s="8" t="s">
        <v>805</v>
      </c>
      <c r="S70" s="16" t="s">
        <v>356</v>
      </c>
      <c r="T70" s="8" t="s">
        <v>377</v>
      </c>
      <c r="W70" s="8" t="s">
        <v>807</v>
      </c>
      <c r="X70" s="8" t="s">
        <v>137</v>
      </c>
    </row>
    <row r="71" spans="7:24" ht="12.75" x14ac:dyDescent="0.2">
      <c r="G71" s="8" t="s">
        <v>808</v>
      </c>
      <c r="H71" s="8" t="s">
        <v>809</v>
      </c>
      <c r="I71" s="8" t="s">
        <v>810</v>
      </c>
      <c r="J71" s="8" t="s">
        <v>808</v>
      </c>
      <c r="S71" s="16" t="s">
        <v>90</v>
      </c>
      <c r="T71" s="8" t="s">
        <v>122</v>
      </c>
      <c r="U71" s="8" t="s">
        <v>768</v>
      </c>
      <c r="W71" s="8" t="s">
        <v>811</v>
      </c>
      <c r="X71" s="8" t="s">
        <v>140</v>
      </c>
    </row>
    <row r="72" spans="7:24" ht="12.75" x14ac:dyDescent="0.2">
      <c r="G72" s="8" t="s">
        <v>812</v>
      </c>
      <c r="H72" s="8" t="s">
        <v>813</v>
      </c>
      <c r="I72" s="8" t="s">
        <v>814</v>
      </c>
      <c r="J72" s="8" t="s">
        <v>812</v>
      </c>
      <c r="S72" s="16" t="s">
        <v>91</v>
      </c>
      <c r="T72" s="8" t="s">
        <v>123</v>
      </c>
      <c r="U72" s="8" t="s">
        <v>771</v>
      </c>
      <c r="W72" s="8" t="s">
        <v>815</v>
      </c>
      <c r="X72" s="8" t="s">
        <v>141</v>
      </c>
    </row>
    <row r="73" spans="7:24" ht="12.75" x14ac:dyDescent="0.2">
      <c r="G73" s="8" t="s">
        <v>816</v>
      </c>
      <c r="H73" s="8" t="s">
        <v>817</v>
      </c>
      <c r="I73" s="8" t="s">
        <v>818</v>
      </c>
      <c r="J73" s="8" t="s">
        <v>816</v>
      </c>
      <c r="S73" s="19" t="s">
        <v>357</v>
      </c>
      <c r="T73" s="8" t="s">
        <v>383</v>
      </c>
      <c r="U73" s="8" t="s">
        <v>774</v>
      </c>
      <c r="W73" s="8" t="s">
        <v>819</v>
      </c>
      <c r="X73" s="8" t="s">
        <v>142</v>
      </c>
    </row>
    <row r="74" spans="7:24" ht="12.75" x14ac:dyDescent="0.2">
      <c r="G74" s="8" t="s">
        <v>820</v>
      </c>
      <c r="H74" s="8" t="s">
        <v>821</v>
      </c>
      <c r="I74" s="8" t="s">
        <v>822</v>
      </c>
      <c r="J74" s="8" t="s">
        <v>820</v>
      </c>
      <c r="S74" s="16" t="s">
        <v>92</v>
      </c>
      <c r="T74" s="8" t="s">
        <v>384</v>
      </c>
      <c r="U74" s="8" t="s">
        <v>777</v>
      </c>
      <c r="W74" s="8" t="s">
        <v>823</v>
      </c>
      <c r="X74" s="8" t="s">
        <v>146</v>
      </c>
    </row>
    <row r="75" spans="7:24" ht="12.75" x14ac:dyDescent="0.2">
      <c r="G75" s="8" t="s">
        <v>824</v>
      </c>
      <c r="H75" s="8" t="s">
        <v>825</v>
      </c>
      <c r="I75" s="8" t="s">
        <v>826</v>
      </c>
      <c r="J75" s="8" t="s">
        <v>824</v>
      </c>
      <c r="S75" s="16" t="s">
        <v>93</v>
      </c>
      <c r="T75" s="8" t="s">
        <v>125</v>
      </c>
      <c r="U75" s="8" t="s">
        <v>779</v>
      </c>
      <c r="W75" s="8" t="s">
        <v>827</v>
      </c>
      <c r="X75" s="8" t="s">
        <v>152</v>
      </c>
    </row>
    <row r="76" spans="7:24" ht="12.75" x14ac:dyDescent="0.2">
      <c r="G76" s="8" t="s">
        <v>828</v>
      </c>
      <c r="H76" s="8" t="s">
        <v>829</v>
      </c>
      <c r="I76" s="8" t="s">
        <v>830</v>
      </c>
      <c r="J76" s="8" t="s">
        <v>828</v>
      </c>
      <c r="S76" s="16" t="s">
        <v>94</v>
      </c>
      <c r="T76" s="8" t="s">
        <v>127</v>
      </c>
      <c r="U76" s="8" t="s">
        <v>782</v>
      </c>
      <c r="W76" s="8" t="s">
        <v>831</v>
      </c>
      <c r="X76" s="8" t="s">
        <v>153</v>
      </c>
    </row>
    <row r="77" spans="7:24" ht="12.75" x14ac:dyDescent="0.2">
      <c r="G77" s="8" t="s">
        <v>832</v>
      </c>
      <c r="H77" s="8" t="s">
        <v>833</v>
      </c>
      <c r="I77" s="8">
        <v>622233</v>
      </c>
      <c r="J77" s="8" t="s">
        <v>832</v>
      </c>
      <c r="S77" s="16" t="s">
        <v>95</v>
      </c>
      <c r="T77" s="8" t="s">
        <v>386</v>
      </c>
      <c r="U77" s="8" t="s">
        <v>785</v>
      </c>
      <c r="W77" s="8" t="s">
        <v>834</v>
      </c>
      <c r="X77" s="8" t="s">
        <v>156</v>
      </c>
    </row>
    <row r="78" spans="7:24" ht="12.75" x14ac:dyDescent="0.2">
      <c r="G78" s="8" t="s">
        <v>835</v>
      </c>
      <c r="H78" s="8" t="s">
        <v>836</v>
      </c>
      <c r="I78" s="8" t="s">
        <v>837</v>
      </c>
      <c r="J78" s="8" t="s">
        <v>835</v>
      </c>
      <c r="S78" s="16" t="s">
        <v>96</v>
      </c>
      <c r="T78" s="8" t="s">
        <v>128</v>
      </c>
      <c r="U78" s="8" t="s">
        <v>329</v>
      </c>
      <c r="W78" s="8" t="s">
        <v>838</v>
      </c>
      <c r="X78" s="8" t="s">
        <v>160</v>
      </c>
    </row>
    <row r="79" spans="7:24" ht="12.75" x14ac:dyDescent="0.2">
      <c r="G79" s="8" t="s">
        <v>839</v>
      </c>
      <c r="H79" s="8" t="s">
        <v>840</v>
      </c>
      <c r="I79" s="8" t="s">
        <v>841</v>
      </c>
      <c r="J79" s="8" t="s">
        <v>839</v>
      </c>
      <c r="S79" s="16" t="s">
        <v>97</v>
      </c>
      <c r="T79" s="8" t="s">
        <v>129</v>
      </c>
      <c r="U79" s="8" t="s">
        <v>789</v>
      </c>
      <c r="W79" s="8" t="s">
        <v>842</v>
      </c>
      <c r="X79" s="8" t="s">
        <v>163</v>
      </c>
    </row>
    <row r="80" spans="7:24" ht="12.75" x14ac:dyDescent="0.2">
      <c r="G80" s="8" t="s">
        <v>843</v>
      </c>
      <c r="H80" s="8" t="s">
        <v>844</v>
      </c>
      <c r="I80" s="8">
        <v>622188</v>
      </c>
      <c r="J80" s="8" t="s">
        <v>843</v>
      </c>
      <c r="S80" s="16" t="s">
        <v>98</v>
      </c>
      <c r="T80" s="8" t="s">
        <v>130</v>
      </c>
      <c r="U80" s="8" t="s">
        <v>792</v>
      </c>
      <c r="W80" s="8" t="s">
        <v>845</v>
      </c>
      <c r="X80" s="8" t="s">
        <v>166</v>
      </c>
    </row>
    <row r="81" spans="7:24" ht="12.75" x14ac:dyDescent="0.2">
      <c r="G81" s="8" t="s">
        <v>846</v>
      </c>
      <c r="H81" s="8" t="s">
        <v>847</v>
      </c>
      <c r="I81" s="8" t="s">
        <v>848</v>
      </c>
      <c r="J81" s="8" t="s">
        <v>846</v>
      </c>
      <c r="S81" s="16" t="s">
        <v>99</v>
      </c>
      <c r="T81" s="8" t="s">
        <v>131</v>
      </c>
      <c r="U81" s="8" t="s">
        <v>330</v>
      </c>
      <c r="W81" s="8" t="s">
        <v>849</v>
      </c>
      <c r="X81" s="8" t="s">
        <v>169</v>
      </c>
    </row>
    <row r="82" spans="7:24" ht="12.75" x14ac:dyDescent="0.2">
      <c r="G82" s="8" t="s">
        <v>850</v>
      </c>
      <c r="H82" s="8" t="s">
        <v>809</v>
      </c>
      <c r="I82" s="8" t="s">
        <v>851</v>
      </c>
      <c r="J82" s="8" t="s">
        <v>850</v>
      </c>
      <c r="S82" s="16" t="s">
        <v>100</v>
      </c>
      <c r="T82" s="8" t="s">
        <v>132</v>
      </c>
      <c r="U82" s="8" t="s">
        <v>321</v>
      </c>
      <c r="W82" s="8" t="s">
        <v>852</v>
      </c>
      <c r="X82" s="8" t="s">
        <v>174</v>
      </c>
    </row>
    <row r="83" spans="7:24" ht="12.75" x14ac:dyDescent="0.2">
      <c r="G83" s="8" t="s">
        <v>853</v>
      </c>
      <c r="H83" s="8" t="s">
        <v>854</v>
      </c>
      <c r="I83" s="8" t="s">
        <v>855</v>
      </c>
      <c r="J83" s="8" t="s">
        <v>853</v>
      </c>
      <c r="S83" s="16" t="s">
        <v>101</v>
      </c>
      <c r="T83" s="8" t="s">
        <v>133</v>
      </c>
      <c r="U83" s="8" t="s">
        <v>800</v>
      </c>
      <c r="W83" s="8" t="s">
        <v>856</v>
      </c>
      <c r="X83" s="8" t="s">
        <v>178</v>
      </c>
    </row>
    <row r="84" spans="7:24" ht="12.75" x14ac:dyDescent="0.2">
      <c r="G84" s="8" t="s">
        <v>857</v>
      </c>
      <c r="H84" s="8" t="s">
        <v>858</v>
      </c>
      <c r="I84" s="8" t="s">
        <v>859</v>
      </c>
      <c r="J84" s="8" t="s">
        <v>857</v>
      </c>
      <c r="S84" s="16" t="s">
        <v>102</v>
      </c>
      <c r="T84" s="8" t="s">
        <v>134</v>
      </c>
      <c r="U84" s="8" t="s">
        <v>804</v>
      </c>
      <c r="W84" s="8" t="s">
        <v>860</v>
      </c>
      <c r="X84" s="8" t="s">
        <v>181</v>
      </c>
    </row>
    <row r="85" spans="7:24" ht="12.75" x14ac:dyDescent="0.2">
      <c r="G85" s="8" t="s">
        <v>861</v>
      </c>
      <c r="H85" s="8" t="s">
        <v>862</v>
      </c>
      <c r="I85" s="8" t="s">
        <v>863</v>
      </c>
      <c r="J85" s="8" t="s">
        <v>861</v>
      </c>
      <c r="S85" s="16" t="s">
        <v>103</v>
      </c>
      <c r="T85" s="8" t="s">
        <v>137</v>
      </c>
      <c r="U85" s="8" t="s">
        <v>807</v>
      </c>
      <c r="W85" s="8" t="s">
        <v>864</v>
      </c>
      <c r="X85" s="8" t="s">
        <v>185</v>
      </c>
    </row>
    <row r="86" spans="7:24" ht="12.75" x14ac:dyDescent="0.2">
      <c r="G86" s="8" t="s">
        <v>865</v>
      </c>
      <c r="H86" s="8" t="s">
        <v>866</v>
      </c>
      <c r="I86" s="8" t="s">
        <v>867</v>
      </c>
      <c r="J86" s="8" t="s">
        <v>865</v>
      </c>
      <c r="S86" s="16" t="s">
        <v>104</v>
      </c>
      <c r="T86" s="8" t="s">
        <v>140</v>
      </c>
      <c r="U86" s="8" t="s">
        <v>811</v>
      </c>
      <c r="W86" s="8" t="s">
        <v>868</v>
      </c>
      <c r="X86" s="8" t="s">
        <v>187</v>
      </c>
    </row>
    <row r="87" spans="7:24" ht="12.75" x14ac:dyDescent="0.2">
      <c r="G87" s="8" t="s">
        <v>869</v>
      </c>
      <c r="H87" s="8" t="s">
        <v>870</v>
      </c>
      <c r="I87" s="8" t="s">
        <v>871</v>
      </c>
      <c r="J87" s="8" t="s">
        <v>869</v>
      </c>
      <c r="S87" s="16" t="s">
        <v>105</v>
      </c>
      <c r="T87" s="8" t="s">
        <v>141</v>
      </c>
      <c r="U87" s="8" t="s">
        <v>815</v>
      </c>
      <c r="W87" s="8" t="s">
        <v>872</v>
      </c>
      <c r="X87" s="8" t="s">
        <v>191</v>
      </c>
    </row>
    <row r="88" spans="7:24" ht="12.75" x14ac:dyDescent="0.2">
      <c r="G88" s="8" t="s">
        <v>873</v>
      </c>
      <c r="H88" s="8" t="s">
        <v>833</v>
      </c>
      <c r="I88" s="8">
        <v>622190</v>
      </c>
      <c r="J88" s="8" t="s">
        <v>873</v>
      </c>
      <c r="S88" s="16" t="s">
        <v>106</v>
      </c>
      <c r="T88" s="8" t="s">
        <v>142</v>
      </c>
      <c r="U88" s="8" t="s">
        <v>819</v>
      </c>
      <c r="W88" s="8" t="s">
        <v>874</v>
      </c>
      <c r="X88" s="8" t="s">
        <v>194</v>
      </c>
    </row>
    <row r="89" spans="7:24" ht="12.75" x14ac:dyDescent="0.2">
      <c r="G89" s="8" t="s">
        <v>875</v>
      </c>
      <c r="H89" s="8" t="s">
        <v>876</v>
      </c>
      <c r="I89" s="8" t="s">
        <v>877</v>
      </c>
      <c r="J89" s="8" t="s">
        <v>875</v>
      </c>
      <c r="S89" s="16" t="s">
        <v>107</v>
      </c>
      <c r="T89" s="8" t="s">
        <v>146</v>
      </c>
      <c r="U89" s="8" t="s">
        <v>823</v>
      </c>
      <c r="W89" s="8" t="s">
        <v>878</v>
      </c>
      <c r="X89" s="8" t="s">
        <v>402</v>
      </c>
    </row>
    <row r="90" spans="7:24" ht="12.75" x14ac:dyDescent="0.2">
      <c r="G90" s="8" t="s">
        <v>879</v>
      </c>
      <c r="H90" s="8" t="s">
        <v>880</v>
      </c>
      <c r="I90" s="8" t="s">
        <v>881</v>
      </c>
      <c r="J90" s="8" t="s">
        <v>879</v>
      </c>
      <c r="S90" s="16" t="s">
        <v>108</v>
      </c>
      <c r="T90" s="8" t="s">
        <v>152</v>
      </c>
      <c r="U90" s="8" t="s">
        <v>827</v>
      </c>
      <c r="W90" s="8" t="s">
        <v>882</v>
      </c>
      <c r="X90" s="8" t="s">
        <v>197</v>
      </c>
    </row>
    <row r="91" spans="7:24" ht="12.75" x14ac:dyDescent="0.2">
      <c r="G91" s="8" t="s">
        <v>883</v>
      </c>
      <c r="H91" s="8" t="s">
        <v>884</v>
      </c>
      <c r="I91" s="8" t="s">
        <v>885</v>
      </c>
      <c r="J91" s="8" t="s">
        <v>883</v>
      </c>
      <c r="S91" s="16" t="s">
        <v>109</v>
      </c>
      <c r="T91" s="8" t="s">
        <v>153</v>
      </c>
      <c r="U91" s="8" t="s">
        <v>831</v>
      </c>
      <c r="W91" s="8" t="s">
        <v>886</v>
      </c>
      <c r="X91" s="8" t="s">
        <v>199</v>
      </c>
    </row>
    <row r="92" spans="7:24" ht="12.75" x14ac:dyDescent="0.2">
      <c r="G92" s="8" t="s">
        <v>887</v>
      </c>
      <c r="H92" s="8" t="s">
        <v>888</v>
      </c>
      <c r="I92" s="8" t="s">
        <v>889</v>
      </c>
      <c r="J92" s="8" t="s">
        <v>887</v>
      </c>
      <c r="S92" s="16" t="s">
        <v>110</v>
      </c>
      <c r="T92" s="8" t="s">
        <v>156</v>
      </c>
      <c r="U92" s="8" t="s">
        <v>834</v>
      </c>
      <c r="W92" s="8" t="s">
        <v>890</v>
      </c>
      <c r="X92" s="8" t="s">
        <v>404</v>
      </c>
    </row>
    <row r="93" spans="7:24" ht="12.75" x14ac:dyDescent="0.2">
      <c r="G93" s="8" t="s">
        <v>336</v>
      </c>
      <c r="H93" s="8" t="s">
        <v>891</v>
      </c>
      <c r="I93" s="8" t="s">
        <v>334</v>
      </c>
      <c r="J93" s="8" t="s">
        <v>336</v>
      </c>
      <c r="S93" s="16" t="s">
        <v>111</v>
      </c>
      <c r="T93" s="8" t="s">
        <v>160</v>
      </c>
      <c r="U93" s="8" t="s">
        <v>838</v>
      </c>
      <c r="W93" s="8" t="s">
        <v>892</v>
      </c>
      <c r="X93" s="8" t="s">
        <v>406</v>
      </c>
    </row>
    <row r="94" spans="7:24" ht="12.75" x14ac:dyDescent="0.2">
      <c r="G94" s="8" t="s">
        <v>337</v>
      </c>
      <c r="H94" s="8" t="s">
        <v>893</v>
      </c>
      <c r="I94" s="8" t="s">
        <v>894</v>
      </c>
      <c r="J94" s="8" t="s">
        <v>337</v>
      </c>
      <c r="S94" s="16" t="s">
        <v>112</v>
      </c>
      <c r="T94" s="8" t="s">
        <v>163</v>
      </c>
      <c r="U94" s="8" t="s">
        <v>842</v>
      </c>
      <c r="W94" s="8" t="s">
        <v>895</v>
      </c>
      <c r="X94" s="8" t="s">
        <v>201</v>
      </c>
    </row>
    <row r="95" spans="7:24" ht="12.75" x14ac:dyDescent="0.2">
      <c r="G95" s="8" t="s">
        <v>20</v>
      </c>
      <c r="H95" s="8" t="s">
        <v>896</v>
      </c>
      <c r="I95" s="8" t="s">
        <v>328</v>
      </c>
      <c r="J95" s="8" t="s">
        <v>20</v>
      </c>
      <c r="S95" s="16" t="s">
        <v>113</v>
      </c>
      <c r="T95" s="8" t="s">
        <v>166</v>
      </c>
      <c r="U95" s="8" t="s">
        <v>845</v>
      </c>
      <c r="W95" s="8" t="s">
        <v>897</v>
      </c>
      <c r="X95" s="8" t="s">
        <v>202</v>
      </c>
    </row>
    <row r="96" spans="7:24" ht="12.75" x14ac:dyDescent="0.2">
      <c r="G96" s="8" t="s">
        <v>22</v>
      </c>
      <c r="H96" s="8" t="s">
        <v>898</v>
      </c>
      <c r="I96" s="8" t="s">
        <v>581</v>
      </c>
      <c r="J96" s="8" t="s">
        <v>22</v>
      </c>
      <c r="S96" s="16" t="s">
        <v>360</v>
      </c>
      <c r="T96" s="8" t="s">
        <v>169</v>
      </c>
      <c r="U96" s="8" t="s">
        <v>849</v>
      </c>
      <c r="W96" s="8" t="s">
        <v>899</v>
      </c>
      <c r="X96" s="8" t="s">
        <v>203</v>
      </c>
    </row>
    <row r="97" spans="7:24" ht="12.75" x14ac:dyDescent="0.2">
      <c r="G97" s="8" t="s">
        <v>25</v>
      </c>
      <c r="H97" s="8" t="s">
        <v>900</v>
      </c>
      <c r="I97" s="8" t="s">
        <v>901</v>
      </c>
      <c r="J97" s="8" t="s">
        <v>25</v>
      </c>
      <c r="S97" s="16" t="s">
        <v>361</v>
      </c>
      <c r="T97" s="8" t="s">
        <v>174</v>
      </c>
      <c r="U97" s="8" t="s">
        <v>852</v>
      </c>
      <c r="W97" s="8" t="s">
        <v>902</v>
      </c>
      <c r="X97" s="8" t="s">
        <v>204</v>
      </c>
    </row>
    <row r="98" spans="7:24" ht="12.75" x14ac:dyDescent="0.2">
      <c r="G98" s="8" t="s">
        <v>903</v>
      </c>
      <c r="H98" s="8" t="s">
        <v>904</v>
      </c>
      <c r="I98" s="8" t="s">
        <v>905</v>
      </c>
      <c r="J98" s="8" t="s">
        <v>903</v>
      </c>
      <c r="S98" s="19" t="s">
        <v>363</v>
      </c>
      <c r="T98" s="8" t="s">
        <v>178</v>
      </c>
      <c r="U98" s="8" t="s">
        <v>856</v>
      </c>
      <c r="W98" s="8" t="s">
        <v>906</v>
      </c>
      <c r="X98" s="8" t="s">
        <v>207</v>
      </c>
    </row>
    <row r="99" spans="7:24" ht="12.75" x14ac:dyDescent="0.2">
      <c r="G99" s="8" t="s">
        <v>598</v>
      </c>
      <c r="H99" s="8" t="s">
        <v>907</v>
      </c>
      <c r="I99" s="8" t="s">
        <v>908</v>
      </c>
      <c r="J99" s="8" t="s">
        <v>598</v>
      </c>
      <c r="S99" s="16" t="s">
        <v>114</v>
      </c>
      <c r="T99" s="8" t="s">
        <v>181</v>
      </c>
      <c r="U99" s="8" t="s">
        <v>860</v>
      </c>
      <c r="W99" s="8" t="s">
        <v>322</v>
      </c>
      <c r="X99" s="8" t="s">
        <v>408</v>
      </c>
    </row>
    <row r="100" spans="7:24" ht="12.75" x14ac:dyDescent="0.2">
      <c r="G100" s="8" t="s">
        <v>29</v>
      </c>
      <c r="H100" s="8" t="s">
        <v>909</v>
      </c>
      <c r="I100" s="8" t="s">
        <v>324</v>
      </c>
      <c r="J100" s="8" t="s">
        <v>29</v>
      </c>
      <c r="S100" s="16" t="s">
        <v>115</v>
      </c>
      <c r="T100" s="8" t="s">
        <v>185</v>
      </c>
      <c r="U100" s="8" t="s">
        <v>864</v>
      </c>
      <c r="W100" s="8" t="s">
        <v>319</v>
      </c>
      <c r="X100" s="8" t="s">
        <v>409</v>
      </c>
    </row>
    <row r="101" spans="7:24" ht="12.75" x14ac:dyDescent="0.2">
      <c r="G101" s="8" t="s">
        <v>910</v>
      </c>
      <c r="H101" s="8" t="s">
        <v>911</v>
      </c>
      <c r="I101" s="8" t="s">
        <v>912</v>
      </c>
      <c r="J101" s="8" t="s">
        <v>910</v>
      </c>
      <c r="S101" s="16" t="s">
        <v>116</v>
      </c>
      <c r="T101" s="8" t="s">
        <v>187</v>
      </c>
      <c r="U101" s="8" t="s">
        <v>868</v>
      </c>
      <c r="W101" s="8" t="s">
        <v>323</v>
      </c>
      <c r="X101" s="8" t="s">
        <v>410</v>
      </c>
    </row>
    <row r="102" spans="7:24" ht="12.75" x14ac:dyDescent="0.2">
      <c r="G102" s="8" t="s">
        <v>32</v>
      </c>
      <c r="H102" s="8" t="s">
        <v>913</v>
      </c>
      <c r="I102" s="8" t="s">
        <v>590</v>
      </c>
      <c r="J102" s="8" t="s">
        <v>32</v>
      </c>
      <c r="S102" s="16" t="s">
        <v>117</v>
      </c>
      <c r="T102" s="8" t="s">
        <v>191</v>
      </c>
      <c r="U102" s="8" t="s">
        <v>872</v>
      </c>
      <c r="W102" s="8" t="s">
        <v>320</v>
      </c>
      <c r="X102" s="8" t="s">
        <v>411</v>
      </c>
    </row>
    <row r="103" spans="7:24" ht="12.75" x14ac:dyDescent="0.2">
      <c r="G103" s="8" t="s">
        <v>35</v>
      </c>
      <c r="H103" s="8" t="s">
        <v>914</v>
      </c>
      <c r="I103" s="8" t="s">
        <v>915</v>
      </c>
      <c r="J103" s="8" t="s">
        <v>35</v>
      </c>
      <c r="S103" s="16" t="s">
        <v>118</v>
      </c>
      <c r="T103" s="8" t="s">
        <v>194</v>
      </c>
      <c r="U103" s="8" t="s">
        <v>874</v>
      </c>
      <c r="W103" s="8" t="s">
        <v>916</v>
      </c>
      <c r="X103" s="8" t="s">
        <v>208</v>
      </c>
    </row>
    <row r="104" spans="7:24" ht="12.75" x14ac:dyDescent="0.2">
      <c r="G104" s="8" t="s">
        <v>917</v>
      </c>
      <c r="H104" s="8" t="s">
        <v>918</v>
      </c>
      <c r="I104" s="8" t="s">
        <v>919</v>
      </c>
      <c r="J104" s="8" t="s">
        <v>917</v>
      </c>
      <c r="S104" s="16" t="s">
        <v>119</v>
      </c>
      <c r="T104" s="8" t="s">
        <v>402</v>
      </c>
      <c r="U104" s="8" t="s">
        <v>878</v>
      </c>
      <c r="W104" s="8" t="s">
        <v>920</v>
      </c>
      <c r="X104" s="8" t="s">
        <v>209</v>
      </c>
    </row>
    <row r="105" spans="7:24" ht="12.75" x14ac:dyDescent="0.2">
      <c r="G105" s="8" t="s">
        <v>38</v>
      </c>
      <c r="H105" s="8" t="s">
        <v>921</v>
      </c>
      <c r="I105" s="8" t="s">
        <v>327</v>
      </c>
      <c r="J105" s="8" t="s">
        <v>38</v>
      </c>
      <c r="S105" s="16" t="s">
        <v>120</v>
      </c>
      <c r="T105" s="8" t="s">
        <v>197</v>
      </c>
      <c r="U105" s="8" t="s">
        <v>882</v>
      </c>
      <c r="W105" s="8" t="s">
        <v>922</v>
      </c>
      <c r="X105" s="8" t="s">
        <v>212</v>
      </c>
    </row>
    <row r="106" spans="7:24" ht="12.75" x14ac:dyDescent="0.2">
      <c r="G106" s="8" t="s">
        <v>923</v>
      </c>
      <c r="H106" s="8" t="s">
        <v>924</v>
      </c>
      <c r="I106" s="8" t="s">
        <v>925</v>
      </c>
      <c r="J106" s="8" t="s">
        <v>923</v>
      </c>
      <c r="S106" s="16" t="s">
        <v>365</v>
      </c>
      <c r="T106" s="8" t="s">
        <v>199</v>
      </c>
      <c r="U106" s="8" t="s">
        <v>886</v>
      </c>
      <c r="W106" s="8" t="s">
        <v>926</v>
      </c>
      <c r="X106" s="8" t="s">
        <v>213</v>
      </c>
    </row>
    <row r="107" spans="7:24" ht="12.75" x14ac:dyDescent="0.2">
      <c r="G107" s="8" t="s">
        <v>40</v>
      </c>
      <c r="H107" s="8" t="s">
        <v>927</v>
      </c>
      <c r="I107" s="8" t="s">
        <v>928</v>
      </c>
      <c r="J107" s="8" t="s">
        <v>40</v>
      </c>
      <c r="S107" s="16" t="s">
        <v>366</v>
      </c>
      <c r="T107" s="8" t="s">
        <v>404</v>
      </c>
      <c r="U107" s="8" t="s">
        <v>890</v>
      </c>
      <c r="W107" s="8" t="s">
        <v>929</v>
      </c>
      <c r="X107" s="8" t="s">
        <v>214</v>
      </c>
    </row>
    <row r="108" spans="7:24" ht="12.75" x14ac:dyDescent="0.2">
      <c r="G108" s="8" t="s">
        <v>930</v>
      </c>
      <c r="H108" s="8" t="s">
        <v>931</v>
      </c>
      <c r="I108" s="8" t="s">
        <v>932</v>
      </c>
      <c r="J108" s="8" t="s">
        <v>930</v>
      </c>
      <c r="S108" s="16" t="s">
        <v>368</v>
      </c>
      <c r="T108" s="8" t="s">
        <v>406</v>
      </c>
      <c r="U108" s="8" t="s">
        <v>892</v>
      </c>
      <c r="W108" s="8" t="s">
        <v>933</v>
      </c>
      <c r="X108" s="8" t="s">
        <v>216</v>
      </c>
    </row>
    <row r="109" spans="7:24" ht="12.75" x14ac:dyDescent="0.2">
      <c r="G109" s="8" t="s">
        <v>934</v>
      </c>
      <c r="H109" s="8" t="s">
        <v>935</v>
      </c>
      <c r="I109" s="8" t="s">
        <v>936</v>
      </c>
      <c r="J109" s="8" t="s">
        <v>934</v>
      </c>
      <c r="S109" s="16" t="s">
        <v>36</v>
      </c>
      <c r="T109" s="8" t="s">
        <v>201</v>
      </c>
      <c r="U109" s="8" t="s">
        <v>895</v>
      </c>
      <c r="W109" s="8" t="s">
        <v>937</v>
      </c>
      <c r="X109" s="8" t="s">
        <v>217</v>
      </c>
    </row>
    <row r="110" spans="7:24" ht="12.75" x14ac:dyDescent="0.2">
      <c r="G110" s="8" t="s">
        <v>938</v>
      </c>
      <c r="H110" s="8" t="s">
        <v>939</v>
      </c>
      <c r="I110" s="8" t="s">
        <v>940</v>
      </c>
      <c r="J110" s="8" t="s">
        <v>938</v>
      </c>
      <c r="S110" s="16" t="s">
        <v>369</v>
      </c>
      <c r="T110" s="8" t="s">
        <v>202</v>
      </c>
      <c r="U110" s="8" t="s">
        <v>897</v>
      </c>
      <c r="W110" s="8" t="s">
        <v>941</v>
      </c>
      <c r="X110" s="8" t="s">
        <v>220</v>
      </c>
    </row>
    <row r="111" spans="7:24" ht="12.75" x14ac:dyDescent="0.2">
      <c r="G111" s="8" t="s">
        <v>42</v>
      </c>
      <c r="H111" s="8" t="s">
        <v>942</v>
      </c>
      <c r="I111" s="8" t="s">
        <v>943</v>
      </c>
      <c r="J111" s="8" t="s">
        <v>42</v>
      </c>
      <c r="S111" s="16" t="s">
        <v>371</v>
      </c>
      <c r="T111" s="8" t="s">
        <v>203</v>
      </c>
      <c r="U111" s="8" t="s">
        <v>899</v>
      </c>
      <c r="W111" s="8" t="s">
        <v>944</v>
      </c>
      <c r="X111" s="8" t="s">
        <v>222</v>
      </c>
    </row>
    <row r="112" spans="7:24" ht="12.75" x14ac:dyDescent="0.2">
      <c r="G112" s="8" t="s">
        <v>945</v>
      </c>
      <c r="H112" s="8" t="s">
        <v>939</v>
      </c>
      <c r="I112" s="8" t="s">
        <v>946</v>
      </c>
      <c r="J112" s="8" t="s">
        <v>945</v>
      </c>
      <c r="S112" s="19" t="s">
        <v>372</v>
      </c>
      <c r="T112" s="8" t="s">
        <v>204</v>
      </c>
      <c r="U112" s="8" t="s">
        <v>902</v>
      </c>
      <c r="W112" s="8" t="s">
        <v>947</v>
      </c>
      <c r="X112" s="8" t="s">
        <v>223</v>
      </c>
    </row>
    <row r="113" spans="7:24" ht="12.75" x14ac:dyDescent="0.2">
      <c r="G113" s="8" t="s">
        <v>44</v>
      </c>
      <c r="H113" s="8" t="s">
        <v>948</v>
      </c>
      <c r="I113" s="8" t="s">
        <v>599</v>
      </c>
      <c r="J113" s="8" t="s">
        <v>44</v>
      </c>
      <c r="S113" s="19" t="s">
        <v>374</v>
      </c>
      <c r="T113" s="8" t="s">
        <v>207</v>
      </c>
      <c r="U113" s="8" t="s">
        <v>906</v>
      </c>
      <c r="W113" s="8" t="s">
        <v>949</v>
      </c>
      <c r="X113" s="8" t="s">
        <v>226</v>
      </c>
    </row>
    <row r="114" spans="7:24" ht="12.75" x14ac:dyDescent="0.2">
      <c r="G114" s="8" t="s">
        <v>46</v>
      </c>
      <c r="H114" s="8" t="s">
        <v>950</v>
      </c>
      <c r="I114" s="8" t="s">
        <v>951</v>
      </c>
      <c r="J114" s="8" t="s">
        <v>46</v>
      </c>
      <c r="S114" s="19" t="s">
        <v>33</v>
      </c>
      <c r="T114" s="8" t="s">
        <v>408</v>
      </c>
      <c r="U114" s="8" t="s">
        <v>322</v>
      </c>
      <c r="W114" s="8" t="s">
        <v>952</v>
      </c>
      <c r="X114" s="8" t="s">
        <v>228</v>
      </c>
    </row>
    <row r="115" spans="7:24" ht="12.75" x14ac:dyDescent="0.2">
      <c r="G115" s="8" t="s">
        <v>47</v>
      </c>
      <c r="H115" s="8" t="s">
        <v>953</v>
      </c>
      <c r="I115" s="8" t="s">
        <v>604</v>
      </c>
      <c r="J115" s="8" t="s">
        <v>47</v>
      </c>
      <c r="S115" s="16" t="s">
        <v>375</v>
      </c>
      <c r="T115" s="8" t="s">
        <v>409</v>
      </c>
      <c r="U115" s="8" t="s">
        <v>319</v>
      </c>
      <c r="W115" s="8" t="s">
        <v>954</v>
      </c>
      <c r="X115" s="8" t="s">
        <v>230</v>
      </c>
    </row>
    <row r="116" spans="7:24" ht="12.75" x14ac:dyDescent="0.2">
      <c r="G116" s="8" t="s">
        <v>955</v>
      </c>
      <c r="H116" s="8" t="s">
        <v>956</v>
      </c>
      <c r="I116" s="8" t="s">
        <v>957</v>
      </c>
      <c r="J116" s="8" t="s">
        <v>955</v>
      </c>
      <c r="S116" s="16" t="s">
        <v>376</v>
      </c>
      <c r="T116" s="8" t="s">
        <v>410</v>
      </c>
      <c r="U116" s="8" t="s">
        <v>323</v>
      </c>
      <c r="W116" s="8" t="s">
        <v>958</v>
      </c>
      <c r="X116" s="8" t="s">
        <v>24</v>
      </c>
    </row>
    <row r="117" spans="7:24" ht="12.75" x14ac:dyDescent="0.2">
      <c r="G117" s="8" t="s">
        <v>959</v>
      </c>
      <c r="H117" s="8" t="s">
        <v>960</v>
      </c>
      <c r="I117" s="8" t="s">
        <v>961</v>
      </c>
      <c r="J117" s="8" t="s">
        <v>959</v>
      </c>
      <c r="S117" s="16" t="s">
        <v>122</v>
      </c>
      <c r="T117" s="8" t="s">
        <v>411</v>
      </c>
      <c r="U117" s="8" t="s">
        <v>320</v>
      </c>
      <c r="W117" s="8" t="s">
        <v>962</v>
      </c>
      <c r="X117" s="8" t="s">
        <v>232</v>
      </c>
    </row>
    <row r="118" spans="7:24" ht="12.75" x14ac:dyDescent="0.2">
      <c r="G118" s="8" t="s">
        <v>963</v>
      </c>
      <c r="H118" s="8" t="s">
        <v>964</v>
      </c>
      <c r="I118" s="8" t="s">
        <v>965</v>
      </c>
      <c r="J118" s="8" t="s">
        <v>963</v>
      </c>
      <c r="S118" s="16" t="s">
        <v>966</v>
      </c>
      <c r="T118" s="8" t="s">
        <v>208</v>
      </c>
      <c r="U118" s="8" t="s">
        <v>916</v>
      </c>
      <c r="W118" s="8" t="s">
        <v>967</v>
      </c>
      <c r="X118" s="8" t="s">
        <v>233</v>
      </c>
    </row>
    <row r="119" spans="7:24" ht="12.75" x14ac:dyDescent="0.2">
      <c r="G119" s="8" t="s">
        <v>48</v>
      </c>
      <c r="H119" s="8" t="s">
        <v>968</v>
      </c>
      <c r="I119" s="8" t="s">
        <v>969</v>
      </c>
      <c r="J119" s="8" t="s">
        <v>48</v>
      </c>
      <c r="S119" s="16" t="s">
        <v>123</v>
      </c>
      <c r="T119" s="8" t="s">
        <v>209</v>
      </c>
      <c r="U119" s="8" t="s">
        <v>920</v>
      </c>
      <c r="W119" s="8" t="s">
        <v>318</v>
      </c>
      <c r="X119" s="8" t="s">
        <v>416</v>
      </c>
    </row>
    <row r="120" spans="7:24" ht="12.75" x14ac:dyDescent="0.2">
      <c r="G120" s="8" t="s">
        <v>970</v>
      </c>
      <c r="H120" s="8" t="s">
        <v>971</v>
      </c>
      <c r="I120" s="8" t="s">
        <v>972</v>
      </c>
      <c r="J120" s="8" t="s">
        <v>970</v>
      </c>
      <c r="S120" s="16" t="s">
        <v>124</v>
      </c>
      <c r="T120" s="8" t="s">
        <v>212</v>
      </c>
      <c r="U120" s="8" t="s">
        <v>922</v>
      </c>
      <c r="W120" s="8" t="s">
        <v>318</v>
      </c>
      <c r="X120" s="8" t="s">
        <v>417</v>
      </c>
    </row>
    <row r="121" spans="7:24" ht="12.75" x14ac:dyDescent="0.2">
      <c r="G121" s="8" t="s">
        <v>973</v>
      </c>
      <c r="H121" s="8" t="s">
        <v>974</v>
      </c>
      <c r="I121" s="8" t="s">
        <v>975</v>
      </c>
      <c r="J121" s="8" t="s">
        <v>973</v>
      </c>
      <c r="S121" s="20" t="s">
        <v>383</v>
      </c>
      <c r="T121" s="8" t="s">
        <v>213</v>
      </c>
      <c r="U121" s="8" t="s">
        <v>926</v>
      </c>
      <c r="W121" s="8" t="s">
        <v>976</v>
      </c>
      <c r="X121" s="8" t="s">
        <v>235</v>
      </c>
    </row>
    <row r="122" spans="7:24" ht="12.75" x14ac:dyDescent="0.2">
      <c r="G122" s="8" t="s">
        <v>977</v>
      </c>
      <c r="H122" s="8" t="s">
        <v>978</v>
      </c>
      <c r="I122" s="8" t="s">
        <v>979</v>
      </c>
      <c r="J122" s="8" t="s">
        <v>977</v>
      </c>
      <c r="S122" s="16" t="s">
        <v>384</v>
      </c>
      <c r="T122" s="8" t="s">
        <v>214</v>
      </c>
      <c r="U122" s="8" t="s">
        <v>929</v>
      </c>
      <c r="W122" s="8" t="s">
        <v>980</v>
      </c>
      <c r="X122" s="8" t="s">
        <v>236</v>
      </c>
    </row>
    <row r="123" spans="7:24" ht="12.75" x14ac:dyDescent="0.2">
      <c r="G123" s="8" t="s">
        <v>981</v>
      </c>
      <c r="H123" s="8" t="s">
        <v>982</v>
      </c>
      <c r="I123" s="8" t="s">
        <v>983</v>
      </c>
      <c r="J123" s="8" t="s">
        <v>981</v>
      </c>
      <c r="S123" s="16" t="s">
        <v>385</v>
      </c>
      <c r="T123" s="8" t="s">
        <v>216</v>
      </c>
      <c r="U123" s="8" t="s">
        <v>933</v>
      </c>
      <c r="W123" s="8" t="s">
        <v>984</v>
      </c>
      <c r="X123" s="8" t="s">
        <v>238</v>
      </c>
    </row>
    <row r="124" spans="7:24" ht="12.75" x14ac:dyDescent="0.2">
      <c r="G124" s="8" t="s">
        <v>985</v>
      </c>
      <c r="H124" s="8" t="s">
        <v>986</v>
      </c>
      <c r="I124" s="8" t="s">
        <v>987</v>
      </c>
      <c r="J124" s="8" t="s">
        <v>985</v>
      </c>
      <c r="S124" s="16" t="s">
        <v>125</v>
      </c>
      <c r="T124" s="8" t="s">
        <v>217</v>
      </c>
      <c r="U124" s="8" t="s">
        <v>937</v>
      </c>
      <c r="W124" s="8" t="s">
        <v>988</v>
      </c>
      <c r="X124" s="8" t="s">
        <v>240</v>
      </c>
    </row>
    <row r="125" spans="7:24" ht="12.75" x14ac:dyDescent="0.2">
      <c r="G125" s="8" t="s">
        <v>989</v>
      </c>
      <c r="H125" s="8" t="s">
        <v>990</v>
      </c>
      <c r="I125" s="8" t="s">
        <v>991</v>
      </c>
      <c r="J125" s="8" t="s">
        <v>989</v>
      </c>
      <c r="S125" s="16" t="s">
        <v>126</v>
      </c>
      <c r="T125" s="8" t="s">
        <v>220</v>
      </c>
      <c r="U125" s="8" t="s">
        <v>941</v>
      </c>
      <c r="W125" s="8" t="s">
        <v>992</v>
      </c>
      <c r="X125" s="8" t="s">
        <v>241</v>
      </c>
    </row>
    <row r="126" spans="7:24" ht="12.75" x14ac:dyDescent="0.2">
      <c r="G126" s="8" t="s">
        <v>49</v>
      </c>
      <c r="H126" s="8" t="s">
        <v>993</v>
      </c>
      <c r="I126" s="8" t="s">
        <v>994</v>
      </c>
      <c r="J126" s="8" t="s">
        <v>49</v>
      </c>
      <c r="S126" s="16" t="s">
        <v>127</v>
      </c>
      <c r="T126" s="8" t="s">
        <v>222</v>
      </c>
      <c r="U126" s="8" t="s">
        <v>944</v>
      </c>
      <c r="W126" s="8" t="s">
        <v>318</v>
      </c>
      <c r="X126" s="8" t="s">
        <v>419</v>
      </c>
    </row>
    <row r="127" spans="7:24" ht="12.75" x14ac:dyDescent="0.2">
      <c r="G127" s="8" t="s">
        <v>995</v>
      </c>
      <c r="H127" s="8" t="s">
        <v>996</v>
      </c>
      <c r="I127" s="8" t="s">
        <v>997</v>
      </c>
      <c r="J127" s="8" t="s">
        <v>995</v>
      </c>
      <c r="S127" s="16" t="s">
        <v>386</v>
      </c>
      <c r="T127" s="8" t="s">
        <v>223</v>
      </c>
      <c r="U127" s="8" t="s">
        <v>947</v>
      </c>
      <c r="W127" s="8" t="s">
        <v>318</v>
      </c>
      <c r="X127" s="8" t="s">
        <v>420</v>
      </c>
    </row>
    <row r="128" spans="7:24" ht="12.75" x14ac:dyDescent="0.2">
      <c r="G128" s="8" t="s">
        <v>998</v>
      </c>
      <c r="H128" s="8" t="s">
        <v>999</v>
      </c>
      <c r="I128" s="8" t="s">
        <v>1000</v>
      </c>
      <c r="J128" s="8" t="s">
        <v>998</v>
      </c>
      <c r="S128" s="16" t="s">
        <v>387</v>
      </c>
      <c r="T128" s="8" t="s">
        <v>226</v>
      </c>
      <c r="U128" s="8" t="s">
        <v>949</v>
      </c>
      <c r="W128" s="8" t="s">
        <v>1001</v>
      </c>
      <c r="X128" s="8" t="s">
        <v>242</v>
      </c>
    </row>
    <row r="129" spans="7:24" ht="12.75" x14ac:dyDescent="0.2">
      <c r="G129" s="8" t="s">
        <v>1002</v>
      </c>
      <c r="H129" s="8" t="s">
        <v>1003</v>
      </c>
      <c r="I129" s="8" t="s">
        <v>1004</v>
      </c>
      <c r="J129" s="8" t="s">
        <v>1002</v>
      </c>
      <c r="S129" s="16" t="s">
        <v>128</v>
      </c>
      <c r="T129" s="8" t="s">
        <v>228</v>
      </c>
      <c r="U129" s="8" t="s">
        <v>952</v>
      </c>
      <c r="W129" s="8" t="s">
        <v>1005</v>
      </c>
      <c r="X129" s="8" t="s">
        <v>244</v>
      </c>
    </row>
    <row r="130" spans="7:24" ht="12.75" x14ac:dyDescent="0.2">
      <c r="G130" s="8" t="s">
        <v>1006</v>
      </c>
      <c r="H130" s="8" t="s">
        <v>1007</v>
      </c>
      <c r="I130" s="8" t="s">
        <v>1008</v>
      </c>
      <c r="J130" s="8" t="s">
        <v>1006</v>
      </c>
      <c r="S130" s="16" t="s">
        <v>129</v>
      </c>
      <c r="T130" s="8" t="s">
        <v>230</v>
      </c>
      <c r="U130" s="8" t="s">
        <v>954</v>
      </c>
      <c r="W130" s="8" t="s">
        <v>1009</v>
      </c>
      <c r="X130" s="8" t="s">
        <v>423</v>
      </c>
    </row>
    <row r="131" spans="7:24" ht="12.75" x14ac:dyDescent="0.2">
      <c r="G131" s="8" t="s">
        <v>1010</v>
      </c>
      <c r="H131" s="8" t="s">
        <v>1011</v>
      </c>
      <c r="I131" s="8" t="s">
        <v>1012</v>
      </c>
      <c r="J131" s="8" t="s">
        <v>1010</v>
      </c>
      <c r="S131" s="16" t="s">
        <v>130</v>
      </c>
      <c r="T131" s="8" t="s">
        <v>24</v>
      </c>
      <c r="U131" s="8" t="s">
        <v>958</v>
      </c>
      <c r="W131" s="8" t="s">
        <v>1013</v>
      </c>
      <c r="X131" s="8" t="s">
        <v>246</v>
      </c>
    </row>
    <row r="132" spans="7:24" ht="12.75" x14ac:dyDescent="0.2">
      <c r="G132" s="8" t="s">
        <v>50</v>
      </c>
      <c r="H132" s="8" t="s">
        <v>1014</v>
      </c>
      <c r="I132" s="8" t="s">
        <v>1015</v>
      </c>
      <c r="J132" s="8" t="s">
        <v>50</v>
      </c>
      <c r="S132" s="16" t="s">
        <v>131</v>
      </c>
      <c r="T132" s="8" t="s">
        <v>232</v>
      </c>
      <c r="U132" s="8" t="s">
        <v>962</v>
      </c>
      <c r="W132" s="8" t="s">
        <v>1016</v>
      </c>
      <c r="X132" s="8" t="s">
        <v>248</v>
      </c>
    </row>
    <row r="133" spans="7:24" ht="12.75" x14ac:dyDescent="0.2">
      <c r="G133" s="8" t="s">
        <v>1017</v>
      </c>
      <c r="H133" s="8" t="s">
        <v>1018</v>
      </c>
      <c r="I133" s="8" t="s">
        <v>1019</v>
      </c>
      <c r="J133" s="8" t="s">
        <v>1017</v>
      </c>
      <c r="S133" s="16" t="s">
        <v>132</v>
      </c>
      <c r="T133" s="8" t="s">
        <v>233</v>
      </c>
      <c r="U133" s="8" t="s">
        <v>967</v>
      </c>
      <c r="W133" s="8" t="s">
        <v>318</v>
      </c>
      <c r="X133" s="8" t="s">
        <v>250</v>
      </c>
    </row>
    <row r="134" spans="7:24" ht="12.75" x14ac:dyDescent="0.2">
      <c r="G134" s="8" t="s">
        <v>338</v>
      </c>
      <c r="H134" s="8" t="s">
        <v>1020</v>
      </c>
      <c r="I134" s="8" t="s">
        <v>1021</v>
      </c>
      <c r="J134" s="8" t="s">
        <v>338</v>
      </c>
      <c r="S134" s="16" t="s">
        <v>390</v>
      </c>
      <c r="T134" s="8" t="s">
        <v>416</v>
      </c>
      <c r="U134" s="8" t="s">
        <v>318</v>
      </c>
      <c r="W134" s="8" t="s">
        <v>318</v>
      </c>
      <c r="X134" s="8" t="s">
        <v>251</v>
      </c>
    </row>
    <row r="135" spans="7:24" ht="12.75" x14ac:dyDescent="0.2">
      <c r="G135" s="8" t="s">
        <v>1022</v>
      </c>
      <c r="H135" s="8" t="s">
        <v>1023</v>
      </c>
      <c r="I135" s="8" t="s">
        <v>1024</v>
      </c>
      <c r="J135" s="8" t="s">
        <v>1022</v>
      </c>
      <c r="S135" s="16" t="s">
        <v>133</v>
      </c>
      <c r="T135" s="8" t="s">
        <v>417</v>
      </c>
      <c r="U135" s="8" t="s">
        <v>318</v>
      </c>
      <c r="W135" s="8" t="s">
        <v>318</v>
      </c>
      <c r="X135" s="8" t="s">
        <v>252</v>
      </c>
    </row>
    <row r="136" spans="7:24" ht="12.75" x14ac:dyDescent="0.2">
      <c r="G136" s="8" t="s">
        <v>51</v>
      </c>
      <c r="H136" s="8" t="s">
        <v>1025</v>
      </c>
      <c r="I136" s="8" t="s">
        <v>609</v>
      </c>
      <c r="J136" s="8" t="s">
        <v>51</v>
      </c>
      <c r="S136" s="16" t="s">
        <v>134</v>
      </c>
      <c r="T136" s="8" t="s">
        <v>235</v>
      </c>
      <c r="U136" s="8" t="s">
        <v>976</v>
      </c>
      <c r="W136" s="8" t="s">
        <v>318</v>
      </c>
      <c r="X136" s="8" t="s">
        <v>253</v>
      </c>
    </row>
    <row r="137" spans="7:24" ht="12.75" x14ac:dyDescent="0.2">
      <c r="G137" s="8" t="s">
        <v>52</v>
      </c>
      <c r="H137" s="8" t="s">
        <v>1026</v>
      </c>
      <c r="I137" s="8" t="s">
        <v>614</v>
      </c>
      <c r="J137" s="8" t="s">
        <v>52</v>
      </c>
      <c r="S137" s="16" t="s">
        <v>135</v>
      </c>
      <c r="T137" s="8" t="s">
        <v>236</v>
      </c>
      <c r="U137" s="8" t="s">
        <v>980</v>
      </c>
      <c r="W137" s="8" t="s">
        <v>318</v>
      </c>
      <c r="X137" s="8" t="s">
        <v>254</v>
      </c>
    </row>
    <row r="138" spans="7:24" ht="12.75" x14ac:dyDescent="0.2">
      <c r="G138" s="8" t="s">
        <v>1027</v>
      </c>
      <c r="H138" s="8" t="s">
        <v>1028</v>
      </c>
      <c r="I138" s="8" t="s">
        <v>1029</v>
      </c>
      <c r="J138" s="8" t="s">
        <v>1027</v>
      </c>
      <c r="S138" s="16" t="s">
        <v>136</v>
      </c>
      <c r="T138" s="8" t="s">
        <v>238</v>
      </c>
      <c r="U138" s="8" t="s">
        <v>984</v>
      </c>
      <c r="W138" s="8" t="s">
        <v>318</v>
      </c>
      <c r="X138" s="8" t="s">
        <v>255</v>
      </c>
    </row>
    <row r="139" spans="7:24" ht="12.75" x14ac:dyDescent="0.2">
      <c r="G139" s="8" t="s">
        <v>1030</v>
      </c>
      <c r="H139" s="8" t="s">
        <v>1031</v>
      </c>
      <c r="I139" s="8" t="s">
        <v>1032</v>
      </c>
      <c r="J139" s="8" t="s">
        <v>1030</v>
      </c>
      <c r="S139" s="16" t="s">
        <v>137</v>
      </c>
      <c r="T139" s="8" t="s">
        <v>240</v>
      </c>
      <c r="U139" s="8" t="s">
        <v>988</v>
      </c>
      <c r="W139" s="8" t="s">
        <v>318</v>
      </c>
      <c r="X139" s="8" t="s">
        <v>256</v>
      </c>
    </row>
    <row r="140" spans="7:24" ht="12.75" x14ac:dyDescent="0.2">
      <c r="G140" s="8" t="s">
        <v>1033</v>
      </c>
      <c r="H140" s="8" t="s">
        <v>1034</v>
      </c>
      <c r="I140" s="8" t="s">
        <v>1035</v>
      </c>
      <c r="J140" s="8" t="s">
        <v>1033</v>
      </c>
      <c r="S140" s="16" t="s">
        <v>138</v>
      </c>
      <c r="T140" s="8" t="s">
        <v>241</v>
      </c>
      <c r="U140" s="8" t="s">
        <v>992</v>
      </c>
      <c r="W140" s="8" t="s">
        <v>318</v>
      </c>
      <c r="X140" s="8" t="s">
        <v>427</v>
      </c>
    </row>
    <row r="141" spans="7:24" ht="12.75" x14ac:dyDescent="0.2">
      <c r="G141" s="8" t="s">
        <v>1036</v>
      </c>
      <c r="H141" s="8" t="s">
        <v>1037</v>
      </c>
      <c r="I141" s="8" t="s">
        <v>1038</v>
      </c>
      <c r="J141" s="8" t="s">
        <v>1036</v>
      </c>
      <c r="S141" s="16" t="s">
        <v>139</v>
      </c>
      <c r="T141" s="8" t="s">
        <v>419</v>
      </c>
      <c r="U141" s="8" t="s">
        <v>318</v>
      </c>
      <c r="W141" s="8" t="s">
        <v>318</v>
      </c>
      <c r="X141" s="8" t="s">
        <v>257</v>
      </c>
    </row>
    <row r="142" spans="7:24" ht="12.75" x14ac:dyDescent="0.2">
      <c r="G142" s="8" t="s">
        <v>1039</v>
      </c>
      <c r="H142" s="8" t="s">
        <v>1040</v>
      </c>
      <c r="I142" s="8" t="s">
        <v>1041</v>
      </c>
      <c r="J142" s="8" t="s">
        <v>1039</v>
      </c>
      <c r="S142" s="16" t="s">
        <v>140</v>
      </c>
      <c r="T142" s="8" t="s">
        <v>420</v>
      </c>
      <c r="U142" s="8" t="s">
        <v>318</v>
      </c>
      <c r="W142" s="8" t="s">
        <v>1042</v>
      </c>
      <c r="X142" s="8" t="s">
        <v>258</v>
      </c>
    </row>
    <row r="143" spans="7:24" ht="12.75" x14ac:dyDescent="0.2">
      <c r="G143" s="8" t="s">
        <v>53</v>
      </c>
      <c r="H143" s="8" t="s">
        <v>1043</v>
      </c>
      <c r="I143" s="8" t="s">
        <v>1044</v>
      </c>
      <c r="J143" s="8" t="s">
        <v>53</v>
      </c>
      <c r="S143" s="16" t="s">
        <v>1045</v>
      </c>
      <c r="T143" s="8" t="s">
        <v>242</v>
      </c>
      <c r="U143" s="8" t="s">
        <v>1001</v>
      </c>
      <c r="W143" s="8" t="s">
        <v>1046</v>
      </c>
      <c r="X143" s="8" t="s">
        <v>260</v>
      </c>
    </row>
    <row r="144" spans="7:24" ht="12.75" x14ac:dyDescent="0.2">
      <c r="G144" s="8" t="s">
        <v>1047</v>
      </c>
      <c r="H144" s="8" t="s">
        <v>1048</v>
      </c>
      <c r="I144" s="8" t="s">
        <v>1049</v>
      </c>
      <c r="J144" s="8" t="s">
        <v>1047</v>
      </c>
      <c r="S144" s="16" t="s">
        <v>141</v>
      </c>
      <c r="T144" s="8" t="s">
        <v>244</v>
      </c>
      <c r="U144" s="8" t="s">
        <v>1005</v>
      </c>
      <c r="W144" s="8" t="s">
        <v>1050</v>
      </c>
      <c r="X144" s="8" t="s">
        <v>261</v>
      </c>
    </row>
    <row r="145" spans="7:24" ht="12.75" x14ac:dyDescent="0.2">
      <c r="G145" s="8" t="s">
        <v>1051</v>
      </c>
      <c r="H145" s="8" t="s">
        <v>1052</v>
      </c>
      <c r="I145" s="8" t="s">
        <v>1053</v>
      </c>
      <c r="J145" s="8" t="s">
        <v>1051</v>
      </c>
      <c r="S145" s="16" t="s">
        <v>142</v>
      </c>
      <c r="T145" s="8" t="s">
        <v>423</v>
      </c>
      <c r="U145" s="8" t="s">
        <v>1009</v>
      </c>
      <c r="W145" s="8" t="s">
        <v>1050</v>
      </c>
      <c r="X145" s="8" t="s">
        <v>261</v>
      </c>
    </row>
    <row r="146" spans="7:24" ht="12.75" x14ac:dyDescent="0.2">
      <c r="G146" s="8" t="s">
        <v>1054</v>
      </c>
      <c r="H146" s="8" t="s">
        <v>1055</v>
      </c>
      <c r="I146" s="8" t="s">
        <v>1056</v>
      </c>
      <c r="J146" s="8" t="s">
        <v>1054</v>
      </c>
      <c r="S146" s="16" t="s">
        <v>143</v>
      </c>
      <c r="T146" s="8" t="s">
        <v>246</v>
      </c>
      <c r="U146" s="8" t="s">
        <v>1013</v>
      </c>
      <c r="W146" s="8" t="s">
        <v>1057</v>
      </c>
      <c r="X146" s="8" t="s">
        <v>441</v>
      </c>
    </row>
    <row r="147" spans="7:24" ht="12.75" x14ac:dyDescent="0.2">
      <c r="G147" s="8" t="s">
        <v>340</v>
      </c>
      <c r="H147" s="8" t="s">
        <v>1058</v>
      </c>
      <c r="I147" s="8" t="s">
        <v>1059</v>
      </c>
      <c r="J147" s="8" t="s">
        <v>340</v>
      </c>
      <c r="S147" s="16" t="s">
        <v>144</v>
      </c>
      <c r="T147" s="8" t="s">
        <v>248</v>
      </c>
      <c r="U147" s="8" t="s">
        <v>1016</v>
      </c>
      <c r="W147" s="8" t="s">
        <v>1057</v>
      </c>
      <c r="X147" s="8" t="s">
        <v>441</v>
      </c>
    </row>
    <row r="148" spans="7:24" ht="12.75" x14ac:dyDescent="0.2">
      <c r="G148" s="8" t="s">
        <v>1060</v>
      </c>
      <c r="H148" s="8" t="s">
        <v>1061</v>
      </c>
      <c r="I148" s="8" t="s">
        <v>1062</v>
      </c>
      <c r="J148" s="8" t="s">
        <v>1060</v>
      </c>
      <c r="S148" s="16" t="s">
        <v>145</v>
      </c>
      <c r="T148" s="8" t="s">
        <v>250</v>
      </c>
      <c r="U148" s="8" t="s">
        <v>318</v>
      </c>
      <c r="W148" s="8" t="s">
        <v>1063</v>
      </c>
      <c r="X148" s="8" t="s">
        <v>263</v>
      </c>
    </row>
    <row r="149" spans="7:24" ht="12.75" x14ac:dyDescent="0.2">
      <c r="G149" s="8" t="s">
        <v>1064</v>
      </c>
      <c r="H149" s="8" t="s">
        <v>1065</v>
      </c>
      <c r="I149" s="8" t="s">
        <v>1066</v>
      </c>
      <c r="J149" s="8" t="s">
        <v>1064</v>
      </c>
      <c r="S149" s="16" t="s">
        <v>146</v>
      </c>
      <c r="T149" s="8" t="s">
        <v>251</v>
      </c>
      <c r="U149" s="8" t="s">
        <v>318</v>
      </c>
      <c r="W149" s="8" t="s">
        <v>1067</v>
      </c>
      <c r="X149" s="8" t="s">
        <v>265</v>
      </c>
    </row>
    <row r="150" spans="7:24" ht="12.75" x14ac:dyDescent="0.2">
      <c r="G150" s="8" t="s">
        <v>1068</v>
      </c>
      <c r="H150" s="8" t="s">
        <v>1069</v>
      </c>
      <c r="I150" s="8" t="s">
        <v>1070</v>
      </c>
      <c r="J150" s="8" t="s">
        <v>1068</v>
      </c>
      <c r="S150" s="16" t="s">
        <v>392</v>
      </c>
      <c r="T150" s="8" t="s">
        <v>252</v>
      </c>
      <c r="U150" s="8" t="s">
        <v>318</v>
      </c>
      <c r="W150" s="8" t="s">
        <v>318</v>
      </c>
      <c r="X150" s="8" t="s">
        <v>266</v>
      </c>
    </row>
    <row r="151" spans="7:24" ht="12.75" x14ac:dyDescent="0.2">
      <c r="G151" s="8" t="s">
        <v>1071</v>
      </c>
      <c r="H151" s="8" t="s">
        <v>1072</v>
      </c>
      <c r="I151" s="8" t="s">
        <v>1073</v>
      </c>
      <c r="J151" s="8" t="s">
        <v>1071</v>
      </c>
      <c r="S151" s="16" t="s">
        <v>147</v>
      </c>
      <c r="T151" s="8" t="s">
        <v>253</v>
      </c>
      <c r="U151" s="8" t="s">
        <v>318</v>
      </c>
      <c r="W151" s="8" t="s">
        <v>1074</v>
      </c>
      <c r="X151" s="8" t="s">
        <v>445</v>
      </c>
    </row>
    <row r="152" spans="7:24" ht="12.75" x14ac:dyDescent="0.2">
      <c r="G152" s="8" t="s">
        <v>1075</v>
      </c>
      <c r="H152" s="8" t="s">
        <v>1076</v>
      </c>
      <c r="I152" s="8" t="s">
        <v>1077</v>
      </c>
      <c r="J152" s="8" t="s">
        <v>1075</v>
      </c>
      <c r="S152" s="16" t="s">
        <v>148</v>
      </c>
      <c r="T152" s="8" t="s">
        <v>254</v>
      </c>
      <c r="U152" s="8" t="s">
        <v>318</v>
      </c>
      <c r="W152" s="8" t="s">
        <v>1078</v>
      </c>
      <c r="X152" s="8" t="s">
        <v>267</v>
      </c>
    </row>
    <row r="153" spans="7:24" ht="12.75" x14ac:dyDescent="0.2">
      <c r="G153" s="8" t="s">
        <v>1079</v>
      </c>
      <c r="H153" s="8" t="s">
        <v>1080</v>
      </c>
      <c r="I153" s="8" t="s">
        <v>1081</v>
      </c>
      <c r="J153" s="8" t="s">
        <v>1079</v>
      </c>
      <c r="S153" s="16" t="s">
        <v>149</v>
      </c>
      <c r="T153" s="8" t="s">
        <v>255</v>
      </c>
      <c r="U153" s="8" t="s">
        <v>318</v>
      </c>
      <c r="W153" s="8" t="s">
        <v>1082</v>
      </c>
      <c r="X153" s="8" t="s">
        <v>311</v>
      </c>
    </row>
    <row r="154" spans="7:24" ht="12.75" x14ac:dyDescent="0.2">
      <c r="G154" s="8" t="s">
        <v>1083</v>
      </c>
      <c r="H154" s="8" t="s">
        <v>1084</v>
      </c>
      <c r="I154" s="8" t="s">
        <v>1085</v>
      </c>
      <c r="J154" s="8" t="s">
        <v>1083</v>
      </c>
      <c r="S154" s="16" t="s">
        <v>150</v>
      </c>
      <c r="T154" s="8" t="s">
        <v>256</v>
      </c>
      <c r="U154" s="8" t="s">
        <v>318</v>
      </c>
      <c r="W154" s="8" t="s">
        <v>331</v>
      </c>
      <c r="X154" s="8" t="s">
        <v>268</v>
      </c>
    </row>
    <row r="155" spans="7:24" ht="12.75" x14ac:dyDescent="0.2">
      <c r="G155" s="8" t="s">
        <v>1086</v>
      </c>
      <c r="H155" s="8" t="s">
        <v>1087</v>
      </c>
      <c r="I155" s="8" t="s">
        <v>1088</v>
      </c>
      <c r="J155" s="8" t="s">
        <v>1086</v>
      </c>
      <c r="S155" s="16" t="s">
        <v>27</v>
      </c>
      <c r="T155" s="8" t="s">
        <v>427</v>
      </c>
      <c r="U155" s="8" t="s">
        <v>318</v>
      </c>
      <c r="W155" s="8" t="s">
        <v>1089</v>
      </c>
      <c r="X155" s="8" t="s">
        <v>269</v>
      </c>
    </row>
    <row r="156" spans="7:24" ht="12.75" x14ac:dyDescent="0.2">
      <c r="G156" s="8" t="s">
        <v>1090</v>
      </c>
      <c r="H156" s="8" t="s">
        <v>1091</v>
      </c>
      <c r="I156" s="8" t="s">
        <v>1092</v>
      </c>
      <c r="J156" s="8" t="s">
        <v>1090</v>
      </c>
      <c r="S156" s="16" t="s">
        <v>393</v>
      </c>
      <c r="T156" s="8" t="s">
        <v>257</v>
      </c>
      <c r="U156" s="8" t="s">
        <v>318</v>
      </c>
      <c r="W156" s="8" t="s">
        <v>1093</v>
      </c>
      <c r="X156" s="8" t="s">
        <v>270</v>
      </c>
    </row>
    <row r="157" spans="7:24" ht="12.75" x14ac:dyDescent="0.2">
      <c r="G157" s="8" t="s">
        <v>54</v>
      </c>
      <c r="H157" s="8" t="s">
        <v>1094</v>
      </c>
      <c r="I157" s="8" t="s">
        <v>619</v>
      </c>
      <c r="J157" s="8" t="s">
        <v>54</v>
      </c>
      <c r="S157" s="16" t="s">
        <v>151</v>
      </c>
      <c r="T157" s="8" t="s">
        <v>258</v>
      </c>
      <c r="U157" s="8" t="s">
        <v>1042</v>
      </c>
      <c r="W157" s="8" t="s">
        <v>1095</v>
      </c>
      <c r="X157" s="8" t="s">
        <v>458</v>
      </c>
    </row>
    <row r="158" spans="7:24" ht="12.75" x14ac:dyDescent="0.2">
      <c r="G158" s="8" t="s">
        <v>1096</v>
      </c>
      <c r="H158" s="8" t="s">
        <v>1097</v>
      </c>
      <c r="I158" s="8" t="s">
        <v>1098</v>
      </c>
      <c r="J158" s="8" t="s">
        <v>1096</v>
      </c>
      <c r="S158" s="16" t="s">
        <v>394</v>
      </c>
      <c r="T158" s="8" t="s">
        <v>260</v>
      </c>
      <c r="U158" s="8" t="s">
        <v>1046</v>
      </c>
      <c r="W158" s="8" t="s">
        <v>1099</v>
      </c>
      <c r="X158" s="8" t="s">
        <v>471</v>
      </c>
    </row>
    <row r="159" spans="7:24" ht="12.75" x14ac:dyDescent="0.2">
      <c r="G159" s="8" t="s">
        <v>55</v>
      </c>
      <c r="H159" s="8" t="s">
        <v>1097</v>
      </c>
      <c r="I159" s="8" t="s">
        <v>1100</v>
      </c>
      <c r="J159" s="8" t="s">
        <v>55</v>
      </c>
      <c r="S159" s="16" t="s">
        <v>395</v>
      </c>
      <c r="T159" s="8" t="s">
        <v>261</v>
      </c>
      <c r="U159" s="8" t="s">
        <v>1050</v>
      </c>
      <c r="W159" s="8" t="s">
        <v>1101</v>
      </c>
      <c r="X159" s="8" t="s">
        <v>479</v>
      </c>
    </row>
    <row r="160" spans="7:24" ht="12.75" x14ac:dyDescent="0.2">
      <c r="G160" s="8" t="s">
        <v>1102</v>
      </c>
      <c r="H160" s="8" t="s">
        <v>1103</v>
      </c>
      <c r="I160" s="8" t="s">
        <v>1104</v>
      </c>
      <c r="J160" s="8" t="s">
        <v>1102</v>
      </c>
      <c r="S160" s="16" t="s">
        <v>396</v>
      </c>
      <c r="T160" s="8" t="s">
        <v>261</v>
      </c>
      <c r="U160" s="8" t="s">
        <v>1050</v>
      </c>
      <c r="W160" s="8" t="s">
        <v>1105</v>
      </c>
      <c r="X160" s="8" t="s">
        <v>485</v>
      </c>
    </row>
    <row r="161" spans="7:24" ht="12.75" x14ac:dyDescent="0.2">
      <c r="G161" s="8" t="s">
        <v>56</v>
      </c>
      <c r="H161" s="8" t="s">
        <v>1106</v>
      </c>
      <c r="I161" s="8" t="s">
        <v>624</v>
      </c>
      <c r="J161" s="8" t="s">
        <v>56</v>
      </c>
      <c r="S161" s="16" t="s">
        <v>152</v>
      </c>
      <c r="T161" s="8" t="s">
        <v>441</v>
      </c>
      <c r="U161" s="8" t="s">
        <v>1057</v>
      </c>
      <c r="W161" s="8" t="s">
        <v>1107</v>
      </c>
      <c r="X161" s="8" t="s">
        <v>486</v>
      </c>
    </row>
    <row r="162" spans="7:24" ht="12.75" x14ac:dyDescent="0.2">
      <c r="G162" s="8" t="s">
        <v>1108</v>
      </c>
      <c r="H162" s="8" t="s">
        <v>1109</v>
      </c>
      <c r="I162" s="8" t="s">
        <v>1110</v>
      </c>
      <c r="J162" s="8" t="s">
        <v>1108</v>
      </c>
      <c r="S162" s="16" t="s">
        <v>153</v>
      </c>
      <c r="T162" s="8" t="s">
        <v>441</v>
      </c>
      <c r="U162" s="8" t="s">
        <v>1057</v>
      </c>
      <c r="W162" s="8" t="s">
        <v>1111</v>
      </c>
      <c r="X162" s="8" t="s">
        <v>277</v>
      </c>
    </row>
    <row r="163" spans="7:24" ht="12.75" x14ac:dyDescent="0.2">
      <c r="G163" s="8" t="s">
        <v>1112</v>
      </c>
      <c r="H163" s="8" t="s">
        <v>1113</v>
      </c>
      <c r="I163" s="8" t="s">
        <v>1114</v>
      </c>
      <c r="J163" s="8" t="s">
        <v>1112</v>
      </c>
      <c r="S163" s="16" t="s">
        <v>154</v>
      </c>
      <c r="T163" s="8" t="s">
        <v>263</v>
      </c>
      <c r="U163" s="8" t="s">
        <v>1063</v>
      </c>
      <c r="W163" s="8" t="s">
        <v>1115</v>
      </c>
      <c r="X163" s="8" t="s">
        <v>281</v>
      </c>
    </row>
    <row r="164" spans="7:24" ht="12.75" x14ac:dyDescent="0.2">
      <c r="G164" s="8" t="s">
        <v>57</v>
      </c>
      <c r="H164" s="8" t="s">
        <v>1116</v>
      </c>
      <c r="I164" s="8" t="s">
        <v>1117</v>
      </c>
      <c r="J164" s="8" t="s">
        <v>57</v>
      </c>
      <c r="S164" s="16" t="s">
        <v>155</v>
      </c>
      <c r="T164" s="8" t="s">
        <v>265</v>
      </c>
      <c r="U164" s="8" t="s">
        <v>1067</v>
      </c>
      <c r="W164" s="8" t="s">
        <v>1118</v>
      </c>
      <c r="X164" s="8" t="s">
        <v>285</v>
      </c>
    </row>
    <row r="165" spans="7:24" ht="12.75" x14ac:dyDescent="0.2">
      <c r="G165" s="8" t="s">
        <v>1119</v>
      </c>
      <c r="H165" s="8" t="s">
        <v>1120</v>
      </c>
      <c r="I165" s="8" t="s">
        <v>1121</v>
      </c>
      <c r="J165" s="8" t="s">
        <v>1119</v>
      </c>
      <c r="S165" s="16" t="s">
        <v>156</v>
      </c>
      <c r="T165" s="8" t="s">
        <v>266</v>
      </c>
      <c r="U165" s="8" t="s">
        <v>318</v>
      </c>
      <c r="W165" s="8" t="s">
        <v>1122</v>
      </c>
      <c r="X165" s="8" t="s">
        <v>288</v>
      </c>
    </row>
    <row r="166" spans="7:24" ht="12.75" x14ac:dyDescent="0.2">
      <c r="G166" s="8" t="s">
        <v>1123</v>
      </c>
      <c r="H166" s="8" t="s">
        <v>1124</v>
      </c>
      <c r="I166" s="8" t="s">
        <v>1125</v>
      </c>
      <c r="J166" s="8" t="s">
        <v>1123</v>
      </c>
      <c r="S166" s="16" t="s">
        <v>157</v>
      </c>
      <c r="T166" s="8" t="s">
        <v>445</v>
      </c>
      <c r="U166" s="8" t="s">
        <v>1074</v>
      </c>
      <c r="W166" s="8" t="s">
        <v>1126</v>
      </c>
      <c r="X166" s="8" t="s">
        <v>488</v>
      </c>
    </row>
    <row r="167" spans="7:24" ht="12.75" x14ac:dyDescent="0.2">
      <c r="G167" s="8" t="s">
        <v>58</v>
      </c>
      <c r="H167" s="8" t="s">
        <v>1127</v>
      </c>
      <c r="I167" s="8" t="s">
        <v>629</v>
      </c>
      <c r="J167" s="8" t="s">
        <v>58</v>
      </c>
      <c r="S167" s="16" t="s">
        <v>158</v>
      </c>
      <c r="T167" s="8" t="s">
        <v>267</v>
      </c>
      <c r="U167" s="8" t="s">
        <v>1078</v>
      </c>
      <c r="W167" s="8" t="s">
        <v>1128</v>
      </c>
      <c r="X167" s="8" t="s">
        <v>489</v>
      </c>
    </row>
    <row r="168" spans="7:24" ht="12.75" x14ac:dyDescent="0.2">
      <c r="G168" s="8" t="s">
        <v>1129</v>
      </c>
      <c r="H168" s="8" t="s">
        <v>1130</v>
      </c>
      <c r="I168" s="8" t="s">
        <v>1131</v>
      </c>
      <c r="J168" s="8" t="s">
        <v>1129</v>
      </c>
      <c r="S168" s="16" t="s">
        <v>159</v>
      </c>
      <c r="T168" s="8" t="s">
        <v>311</v>
      </c>
      <c r="U168" s="8" t="s">
        <v>1082</v>
      </c>
      <c r="W168" s="8" t="s">
        <v>1132</v>
      </c>
      <c r="X168" s="8" t="s">
        <v>292</v>
      </c>
    </row>
    <row r="169" spans="7:24" ht="12.75" x14ac:dyDescent="0.2">
      <c r="G169" s="8" t="s">
        <v>59</v>
      </c>
      <c r="H169" s="8" t="s">
        <v>1133</v>
      </c>
      <c r="I169" s="8" t="s">
        <v>634</v>
      </c>
      <c r="J169" s="8" t="s">
        <v>59</v>
      </c>
      <c r="S169" s="16" t="s">
        <v>160</v>
      </c>
      <c r="T169" s="8" t="s">
        <v>268</v>
      </c>
      <c r="U169" s="8" t="s">
        <v>331</v>
      </c>
      <c r="W169" s="8" t="s">
        <v>1134</v>
      </c>
      <c r="X169" s="8" t="s">
        <v>296</v>
      </c>
    </row>
    <row r="170" spans="7:24" ht="12.75" x14ac:dyDescent="0.2">
      <c r="G170" s="8" t="s">
        <v>1135</v>
      </c>
      <c r="H170" s="8" t="s">
        <v>1136</v>
      </c>
      <c r="I170" s="8" t="s">
        <v>1137</v>
      </c>
      <c r="J170" s="8" t="s">
        <v>1135</v>
      </c>
      <c r="S170" s="16" t="s">
        <v>161</v>
      </c>
      <c r="T170" s="8" t="s">
        <v>269</v>
      </c>
      <c r="U170" s="8" t="s">
        <v>1089</v>
      </c>
      <c r="W170" s="8" t="s">
        <v>1138</v>
      </c>
      <c r="X170" s="8" t="s">
        <v>300</v>
      </c>
    </row>
    <row r="171" spans="7:24" ht="12.75" x14ac:dyDescent="0.2">
      <c r="G171" s="8" t="s">
        <v>1139</v>
      </c>
      <c r="H171" s="8" t="s">
        <v>1140</v>
      </c>
      <c r="I171" s="8" t="s">
        <v>1141</v>
      </c>
      <c r="J171" s="8" t="s">
        <v>1139</v>
      </c>
      <c r="S171" s="16" t="s">
        <v>163</v>
      </c>
      <c r="T171" s="8" t="s">
        <v>270</v>
      </c>
      <c r="U171" s="8" t="s">
        <v>1093</v>
      </c>
      <c r="W171" s="8" t="s">
        <v>1142</v>
      </c>
      <c r="X171" s="8" t="s">
        <v>310</v>
      </c>
    </row>
    <row r="172" spans="7:24" ht="12.75" x14ac:dyDescent="0.2">
      <c r="G172" s="8" t="s">
        <v>60</v>
      </c>
      <c r="H172" s="8" t="s">
        <v>1143</v>
      </c>
      <c r="I172" s="8" t="s">
        <v>1144</v>
      </c>
      <c r="J172" s="8" t="s">
        <v>60</v>
      </c>
      <c r="S172" s="16" t="s">
        <v>164</v>
      </c>
      <c r="T172" s="8" t="s">
        <v>458</v>
      </c>
      <c r="U172" s="8" t="s">
        <v>1095</v>
      </c>
      <c r="W172" s="8" t="s">
        <v>1145</v>
      </c>
      <c r="X172" s="8" t="s">
        <v>305</v>
      </c>
    </row>
    <row r="173" spans="7:24" ht="12.75" x14ac:dyDescent="0.2">
      <c r="G173" s="8" t="s">
        <v>1146</v>
      </c>
      <c r="H173" s="8" t="s">
        <v>1147</v>
      </c>
      <c r="I173" s="8" t="s">
        <v>1148</v>
      </c>
      <c r="J173" s="8" t="s">
        <v>1146</v>
      </c>
      <c r="S173" s="16" t="s">
        <v>165</v>
      </c>
      <c r="T173" s="8" t="s">
        <v>471</v>
      </c>
      <c r="U173" s="8" t="s">
        <v>1099</v>
      </c>
      <c r="W173" s="8" t="s">
        <v>1149</v>
      </c>
      <c r="X173" s="8" t="s">
        <v>306</v>
      </c>
    </row>
    <row r="174" spans="7:24" ht="12.75" x14ac:dyDescent="0.2">
      <c r="G174" s="8" t="s">
        <v>1150</v>
      </c>
      <c r="H174" s="8" t="s">
        <v>1151</v>
      </c>
      <c r="I174" s="8" t="s">
        <v>1152</v>
      </c>
      <c r="J174" s="8" t="s">
        <v>1150</v>
      </c>
      <c r="S174" s="16" t="s">
        <v>166</v>
      </c>
      <c r="T174" s="8" t="s">
        <v>479</v>
      </c>
      <c r="U174" s="8" t="s">
        <v>1101</v>
      </c>
    </row>
    <row r="175" spans="7:24" ht="12.75" x14ac:dyDescent="0.2">
      <c r="G175" s="8" t="s">
        <v>61</v>
      </c>
      <c r="H175" s="8" t="s">
        <v>1153</v>
      </c>
      <c r="I175" s="8" t="s">
        <v>1154</v>
      </c>
      <c r="J175" s="8" t="s">
        <v>61</v>
      </c>
      <c r="S175" s="16" t="s">
        <v>167</v>
      </c>
      <c r="T175" s="8" t="s">
        <v>485</v>
      </c>
      <c r="U175" s="8" t="s">
        <v>1105</v>
      </c>
    </row>
    <row r="176" spans="7:24" ht="12.75" x14ac:dyDescent="0.2">
      <c r="G176" s="8" t="s">
        <v>1155</v>
      </c>
      <c r="H176" s="8" t="s">
        <v>1156</v>
      </c>
      <c r="I176" s="8" t="s">
        <v>1157</v>
      </c>
      <c r="J176" s="8" t="s">
        <v>1155</v>
      </c>
      <c r="S176" s="16" t="s">
        <v>168</v>
      </c>
      <c r="T176" s="8" t="s">
        <v>486</v>
      </c>
      <c r="U176" s="8" t="s">
        <v>1107</v>
      </c>
    </row>
    <row r="177" spans="7:21" ht="12.75" x14ac:dyDescent="0.2">
      <c r="G177" s="8" t="s">
        <v>1158</v>
      </c>
      <c r="H177" s="8" t="s">
        <v>1153</v>
      </c>
      <c r="I177" s="8" t="s">
        <v>1159</v>
      </c>
      <c r="J177" s="8" t="s">
        <v>1158</v>
      </c>
      <c r="S177" s="16" t="s">
        <v>169</v>
      </c>
      <c r="T177" s="8" t="s">
        <v>277</v>
      </c>
      <c r="U177" s="8" t="s">
        <v>1111</v>
      </c>
    </row>
    <row r="178" spans="7:21" ht="12.75" x14ac:dyDescent="0.2">
      <c r="G178" s="8" t="s">
        <v>1160</v>
      </c>
      <c r="H178" s="8" t="s">
        <v>1161</v>
      </c>
      <c r="I178" s="8" t="s">
        <v>1162</v>
      </c>
      <c r="J178" s="8" t="s">
        <v>1160</v>
      </c>
      <c r="S178" s="16" t="s">
        <v>170</v>
      </c>
      <c r="T178" s="8" t="s">
        <v>281</v>
      </c>
      <c r="U178" s="8" t="s">
        <v>1115</v>
      </c>
    </row>
    <row r="179" spans="7:21" ht="12.75" x14ac:dyDescent="0.2">
      <c r="G179" s="8" t="s">
        <v>62</v>
      </c>
      <c r="H179" s="8" t="s">
        <v>1163</v>
      </c>
      <c r="I179" s="8" t="s">
        <v>1164</v>
      </c>
      <c r="J179" s="8" t="s">
        <v>62</v>
      </c>
      <c r="S179" s="16" t="s">
        <v>398</v>
      </c>
      <c r="T179" s="8" t="s">
        <v>285</v>
      </c>
      <c r="U179" s="8" t="s">
        <v>1118</v>
      </c>
    </row>
    <row r="180" spans="7:21" ht="12.75" x14ac:dyDescent="0.2">
      <c r="G180" s="8" t="s">
        <v>1165</v>
      </c>
      <c r="H180" s="8" t="s">
        <v>1166</v>
      </c>
      <c r="I180" s="8" t="s">
        <v>1167</v>
      </c>
      <c r="J180" s="8" t="s">
        <v>1165</v>
      </c>
      <c r="S180" s="16" t="s">
        <v>172</v>
      </c>
      <c r="T180" s="8" t="s">
        <v>288</v>
      </c>
      <c r="U180" s="8" t="s">
        <v>1122</v>
      </c>
    </row>
    <row r="181" spans="7:21" ht="12.75" x14ac:dyDescent="0.2">
      <c r="G181" s="8" t="s">
        <v>1168</v>
      </c>
      <c r="H181" s="8" t="s">
        <v>1169</v>
      </c>
      <c r="I181" s="8" t="s">
        <v>1170</v>
      </c>
      <c r="J181" s="8" t="s">
        <v>1168</v>
      </c>
      <c r="S181" s="16" t="s">
        <v>399</v>
      </c>
      <c r="T181" s="8" t="s">
        <v>488</v>
      </c>
      <c r="U181" s="8" t="s">
        <v>1126</v>
      </c>
    </row>
    <row r="182" spans="7:21" ht="12.75" x14ac:dyDescent="0.2">
      <c r="G182" s="8" t="s">
        <v>1171</v>
      </c>
      <c r="H182" s="8" t="s">
        <v>1172</v>
      </c>
      <c r="I182" s="8" t="s">
        <v>1173</v>
      </c>
      <c r="J182" s="8" t="s">
        <v>1171</v>
      </c>
      <c r="S182" s="16" t="s">
        <v>173</v>
      </c>
      <c r="T182" s="8" t="s">
        <v>489</v>
      </c>
      <c r="U182" s="8" t="s">
        <v>1128</v>
      </c>
    </row>
    <row r="183" spans="7:21" ht="12.75" x14ac:dyDescent="0.2">
      <c r="G183" s="8" t="s">
        <v>63</v>
      </c>
      <c r="H183" s="8" t="s">
        <v>1174</v>
      </c>
      <c r="I183" s="8" t="s">
        <v>638</v>
      </c>
      <c r="J183" s="8" t="s">
        <v>63</v>
      </c>
      <c r="S183" s="16" t="s">
        <v>174</v>
      </c>
      <c r="T183" s="8" t="s">
        <v>292</v>
      </c>
      <c r="U183" s="8" t="s">
        <v>1132</v>
      </c>
    </row>
    <row r="184" spans="7:21" ht="12.75" x14ac:dyDescent="0.2">
      <c r="G184" s="8" t="s">
        <v>64</v>
      </c>
      <c r="H184" s="8" t="s">
        <v>1175</v>
      </c>
      <c r="I184" s="8" t="s">
        <v>1176</v>
      </c>
      <c r="J184" s="8" t="s">
        <v>64</v>
      </c>
      <c r="S184" s="16" t="s">
        <v>175</v>
      </c>
      <c r="T184" s="8" t="s">
        <v>296</v>
      </c>
      <c r="U184" s="8" t="s">
        <v>1134</v>
      </c>
    </row>
    <row r="185" spans="7:21" ht="12.75" x14ac:dyDescent="0.2">
      <c r="G185" s="8" t="s">
        <v>65</v>
      </c>
      <c r="H185" s="8" t="s">
        <v>1177</v>
      </c>
      <c r="I185" s="8" t="s">
        <v>642</v>
      </c>
      <c r="J185" s="8" t="s">
        <v>65</v>
      </c>
      <c r="S185" s="16" t="s">
        <v>176</v>
      </c>
      <c r="T185" s="8" t="s">
        <v>300</v>
      </c>
      <c r="U185" s="8" t="s">
        <v>1138</v>
      </c>
    </row>
    <row r="186" spans="7:21" ht="12.75" x14ac:dyDescent="0.2">
      <c r="G186" s="8" t="s">
        <v>1178</v>
      </c>
      <c r="H186" s="8" t="s">
        <v>1179</v>
      </c>
      <c r="I186" s="8" t="s">
        <v>1180</v>
      </c>
      <c r="J186" s="8" t="s">
        <v>1178</v>
      </c>
      <c r="S186" s="16" t="s">
        <v>177</v>
      </c>
      <c r="T186" s="8" t="s">
        <v>310</v>
      </c>
      <c r="U186" s="8" t="s">
        <v>1142</v>
      </c>
    </row>
    <row r="187" spans="7:21" ht="12.75" x14ac:dyDescent="0.2">
      <c r="G187" s="8" t="s">
        <v>1181</v>
      </c>
      <c r="H187" s="8" t="s">
        <v>1182</v>
      </c>
      <c r="I187" s="8" t="s">
        <v>1183</v>
      </c>
      <c r="J187" s="8" t="s">
        <v>1181</v>
      </c>
      <c r="S187" s="16" t="s">
        <v>178</v>
      </c>
      <c r="T187" s="8" t="s">
        <v>305</v>
      </c>
      <c r="U187" s="8" t="s">
        <v>1145</v>
      </c>
    </row>
    <row r="188" spans="7:21" ht="12.75" x14ac:dyDescent="0.2">
      <c r="G188" s="8" t="s">
        <v>1184</v>
      </c>
      <c r="H188" s="8" t="s">
        <v>1185</v>
      </c>
      <c r="I188" s="8" t="s">
        <v>1186</v>
      </c>
      <c r="J188" s="8" t="s">
        <v>1184</v>
      </c>
      <c r="S188" s="16" t="s">
        <v>179</v>
      </c>
      <c r="T188" s="8" t="s">
        <v>306</v>
      </c>
      <c r="U188" s="8" t="s">
        <v>1149</v>
      </c>
    </row>
    <row r="189" spans="7:21" ht="12.75" x14ac:dyDescent="0.2">
      <c r="G189" s="8" t="s">
        <v>66</v>
      </c>
      <c r="H189" s="8" t="s">
        <v>1187</v>
      </c>
      <c r="I189" s="8" t="s">
        <v>1188</v>
      </c>
      <c r="J189" s="8" t="s">
        <v>66</v>
      </c>
      <c r="S189" s="16" t="s">
        <v>400</v>
      </c>
    </row>
    <row r="190" spans="7:21" ht="12.75" x14ac:dyDescent="0.2">
      <c r="G190" s="8" t="s">
        <v>1189</v>
      </c>
      <c r="H190" s="8" t="s">
        <v>1190</v>
      </c>
      <c r="I190" s="8" t="s">
        <v>1191</v>
      </c>
      <c r="J190" s="8" t="s">
        <v>1189</v>
      </c>
      <c r="S190" s="16" t="s">
        <v>401</v>
      </c>
    </row>
    <row r="191" spans="7:21" ht="12.75" x14ac:dyDescent="0.2">
      <c r="G191" s="8" t="s">
        <v>343</v>
      </c>
      <c r="H191" s="8" t="s">
        <v>1192</v>
      </c>
      <c r="I191" s="8" t="s">
        <v>1193</v>
      </c>
      <c r="J191" s="8" t="s">
        <v>343</v>
      </c>
      <c r="S191" s="16" t="s">
        <v>180</v>
      </c>
    </row>
    <row r="192" spans="7:21" ht="12.75" x14ac:dyDescent="0.2">
      <c r="G192" s="8" t="s">
        <v>1194</v>
      </c>
      <c r="H192" s="8" t="s">
        <v>1195</v>
      </c>
      <c r="I192" s="8" t="s">
        <v>1196</v>
      </c>
      <c r="J192" s="8" t="s">
        <v>1194</v>
      </c>
      <c r="S192" s="16" t="s">
        <v>181</v>
      </c>
    </row>
    <row r="193" spans="7:19" ht="12.75" x14ac:dyDescent="0.2">
      <c r="G193" s="8" t="s">
        <v>1197</v>
      </c>
      <c r="H193" s="8" t="s">
        <v>1198</v>
      </c>
      <c r="I193" s="8" t="s">
        <v>1199</v>
      </c>
      <c r="J193" s="8" t="s">
        <v>1197</v>
      </c>
      <c r="S193" s="16" t="s">
        <v>182</v>
      </c>
    </row>
    <row r="194" spans="7:19" ht="12.75" x14ac:dyDescent="0.2">
      <c r="G194" s="8" t="s">
        <v>1200</v>
      </c>
      <c r="H194" s="8" t="s">
        <v>1201</v>
      </c>
      <c r="I194" s="8" t="s">
        <v>1202</v>
      </c>
      <c r="J194" s="8" t="s">
        <v>1200</v>
      </c>
      <c r="S194" s="16" t="s">
        <v>183</v>
      </c>
    </row>
    <row r="195" spans="7:19" ht="12.75" x14ac:dyDescent="0.2">
      <c r="G195" s="8" t="s">
        <v>1203</v>
      </c>
      <c r="H195" s="8" t="s">
        <v>1204</v>
      </c>
      <c r="I195" s="8" t="s">
        <v>1205</v>
      </c>
      <c r="J195" s="8" t="s">
        <v>1203</v>
      </c>
      <c r="S195" s="16" t="s">
        <v>184</v>
      </c>
    </row>
    <row r="196" spans="7:19" ht="12.75" x14ac:dyDescent="0.2">
      <c r="G196" s="8" t="s">
        <v>67</v>
      </c>
      <c r="H196" s="8" t="s">
        <v>1206</v>
      </c>
      <c r="I196" s="8" t="s">
        <v>646</v>
      </c>
      <c r="J196" s="8" t="s">
        <v>67</v>
      </c>
      <c r="S196" s="16" t="s">
        <v>185</v>
      </c>
    </row>
    <row r="197" spans="7:19" ht="12.75" x14ac:dyDescent="0.2">
      <c r="G197" s="8" t="s">
        <v>1207</v>
      </c>
      <c r="H197" s="8" t="s">
        <v>1208</v>
      </c>
      <c r="I197" s="8" t="s">
        <v>1209</v>
      </c>
      <c r="J197" s="8" t="s">
        <v>1207</v>
      </c>
      <c r="S197" s="16" t="s">
        <v>186</v>
      </c>
    </row>
    <row r="198" spans="7:19" ht="12.75" x14ac:dyDescent="0.2">
      <c r="G198" s="8" t="s">
        <v>1210</v>
      </c>
      <c r="H198" s="8" t="s">
        <v>1211</v>
      </c>
      <c r="I198" s="8" t="s">
        <v>1212</v>
      </c>
      <c r="J198" s="8" t="s">
        <v>1210</v>
      </c>
      <c r="S198" s="16" t="s">
        <v>187</v>
      </c>
    </row>
    <row r="199" spans="7:19" ht="12.75" x14ac:dyDescent="0.2">
      <c r="G199" s="8" t="s">
        <v>1213</v>
      </c>
      <c r="H199" s="8" t="s">
        <v>1214</v>
      </c>
      <c r="I199" s="8" t="s">
        <v>1215</v>
      </c>
      <c r="J199" s="8" t="s">
        <v>1213</v>
      </c>
      <c r="S199" s="16" t="s">
        <v>188</v>
      </c>
    </row>
    <row r="200" spans="7:19" ht="12.75" x14ac:dyDescent="0.2">
      <c r="G200" s="8" t="s">
        <v>68</v>
      </c>
      <c r="H200" s="8" t="s">
        <v>1216</v>
      </c>
      <c r="I200" s="8" t="s">
        <v>1217</v>
      </c>
      <c r="J200" s="8" t="s">
        <v>68</v>
      </c>
      <c r="S200" s="16" t="s">
        <v>189</v>
      </c>
    </row>
    <row r="201" spans="7:19" ht="12.75" x14ac:dyDescent="0.2">
      <c r="G201" s="8" t="s">
        <v>1218</v>
      </c>
      <c r="H201" s="8" t="s">
        <v>1219</v>
      </c>
      <c r="I201" s="8" t="s">
        <v>1220</v>
      </c>
      <c r="J201" s="8" t="s">
        <v>1218</v>
      </c>
      <c r="S201" s="16" t="s">
        <v>190</v>
      </c>
    </row>
    <row r="202" spans="7:19" ht="12.75" x14ac:dyDescent="0.2">
      <c r="G202" s="8" t="s">
        <v>1221</v>
      </c>
      <c r="H202" s="8" t="s">
        <v>1222</v>
      </c>
      <c r="I202" s="8" t="s">
        <v>1223</v>
      </c>
      <c r="J202" s="8" t="s">
        <v>1221</v>
      </c>
      <c r="S202" s="16" t="s">
        <v>191</v>
      </c>
    </row>
    <row r="203" spans="7:19" ht="12.75" x14ac:dyDescent="0.2">
      <c r="G203" s="8" t="s">
        <v>69</v>
      </c>
      <c r="H203" s="8" t="s">
        <v>1224</v>
      </c>
      <c r="I203" s="8" t="s">
        <v>650</v>
      </c>
      <c r="J203" s="8" t="s">
        <v>69</v>
      </c>
      <c r="S203" s="16" t="s">
        <v>192</v>
      </c>
    </row>
    <row r="204" spans="7:19" ht="12.75" x14ac:dyDescent="0.2">
      <c r="G204" s="8" t="s">
        <v>1225</v>
      </c>
      <c r="H204" s="8" t="s">
        <v>1226</v>
      </c>
      <c r="I204" s="8" t="s">
        <v>1227</v>
      </c>
      <c r="J204" s="8" t="s">
        <v>1225</v>
      </c>
      <c r="S204" s="16" t="s">
        <v>193</v>
      </c>
    </row>
    <row r="205" spans="7:19" ht="12.75" x14ac:dyDescent="0.2">
      <c r="G205" s="8" t="s">
        <v>70</v>
      </c>
      <c r="H205" s="8" t="s">
        <v>1228</v>
      </c>
      <c r="I205" s="8" t="s">
        <v>654</v>
      </c>
      <c r="J205" s="8" t="s">
        <v>70</v>
      </c>
      <c r="S205" s="16" t="s">
        <v>194</v>
      </c>
    </row>
    <row r="206" spans="7:19" ht="12.75" x14ac:dyDescent="0.2">
      <c r="G206" s="8" t="s">
        <v>1229</v>
      </c>
      <c r="H206" s="8" t="s">
        <v>1230</v>
      </c>
      <c r="I206" s="8" t="s">
        <v>1231</v>
      </c>
      <c r="J206" s="8" t="s">
        <v>1229</v>
      </c>
      <c r="S206" s="16" t="s">
        <v>195</v>
      </c>
    </row>
    <row r="207" spans="7:19" ht="12.75" x14ac:dyDescent="0.2">
      <c r="G207" s="8" t="s">
        <v>1232</v>
      </c>
      <c r="H207" s="8" t="s">
        <v>1233</v>
      </c>
      <c r="I207" s="8" t="s">
        <v>1234</v>
      </c>
      <c r="J207" s="8" t="s">
        <v>1232</v>
      </c>
      <c r="S207" s="16" t="s">
        <v>196</v>
      </c>
    </row>
    <row r="208" spans="7:19" ht="12.75" x14ac:dyDescent="0.2">
      <c r="G208" s="8" t="s">
        <v>1235</v>
      </c>
      <c r="H208" s="8" t="s">
        <v>1236</v>
      </c>
      <c r="I208" s="8" t="s">
        <v>1237</v>
      </c>
      <c r="J208" s="8" t="s">
        <v>1235</v>
      </c>
      <c r="S208" s="16" t="s">
        <v>402</v>
      </c>
    </row>
    <row r="209" spans="7:19" ht="12.75" x14ac:dyDescent="0.2">
      <c r="G209" s="8" t="s">
        <v>1238</v>
      </c>
      <c r="H209" s="8" t="s">
        <v>1239</v>
      </c>
      <c r="I209" s="8" t="s">
        <v>1240</v>
      </c>
      <c r="J209" s="8" t="s">
        <v>1238</v>
      </c>
      <c r="S209" s="16" t="s">
        <v>403</v>
      </c>
    </row>
    <row r="210" spans="7:19" ht="12.75" x14ac:dyDescent="0.2">
      <c r="G210" s="8" t="s">
        <v>1241</v>
      </c>
      <c r="H210" s="8" t="s">
        <v>1242</v>
      </c>
      <c r="I210" s="8" t="s">
        <v>1243</v>
      </c>
      <c r="J210" s="8" t="s">
        <v>1241</v>
      </c>
      <c r="S210" s="16" t="s">
        <v>197</v>
      </c>
    </row>
    <row r="211" spans="7:19" ht="12.75" x14ac:dyDescent="0.2">
      <c r="G211" s="8" t="s">
        <v>1244</v>
      </c>
      <c r="H211" s="8" t="s">
        <v>1245</v>
      </c>
      <c r="I211" s="8" t="s">
        <v>1246</v>
      </c>
      <c r="J211" s="8" t="s">
        <v>1244</v>
      </c>
      <c r="S211" s="16" t="s">
        <v>198</v>
      </c>
    </row>
    <row r="212" spans="7:19" ht="12.75" x14ac:dyDescent="0.2">
      <c r="G212" s="8" t="s">
        <v>1247</v>
      </c>
      <c r="H212" s="8" t="s">
        <v>1248</v>
      </c>
      <c r="I212" s="8" t="s">
        <v>1249</v>
      </c>
      <c r="J212" s="8" t="s">
        <v>1247</v>
      </c>
      <c r="S212" s="16" t="s">
        <v>199</v>
      </c>
    </row>
    <row r="213" spans="7:19" ht="12.75" x14ac:dyDescent="0.2">
      <c r="G213" s="8" t="s">
        <v>1250</v>
      </c>
      <c r="H213" s="8" t="s">
        <v>1251</v>
      </c>
      <c r="I213" s="8" t="s">
        <v>1252</v>
      </c>
      <c r="J213" s="8" t="s">
        <v>1250</v>
      </c>
      <c r="S213" s="16" t="s">
        <v>200</v>
      </c>
    </row>
    <row r="214" spans="7:19" ht="12.75" x14ac:dyDescent="0.2">
      <c r="G214" s="8" t="s">
        <v>1253</v>
      </c>
      <c r="H214" s="8" t="s">
        <v>1254</v>
      </c>
      <c r="I214" s="8" t="s">
        <v>1255</v>
      </c>
      <c r="J214" s="8" t="s">
        <v>1253</v>
      </c>
      <c r="S214" s="16" t="s">
        <v>404</v>
      </c>
    </row>
    <row r="215" spans="7:19" ht="12.75" x14ac:dyDescent="0.2">
      <c r="G215" s="8" t="s">
        <v>1256</v>
      </c>
      <c r="H215" s="8" t="s">
        <v>1257</v>
      </c>
      <c r="I215" s="8" t="s">
        <v>1258</v>
      </c>
      <c r="J215" s="8" t="s">
        <v>1256</v>
      </c>
      <c r="S215" s="16" t="s">
        <v>405</v>
      </c>
    </row>
    <row r="216" spans="7:19" ht="12.75" x14ac:dyDescent="0.2">
      <c r="G216" s="8" t="s">
        <v>1259</v>
      </c>
      <c r="H216" s="8" t="s">
        <v>1260</v>
      </c>
      <c r="I216" s="8" t="s">
        <v>1261</v>
      </c>
      <c r="J216" s="8" t="s">
        <v>1259</v>
      </c>
      <c r="S216" s="20" t="s">
        <v>406</v>
      </c>
    </row>
    <row r="217" spans="7:19" ht="12.75" x14ac:dyDescent="0.2">
      <c r="G217" s="8" t="s">
        <v>1262</v>
      </c>
      <c r="H217" s="8" t="s">
        <v>1263</v>
      </c>
      <c r="I217" s="8" t="s">
        <v>1264</v>
      </c>
      <c r="J217" s="8" t="s">
        <v>1262</v>
      </c>
      <c r="S217" s="20" t="s">
        <v>407</v>
      </c>
    </row>
    <row r="218" spans="7:19" ht="12.75" x14ac:dyDescent="0.2">
      <c r="G218" s="8" t="s">
        <v>71</v>
      </c>
      <c r="H218" s="8" t="s">
        <v>1265</v>
      </c>
      <c r="I218" s="8" t="s">
        <v>1266</v>
      </c>
      <c r="J218" s="8" t="s">
        <v>71</v>
      </c>
      <c r="S218" s="16" t="s">
        <v>201</v>
      </c>
    </row>
    <row r="219" spans="7:19" ht="12.75" x14ac:dyDescent="0.2">
      <c r="G219" s="8" t="s">
        <v>1267</v>
      </c>
      <c r="H219" s="8" t="s">
        <v>1268</v>
      </c>
      <c r="I219" s="8" t="s">
        <v>1269</v>
      </c>
      <c r="J219" s="8" t="s">
        <v>1267</v>
      </c>
      <c r="S219" s="16" t="s">
        <v>202</v>
      </c>
    </row>
    <row r="220" spans="7:19" ht="12.75" x14ac:dyDescent="0.2">
      <c r="G220" s="8" t="s">
        <v>1270</v>
      </c>
      <c r="H220" s="8" t="s">
        <v>1271</v>
      </c>
      <c r="I220" s="8" t="s">
        <v>1272</v>
      </c>
      <c r="J220" s="8" t="s">
        <v>1270</v>
      </c>
      <c r="S220" s="16" t="s">
        <v>203</v>
      </c>
    </row>
    <row r="221" spans="7:19" ht="12.75" x14ac:dyDescent="0.2">
      <c r="G221" s="8" t="s">
        <v>1273</v>
      </c>
      <c r="H221" s="8" t="s">
        <v>1274</v>
      </c>
      <c r="I221" s="8" t="s">
        <v>1275</v>
      </c>
      <c r="J221" s="8" t="s">
        <v>1273</v>
      </c>
      <c r="S221" s="16" t="s">
        <v>204</v>
      </c>
    </row>
    <row r="222" spans="7:19" ht="12.75" x14ac:dyDescent="0.2">
      <c r="G222" s="8" t="s">
        <v>1276</v>
      </c>
      <c r="H222" s="8" t="s">
        <v>1277</v>
      </c>
      <c r="I222" s="8" t="s">
        <v>1278</v>
      </c>
      <c r="J222" s="8" t="s">
        <v>1276</v>
      </c>
      <c r="S222" s="16" t="s">
        <v>205</v>
      </c>
    </row>
    <row r="223" spans="7:19" ht="12.75" x14ac:dyDescent="0.2">
      <c r="G223" s="8" t="s">
        <v>1279</v>
      </c>
      <c r="H223" s="8" t="s">
        <v>1280</v>
      </c>
      <c r="I223" s="8" t="s">
        <v>1281</v>
      </c>
      <c r="J223" s="8" t="s">
        <v>1279</v>
      </c>
      <c r="S223" s="16" t="s">
        <v>206</v>
      </c>
    </row>
    <row r="224" spans="7:19" ht="12.75" x14ac:dyDescent="0.2">
      <c r="G224" s="8" t="s">
        <v>1282</v>
      </c>
      <c r="H224" s="8" t="s">
        <v>1283</v>
      </c>
      <c r="I224" s="8" t="s">
        <v>1284</v>
      </c>
      <c r="J224" s="8" t="s">
        <v>1282</v>
      </c>
      <c r="S224" s="16" t="s">
        <v>207</v>
      </c>
    </row>
    <row r="225" spans="7:19" ht="12.75" x14ac:dyDescent="0.2">
      <c r="G225" s="8" t="s">
        <v>1285</v>
      </c>
      <c r="H225" s="8" t="s">
        <v>1286</v>
      </c>
      <c r="I225" s="8" t="s">
        <v>1287</v>
      </c>
      <c r="J225" s="8" t="s">
        <v>1285</v>
      </c>
      <c r="S225" s="16" t="s">
        <v>208</v>
      </c>
    </row>
    <row r="226" spans="7:19" ht="12.75" x14ac:dyDescent="0.2">
      <c r="G226" s="8" t="s">
        <v>1288</v>
      </c>
      <c r="H226" s="8" t="s">
        <v>1289</v>
      </c>
      <c r="I226" s="8" t="s">
        <v>1290</v>
      </c>
      <c r="J226" s="8" t="s">
        <v>1288</v>
      </c>
      <c r="S226" s="16" t="s">
        <v>209</v>
      </c>
    </row>
    <row r="227" spans="7:19" ht="12.75" x14ac:dyDescent="0.2">
      <c r="G227" s="8" t="s">
        <v>1291</v>
      </c>
      <c r="H227" s="8" t="s">
        <v>1292</v>
      </c>
      <c r="I227" s="8" t="s">
        <v>1293</v>
      </c>
      <c r="J227" s="8" t="s">
        <v>1291</v>
      </c>
      <c r="S227" s="16" t="s">
        <v>210</v>
      </c>
    </row>
    <row r="228" spans="7:19" ht="12.75" x14ac:dyDescent="0.2">
      <c r="G228" s="8" t="s">
        <v>1294</v>
      </c>
      <c r="H228" s="8" t="s">
        <v>1295</v>
      </c>
      <c r="I228" s="8" t="s">
        <v>1296</v>
      </c>
      <c r="J228" s="8" t="s">
        <v>1294</v>
      </c>
      <c r="S228" s="16" t="s">
        <v>211</v>
      </c>
    </row>
    <row r="229" spans="7:19" ht="12.75" x14ac:dyDescent="0.2">
      <c r="G229" s="8" t="s">
        <v>1297</v>
      </c>
      <c r="H229" s="8" t="s">
        <v>1298</v>
      </c>
      <c r="I229" s="8" t="s">
        <v>1299</v>
      </c>
      <c r="J229" s="8" t="s">
        <v>1297</v>
      </c>
      <c r="S229" s="16" t="s">
        <v>212</v>
      </c>
    </row>
    <row r="230" spans="7:19" ht="12.75" x14ac:dyDescent="0.2">
      <c r="G230" s="8" t="s">
        <v>72</v>
      </c>
      <c r="H230" s="8" t="s">
        <v>1300</v>
      </c>
      <c r="I230" s="8" t="s">
        <v>658</v>
      </c>
      <c r="J230" s="8" t="s">
        <v>72</v>
      </c>
      <c r="S230" s="16" t="s">
        <v>213</v>
      </c>
    </row>
    <row r="231" spans="7:19" ht="12.75" x14ac:dyDescent="0.2">
      <c r="G231" s="8" t="s">
        <v>73</v>
      </c>
      <c r="H231" s="8" t="s">
        <v>1301</v>
      </c>
      <c r="I231" s="8" t="s">
        <v>1302</v>
      </c>
      <c r="J231" s="8" t="s">
        <v>73</v>
      </c>
      <c r="S231" s="16" t="s">
        <v>214</v>
      </c>
    </row>
    <row r="232" spans="7:19" ht="12.75" x14ac:dyDescent="0.2">
      <c r="G232" s="8" t="s">
        <v>1303</v>
      </c>
      <c r="H232" s="8" t="s">
        <v>1304</v>
      </c>
      <c r="I232" s="8" t="s">
        <v>1305</v>
      </c>
      <c r="J232" s="8" t="s">
        <v>1303</v>
      </c>
      <c r="S232" s="16" t="s">
        <v>215</v>
      </c>
    </row>
    <row r="233" spans="7:19" ht="12.75" x14ac:dyDescent="0.2">
      <c r="G233" s="8" t="s">
        <v>74</v>
      </c>
      <c r="H233" s="8" t="s">
        <v>1306</v>
      </c>
      <c r="I233" s="8" t="s">
        <v>1307</v>
      </c>
      <c r="J233" s="8" t="s">
        <v>74</v>
      </c>
      <c r="S233" s="16" t="s">
        <v>216</v>
      </c>
    </row>
    <row r="234" spans="7:19" ht="12.75" x14ac:dyDescent="0.2">
      <c r="G234" s="8" t="s">
        <v>1308</v>
      </c>
      <c r="H234" s="8" t="s">
        <v>1309</v>
      </c>
      <c r="I234" s="8" t="s">
        <v>1310</v>
      </c>
      <c r="J234" s="8" t="s">
        <v>1308</v>
      </c>
      <c r="S234" s="16" t="s">
        <v>217</v>
      </c>
    </row>
    <row r="235" spans="7:19" ht="12.75" x14ac:dyDescent="0.2">
      <c r="G235" s="8" t="s">
        <v>1311</v>
      </c>
      <c r="H235" s="8" t="s">
        <v>1312</v>
      </c>
      <c r="I235" s="8" t="s">
        <v>1313</v>
      </c>
      <c r="J235" s="8" t="s">
        <v>1311</v>
      </c>
      <c r="S235" s="16" t="s">
        <v>218</v>
      </c>
    </row>
    <row r="236" spans="7:19" ht="12.75" x14ac:dyDescent="0.2">
      <c r="G236" s="8" t="s">
        <v>1314</v>
      </c>
      <c r="H236" s="8" t="s">
        <v>1315</v>
      </c>
      <c r="I236" s="8" t="s">
        <v>1316</v>
      </c>
      <c r="J236" s="8" t="s">
        <v>1314</v>
      </c>
      <c r="S236" s="16" t="s">
        <v>219</v>
      </c>
    </row>
    <row r="237" spans="7:19" ht="12.75" x14ac:dyDescent="0.2">
      <c r="G237" s="8" t="s">
        <v>75</v>
      </c>
      <c r="H237" s="8" t="s">
        <v>1317</v>
      </c>
      <c r="I237" s="8" t="s">
        <v>75</v>
      </c>
      <c r="J237" s="8" t="s">
        <v>75</v>
      </c>
      <c r="S237" s="16" t="s">
        <v>220</v>
      </c>
    </row>
    <row r="238" spans="7:19" ht="12.75" x14ac:dyDescent="0.2">
      <c r="G238" s="8" t="s">
        <v>1318</v>
      </c>
      <c r="H238" s="8" t="s">
        <v>1317</v>
      </c>
      <c r="I238" s="8" t="s">
        <v>1319</v>
      </c>
      <c r="J238" s="8" t="s">
        <v>1318</v>
      </c>
      <c r="S238" s="16" t="s">
        <v>412</v>
      </c>
    </row>
    <row r="239" spans="7:19" ht="12.75" x14ac:dyDescent="0.2">
      <c r="G239" s="8" t="s">
        <v>76</v>
      </c>
      <c r="H239" s="8" t="s">
        <v>1320</v>
      </c>
      <c r="I239" s="8" t="s">
        <v>1321</v>
      </c>
      <c r="J239" s="8" t="s">
        <v>76</v>
      </c>
      <c r="S239" s="16" t="s">
        <v>413</v>
      </c>
    </row>
    <row r="240" spans="7:19" ht="12.75" x14ac:dyDescent="0.2">
      <c r="G240" s="8" t="s">
        <v>1322</v>
      </c>
      <c r="H240" s="8" t="s">
        <v>1323</v>
      </c>
      <c r="I240" s="8" t="s">
        <v>1324</v>
      </c>
      <c r="J240" s="8" t="s">
        <v>1322</v>
      </c>
      <c r="S240" s="16" t="s">
        <v>221</v>
      </c>
    </row>
    <row r="241" spans="7:19" ht="12.75" x14ac:dyDescent="0.2">
      <c r="G241" s="8" t="s">
        <v>346</v>
      </c>
      <c r="H241" s="8" t="s">
        <v>1325</v>
      </c>
      <c r="I241" s="8" t="s">
        <v>1326</v>
      </c>
      <c r="J241" s="8" t="s">
        <v>346</v>
      </c>
      <c r="S241" s="16" t="s">
        <v>414</v>
      </c>
    </row>
    <row r="242" spans="7:19" ht="12.75" x14ac:dyDescent="0.2">
      <c r="G242" s="8" t="s">
        <v>1327</v>
      </c>
      <c r="H242" s="8" t="s">
        <v>1328</v>
      </c>
      <c r="I242" s="8" t="s">
        <v>1326</v>
      </c>
      <c r="J242" s="8" t="s">
        <v>1327</v>
      </c>
      <c r="S242" s="16" t="s">
        <v>222</v>
      </c>
    </row>
    <row r="243" spans="7:19" ht="12.75" x14ac:dyDescent="0.2">
      <c r="G243" s="8" t="s">
        <v>1329</v>
      </c>
      <c r="H243" s="8" t="s">
        <v>1330</v>
      </c>
      <c r="I243" s="8" t="s">
        <v>1331</v>
      </c>
      <c r="J243" s="8" t="s">
        <v>1329</v>
      </c>
      <c r="S243" s="16" t="s">
        <v>223</v>
      </c>
    </row>
    <row r="244" spans="7:19" ht="12.75" x14ac:dyDescent="0.2">
      <c r="G244" s="8" t="s">
        <v>1332</v>
      </c>
      <c r="H244" s="8" t="s">
        <v>1333</v>
      </c>
      <c r="I244" s="8" t="s">
        <v>1334</v>
      </c>
      <c r="J244" s="8" t="s">
        <v>1332</v>
      </c>
      <c r="S244" s="16" t="s">
        <v>224</v>
      </c>
    </row>
    <row r="245" spans="7:19" ht="12.75" x14ac:dyDescent="0.2">
      <c r="G245" s="8" t="s">
        <v>347</v>
      </c>
      <c r="H245" s="8" t="s">
        <v>1335</v>
      </c>
      <c r="I245" s="8" t="s">
        <v>664</v>
      </c>
      <c r="J245" s="8" t="s">
        <v>347</v>
      </c>
      <c r="S245" s="16" t="s">
        <v>225</v>
      </c>
    </row>
    <row r="246" spans="7:19" ht="12.75" x14ac:dyDescent="0.2">
      <c r="G246" s="8" t="s">
        <v>348</v>
      </c>
      <c r="H246" s="8" t="s">
        <v>1336</v>
      </c>
      <c r="I246" s="8" t="s">
        <v>1337</v>
      </c>
      <c r="J246" s="8" t="s">
        <v>348</v>
      </c>
      <c r="S246" s="16" t="s">
        <v>226</v>
      </c>
    </row>
    <row r="247" spans="7:19" ht="12.75" x14ac:dyDescent="0.2">
      <c r="G247" s="8" t="s">
        <v>1338</v>
      </c>
      <c r="H247" s="8" t="s">
        <v>1339</v>
      </c>
      <c r="I247" s="8" t="s">
        <v>1340</v>
      </c>
      <c r="J247" s="8" t="s">
        <v>1338</v>
      </c>
      <c r="S247" s="16" t="s">
        <v>227</v>
      </c>
    </row>
    <row r="248" spans="7:19" ht="12.75" x14ac:dyDescent="0.2">
      <c r="G248" s="8" t="s">
        <v>1341</v>
      </c>
      <c r="H248" s="8" t="s">
        <v>1342</v>
      </c>
      <c r="I248" s="8" t="s">
        <v>1343</v>
      </c>
      <c r="J248" s="8" t="s">
        <v>1341</v>
      </c>
      <c r="S248" s="16" t="s">
        <v>228</v>
      </c>
    </row>
    <row r="249" spans="7:19" ht="12.75" x14ac:dyDescent="0.2">
      <c r="G249" s="8" t="s">
        <v>349</v>
      </c>
      <c r="H249" s="8" t="s">
        <v>1344</v>
      </c>
      <c r="I249" s="8" t="s">
        <v>1345</v>
      </c>
      <c r="J249" s="8" t="s">
        <v>349</v>
      </c>
      <c r="S249" s="16" t="s">
        <v>229</v>
      </c>
    </row>
    <row r="250" spans="7:19" ht="12.75" x14ac:dyDescent="0.2">
      <c r="G250" s="8" t="s">
        <v>1346</v>
      </c>
      <c r="H250" s="8" t="s">
        <v>1347</v>
      </c>
      <c r="I250" s="8" t="s">
        <v>1348</v>
      </c>
      <c r="J250" s="8" t="s">
        <v>1346</v>
      </c>
      <c r="S250" s="16" t="s">
        <v>230</v>
      </c>
    </row>
    <row r="251" spans="7:19" ht="12.75" x14ac:dyDescent="0.2">
      <c r="G251" s="8" t="s">
        <v>1349</v>
      </c>
      <c r="H251" s="8" t="s">
        <v>1350</v>
      </c>
      <c r="I251" s="8" t="s">
        <v>1351</v>
      </c>
      <c r="J251" s="8" t="s">
        <v>1349</v>
      </c>
      <c r="S251" s="16" t="s">
        <v>24</v>
      </c>
    </row>
    <row r="252" spans="7:19" ht="12.75" x14ac:dyDescent="0.2">
      <c r="G252" s="8" t="s">
        <v>1352</v>
      </c>
      <c r="H252" s="8" t="s">
        <v>1353</v>
      </c>
      <c r="I252" s="8" t="s">
        <v>1354</v>
      </c>
      <c r="J252" s="8" t="s">
        <v>1352</v>
      </c>
      <c r="S252" s="16" t="s">
        <v>231</v>
      </c>
    </row>
    <row r="253" spans="7:19" ht="12.75" x14ac:dyDescent="0.2">
      <c r="G253" s="8" t="s">
        <v>77</v>
      </c>
      <c r="H253" s="8" t="s">
        <v>1355</v>
      </c>
      <c r="I253" s="8" t="s">
        <v>1356</v>
      </c>
      <c r="J253" s="8" t="s">
        <v>77</v>
      </c>
      <c r="S253" s="16" t="s">
        <v>232</v>
      </c>
    </row>
    <row r="254" spans="7:19" ht="12.75" x14ac:dyDescent="0.2">
      <c r="G254" s="8" t="s">
        <v>1357</v>
      </c>
      <c r="H254" s="8" t="s">
        <v>1358</v>
      </c>
      <c r="I254" s="8" t="s">
        <v>1359</v>
      </c>
      <c r="J254" s="8" t="s">
        <v>1357</v>
      </c>
      <c r="S254" s="16" t="s">
        <v>233</v>
      </c>
    </row>
    <row r="255" spans="7:19" ht="12.75" x14ac:dyDescent="0.2">
      <c r="G255" s="8" t="s">
        <v>1360</v>
      </c>
      <c r="H255" s="8" t="s">
        <v>1361</v>
      </c>
      <c r="I255" s="8" t="s">
        <v>1362</v>
      </c>
      <c r="J255" s="8" t="s">
        <v>1360</v>
      </c>
      <c r="S255" s="16" t="s">
        <v>415</v>
      </c>
    </row>
    <row r="256" spans="7:19" ht="12.75" x14ac:dyDescent="0.2">
      <c r="G256" s="8" t="s">
        <v>1363</v>
      </c>
      <c r="H256" s="8" t="s">
        <v>1364</v>
      </c>
      <c r="I256" s="8" t="s">
        <v>1365</v>
      </c>
      <c r="J256" s="8" t="s">
        <v>1363</v>
      </c>
      <c r="S256" s="16" t="s">
        <v>234</v>
      </c>
    </row>
    <row r="257" spans="7:19" ht="12.75" x14ac:dyDescent="0.2">
      <c r="G257" s="8" t="s">
        <v>1366</v>
      </c>
      <c r="H257" s="8" t="s">
        <v>1367</v>
      </c>
      <c r="I257" s="8" t="s">
        <v>1368</v>
      </c>
      <c r="J257" s="8" t="s">
        <v>1366</v>
      </c>
      <c r="S257" s="16" t="s">
        <v>235</v>
      </c>
    </row>
    <row r="258" spans="7:19" ht="12.75" x14ac:dyDescent="0.2">
      <c r="G258" s="8" t="s">
        <v>1369</v>
      </c>
      <c r="H258" s="8" t="s">
        <v>1370</v>
      </c>
      <c r="I258" s="8" t="s">
        <v>1371</v>
      </c>
      <c r="J258" s="8" t="s">
        <v>1369</v>
      </c>
      <c r="S258" s="16" t="s">
        <v>236</v>
      </c>
    </row>
    <row r="259" spans="7:19" ht="12.75" x14ac:dyDescent="0.2">
      <c r="G259" s="8" t="s">
        <v>1372</v>
      </c>
      <c r="H259" s="8" t="s">
        <v>1373</v>
      </c>
      <c r="I259" s="8" t="s">
        <v>1374</v>
      </c>
      <c r="J259" s="8" t="s">
        <v>1372</v>
      </c>
      <c r="S259" s="16" t="s">
        <v>418</v>
      </c>
    </row>
    <row r="260" spans="7:19" ht="12.75" x14ac:dyDescent="0.2">
      <c r="G260" s="8" t="s">
        <v>78</v>
      </c>
      <c r="H260" s="8" t="s">
        <v>1375</v>
      </c>
      <c r="I260" s="8" t="s">
        <v>667</v>
      </c>
      <c r="J260" s="8" t="s">
        <v>78</v>
      </c>
      <c r="S260" s="16" t="s">
        <v>237</v>
      </c>
    </row>
    <row r="261" spans="7:19" ht="12.75" x14ac:dyDescent="0.2">
      <c r="G261" s="8" t="s">
        <v>1376</v>
      </c>
      <c r="H261" s="8" t="s">
        <v>1377</v>
      </c>
      <c r="I261" s="8" t="s">
        <v>1378</v>
      </c>
      <c r="J261" s="8" t="s">
        <v>1376</v>
      </c>
      <c r="S261" s="16" t="s">
        <v>238</v>
      </c>
    </row>
    <row r="262" spans="7:19" ht="12.75" x14ac:dyDescent="0.2">
      <c r="G262" s="8" t="s">
        <v>79</v>
      </c>
      <c r="H262" s="8" t="s">
        <v>1379</v>
      </c>
      <c r="I262" s="8" t="s">
        <v>1380</v>
      </c>
      <c r="J262" s="8" t="s">
        <v>79</v>
      </c>
      <c r="S262" s="16" t="s">
        <v>239</v>
      </c>
    </row>
    <row r="263" spans="7:19" ht="12.75" x14ac:dyDescent="0.2">
      <c r="G263" s="8" t="s">
        <v>1381</v>
      </c>
      <c r="H263" s="8" t="s">
        <v>1382</v>
      </c>
      <c r="I263" s="8" t="s">
        <v>1383</v>
      </c>
      <c r="J263" s="8" t="s">
        <v>1381</v>
      </c>
      <c r="S263" s="16" t="s">
        <v>240</v>
      </c>
    </row>
    <row r="264" spans="7:19" ht="12.75" x14ac:dyDescent="0.2">
      <c r="G264" s="8" t="s">
        <v>1384</v>
      </c>
      <c r="H264" s="8" t="s">
        <v>1385</v>
      </c>
      <c r="I264" s="8" t="s">
        <v>1386</v>
      </c>
      <c r="J264" s="8" t="s">
        <v>1384</v>
      </c>
      <c r="S264" s="16" t="s">
        <v>241</v>
      </c>
    </row>
    <row r="265" spans="7:19" ht="12.75" x14ac:dyDescent="0.2">
      <c r="G265" s="8" t="s">
        <v>1387</v>
      </c>
      <c r="H265" s="8" t="s">
        <v>1370</v>
      </c>
      <c r="I265" s="8" t="s">
        <v>1388</v>
      </c>
      <c r="J265" s="8" t="s">
        <v>1387</v>
      </c>
      <c r="S265" s="16" t="s">
        <v>242</v>
      </c>
    </row>
    <row r="266" spans="7:19" ht="12.75" x14ac:dyDescent="0.2">
      <c r="G266" s="8" t="s">
        <v>350</v>
      </c>
      <c r="H266" s="8" t="s">
        <v>1389</v>
      </c>
      <c r="I266" s="8" t="s">
        <v>1390</v>
      </c>
      <c r="J266" s="8" t="s">
        <v>350</v>
      </c>
      <c r="S266" s="16" t="s">
        <v>243</v>
      </c>
    </row>
    <row r="267" spans="7:19" ht="12.75" x14ac:dyDescent="0.2">
      <c r="G267" s="8" t="s">
        <v>1391</v>
      </c>
      <c r="H267" s="8" t="s">
        <v>1392</v>
      </c>
      <c r="I267" s="8" t="s">
        <v>1393</v>
      </c>
      <c r="J267" s="8" t="s">
        <v>1391</v>
      </c>
      <c r="S267" s="16" t="s">
        <v>244</v>
      </c>
    </row>
    <row r="268" spans="7:19" ht="12.75" x14ac:dyDescent="0.2">
      <c r="G268" s="8" t="s">
        <v>1394</v>
      </c>
      <c r="H268" s="8" t="s">
        <v>1395</v>
      </c>
      <c r="I268" s="8" t="s">
        <v>1396</v>
      </c>
      <c r="J268" s="8" t="s">
        <v>1394</v>
      </c>
      <c r="S268" s="16" t="s">
        <v>422</v>
      </c>
    </row>
    <row r="269" spans="7:19" ht="12.75" x14ac:dyDescent="0.2">
      <c r="G269" s="8" t="s">
        <v>351</v>
      </c>
      <c r="H269" s="8" t="s">
        <v>1397</v>
      </c>
      <c r="I269" s="8" t="s">
        <v>1398</v>
      </c>
      <c r="J269" s="8" t="s">
        <v>351</v>
      </c>
      <c r="S269" s="16" t="s">
        <v>423</v>
      </c>
    </row>
    <row r="270" spans="7:19" ht="12.75" x14ac:dyDescent="0.2">
      <c r="G270" s="8" t="s">
        <v>1399</v>
      </c>
      <c r="H270" s="8" t="s">
        <v>1400</v>
      </c>
      <c r="I270" s="8" t="s">
        <v>1401</v>
      </c>
      <c r="J270" s="8" t="s">
        <v>1399</v>
      </c>
      <c r="S270" s="16" t="s">
        <v>424</v>
      </c>
    </row>
    <row r="271" spans="7:19" ht="12.75" x14ac:dyDescent="0.2">
      <c r="G271" s="8" t="s">
        <v>1402</v>
      </c>
      <c r="H271" s="8" t="s">
        <v>1403</v>
      </c>
      <c r="I271" s="8" t="s">
        <v>1404</v>
      </c>
      <c r="J271" s="8" t="s">
        <v>1402</v>
      </c>
      <c r="S271" s="16" t="s">
        <v>245</v>
      </c>
    </row>
    <row r="272" spans="7:19" ht="12.75" x14ac:dyDescent="0.2">
      <c r="G272" s="8" t="s">
        <v>353</v>
      </c>
      <c r="H272" s="8" t="s">
        <v>1405</v>
      </c>
      <c r="I272" s="8" t="s">
        <v>1406</v>
      </c>
      <c r="J272" s="8" t="s">
        <v>353</v>
      </c>
      <c r="S272" s="16" t="s">
        <v>246</v>
      </c>
    </row>
    <row r="273" spans="7:19" ht="12.75" x14ac:dyDescent="0.2">
      <c r="G273" s="8" t="s">
        <v>80</v>
      </c>
      <c r="H273" s="8" t="s">
        <v>1407</v>
      </c>
      <c r="I273" s="8" t="s">
        <v>671</v>
      </c>
      <c r="J273" s="8" t="s">
        <v>80</v>
      </c>
      <c r="S273" s="16" t="s">
        <v>247</v>
      </c>
    </row>
    <row r="274" spans="7:19" ht="12.75" x14ac:dyDescent="0.2">
      <c r="G274" s="8" t="s">
        <v>81</v>
      </c>
      <c r="H274" s="8" t="s">
        <v>1408</v>
      </c>
      <c r="I274" s="8" t="s">
        <v>675</v>
      </c>
      <c r="J274" s="8" t="s">
        <v>81</v>
      </c>
      <c r="S274" s="16" t="s">
        <v>248</v>
      </c>
    </row>
    <row r="275" spans="7:19" ht="12.75" x14ac:dyDescent="0.2">
      <c r="G275" s="8" t="s">
        <v>1409</v>
      </c>
      <c r="H275" s="8" t="s">
        <v>1410</v>
      </c>
      <c r="I275" s="8" t="s">
        <v>1411</v>
      </c>
      <c r="J275" s="8" t="s">
        <v>1409</v>
      </c>
      <c r="S275" s="16" t="s">
        <v>249</v>
      </c>
    </row>
    <row r="276" spans="7:19" ht="12.75" x14ac:dyDescent="0.2">
      <c r="G276" s="8" t="s">
        <v>82</v>
      </c>
      <c r="H276" s="8" t="s">
        <v>1412</v>
      </c>
      <c r="I276" s="8" t="s">
        <v>1413</v>
      </c>
      <c r="J276" s="8" t="s">
        <v>82</v>
      </c>
      <c r="S276" s="19" t="s">
        <v>428</v>
      </c>
    </row>
    <row r="277" spans="7:19" ht="12.75" x14ac:dyDescent="0.2">
      <c r="G277" s="8" t="s">
        <v>1414</v>
      </c>
      <c r="H277" s="8" t="s">
        <v>1415</v>
      </c>
      <c r="I277" s="8" t="s">
        <v>1416</v>
      </c>
      <c r="J277" s="8" t="s">
        <v>1414</v>
      </c>
      <c r="S277" s="19" t="s">
        <v>430</v>
      </c>
    </row>
    <row r="278" spans="7:19" ht="12.75" x14ac:dyDescent="0.2">
      <c r="G278" s="8" t="s">
        <v>1417</v>
      </c>
      <c r="H278" s="8" t="s">
        <v>1418</v>
      </c>
      <c r="I278" s="8" t="s">
        <v>1419</v>
      </c>
      <c r="J278" s="8" t="s">
        <v>1417</v>
      </c>
      <c r="S278" s="19" t="s">
        <v>431</v>
      </c>
    </row>
    <row r="279" spans="7:19" ht="12.75" x14ac:dyDescent="0.2">
      <c r="G279" s="8" t="s">
        <v>1420</v>
      </c>
      <c r="H279" s="8" t="s">
        <v>1421</v>
      </c>
      <c r="I279" s="8" t="s">
        <v>1422</v>
      </c>
      <c r="J279" s="8" t="s">
        <v>1420</v>
      </c>
      <c r="S279" s="19" t="s">
        <v>433</v>
      </c>
    </row>
    <row r="280" spans="7:19" ht="12.75" x14ac:dyDescent="0.2">
      <c r="G280" s="8" t="s">
        <v>83</v>
      </c>
      <c r="H280" s="8" t="s">
        <v>1423</v>
      </c>
      <c r="I280" s="8" t="s">
        <v>1424</v>
      </c>
      <c r="J280" s="8" t="s">
        <v>83</v>
      </c>
      <c r="S280" s="19" t="s">
        <v>434</v>
      </c>
    </row>
    <row r="281" spans="7:19" ht="12.75" x14ac:dyDescent="0.2">
      <c r="G281" s="8" t="s">
        <v>84</v>
      </c>
      <c r="H281" s="8" t="s">
        <v>1425</v>
      </c>
      <c r="I281" s="8" t="s">
        <v>679</v>
      </c>
      <c r="J281" s="8" t="s">
        <v>84</v>
      </c>
      <c r="S281" s="19" t="s">
        <v>436</v>
      </c>
    </row>
    <row r="282" spans="7:19" ht="12.75" x14ac:dyDescent="0.2">
      <c r="G282" s="8" t="s">
        <v>1426</v>
      </c>
      <c r="H282" s="8" t="s">
        <v>1427</v>
      </c>
      <c r="I282" s="8" t="s">
        <v>1428</v>
      </c>
      <c r="J282" s="8" t="s">
        <v>1426</v>
      </c>
      <c r="S282" s="16" t="s">
        <v>258</v>
      </c>
    </row>
    <row r="283" spans="7:19" ht="12.75" x14ac:dyDescent="0.2">
      <c r="G283" s="8" t="s">
        <v>85</v>
      </c>
      <c r="H283" s="8" t="s">
        <v>1429</v>
      </c>
      <c r="I283" s="8" t="s">
        <v>1430</v>
      </c>
      <c r="J283" s="8" t="s">
        <v>85</v>
      </c>
      <c r="S283" s="16" t="s">
        <v>259</v>
      </c>
    </row>
    <row r="284" spans="7:19" ht="12.75" x14ac:dyDescent="0.2">
      <c r="G284" s="8" t="s">
        <v>1431</v>
      </c>
      <c r="H284" s="8" t="s">
        <v>1432</v>
      </c>
      <c r="I284" s="8" t="s">
        <v>1433</v>
      </c>
      <c r="J284" s="8" t="s">
        <v>1431</v>
      </c>
      <c r="S284" s="16" t="s">
        <v>260</v>
      </c>
    </row>
    <row r="285" spans="7:19" ht="12.75" x14ac:dyDescent="0.2">
      <c r="G285" s="8" t="s">
        <v>1434</v>
      </c>
      <c r="H285" s="8" t="s">
        <v>1435</v>
      </c>
      <c r="I285" s="8" t="s">
        <v>1436</v>
      </c>
      <c r="J285" s="8" t="s">
        <v>1434</v>
      </c>
      <c r="S285" s="16" t="s">
        <v>261</v>
      </c>
    </row>
    <row r="286" spans="7:19" ht="12.75" x14ac:dyDescent="0.2">
      <c r="G286" s="8" t="s">
        <v>86</v>
      </c>
      <c r="H286" s="8" t="s">
        <v>1437</v>
      </c>
      <c r="I286" s="8" t="s">
        <v>683</v>
      </c>
      <c r="J286" s="8" t="s">
        <v>86</v>
      </c>
      <c r="S286" s="16" t="s">
        <v>440</v>
      </c>
    </row>
    <row r="287" spans="7:19" ht="12.75" x14ac:dyDescent="0.2">
      <c r="G287" s="8" t="s">
        <v>1438</v>
      </c>
      <c r="H287" s="8" t="s">
        <v>1439</v>
      </c>
      <c r="I287" s="8" t="s">
        <v>1440</v>
      </c>
      <c r="J287" s="8" t="s">
        <v>1438</v>
      </c>
      <c r="S287" s="16" t="s">
        <v>441</v>
      </c>
    </row>
    <row r="288" spans="7:19" ht="12.75" x14ac:dyDescent="0.2">
      <c r="G288" s="8" t="s">
        <v>87</v>
      </c>
      <c r="H288" s="8" t="s">
        <v>1441</v>
      </c>
      <c r="I288" s="8" t="s">
        <v>687</v>
      </c>
      <c r="J288" s="8" t="s">
        <v>87</v>
      </c>
      <c r="S288" s="16" t="s">
        <v>262</v>
      </c>
    </row>
    <row r="289" spans="7:19" ht="12.75" x14ac:dyDescent="0.2">
      <c r="G289" s="8" t="s">
        <v>1442</v>
      </c>
      <c r="H289" s="8" t="s">
        <v>1443</v>
      </c>
      <c r="I289" s="8" t="s">
        <v>1444</v>
      </c>
      <c r="J289" s="8" t="s">
        <v>1442</v>
      </c>
      <c r="S289" s="16" t="s">
        <v>263</v>
      </c>
    </row>
    <row r="290" spans="7:19" ht="12.75" x14ac:dyDescent="0.2">
      <c r="G290" s="8" t="s">
        <v>1445</v>
      </c>
      <c r="H290" s="8" t="s">
        <v>1446</v>
      </c>
      <c r="I290" s="8" t="s">
        <v>1447</v>
      </c>
      <c r="J290" s="8" t="s">
        <v>1445</v>
      </c>
      <c r="S290" s="16" t="s">
        <v>264</v>
      </c>
    </row>
    <row r="291" spans="7:19" ht="12.75" x14ac:dyDescent="0.2">
      <c r="G291" s="8" t="s">
        <v>88</v>
      </c>
      <c r="H291" s="8" t="s">
        <v>1448</v>
      </c>
      <c r="I291" s="8" t="s">
        <v>1449</v>
      </c>
      <c r="J291" s="8" t="s">
        <v>88</v>
      </c>
      <c r="S291" s="16" t="s">
        <v>265</v>
      </c>
    </row>
    <row r="292" spans="7:19" ht="12.75" x14ac:dyDescent="0.2">
      <c r="G292" s="8" t="s">
        <v>1450</v>
      </c>
      <c r="H292" s="8" t="s">
        <v>1451</v>
      </c>
      <c r="I292" s="8" t="s">
        <v>1452</v>
      </c>
      <c r="J292" s="8" t="s">
        <v>1450</v>
      </c>
      <c r="S292" s="16" t="s">
        <v>444</v>
      </c>
    </row>
    <row r="293" spans="7:19" ht="12.75" x14ac:dyDescent="0.2">
      <c r="G293" s="8" t="s">
        <v>1453</v>
      </c>
      <c r="H293" s="8" t="s">
        <v>1454</v>
      </c>
      <c r="I293" s="8" t="s">
        <v>1455</v>
      </c>
      <c r="J293" s="8" t="s">
        <v>1453</v>
      </c>
      <c r="S293" s="16" t="s">
        <v>445</v>
      </c>
    </row>
    <row r="294" spans="7:19" ht="12.75" x14ac:dyDescent="0.2">
      <c r="G294" s="8" t="s">
        <v>89</v>
      </c>
      <c r="H294" s="8" t="s">
        <v>1456</v>
      </c>
      <c r="I294" s="8" t="s">
        <v>691</v>
      </c>
      <c r="J294" s="8" t="s">
        <v>89</v>
      </c>
      <c r="S294" s="16" t="s">
        <v>446</v>
      </c>
    </row>
    <row r="295" spans="7:19" ht="12.75" x14ac:dyDescent="0.2">
      <c r="G295" s="8" t="s">
        <v>356</v>
      </c>
      <c r="H295" s="8" t="s">
        <v>1457</v>
      </c>
      <c r="I295" s="8" t="s">
        <v>1458</v>
      </c>
      <c r="J295" s="8" t="s">
        <v>356</v>
      </c>
      <c r="S295" s="19" t="s">
        <v>448</v>
      </c>
    </row>
    <row r="296" spans="7:19" ht="12.75" x14ac:dyDescent="0.2">
      <c r="G296" s="8" t="s">
        <v>1459</v>
      </c>
      <c r="H296" s="8" t="s">
        <v>1460</v>
      </c>
      <c r="I296" s="8" t="s">
        <v>1461</v>
      </c>
      <c r="J296" s="8" t="s">
        <v>1459</v>
      </c>
      <c r="S296" s="16" t="s">
        <v>267</v>
      </c>
    </row>
    <row r="297" spans="7:19" ht="12.75" x14ac:dyDescent="0.2">
      <c r="G297" s="8" t="s">
        <v>1462</v>
      </c>
      <c r="H297" s="8" t="s">
        <v>1463</v>
      </c>
      <c r="I297" s="8" t="s">
        <v>1464</v>
      </c>
      <c r="J297" s="8" t="s">
        <v>1462</v>
      </c>
      <c r="S297" s="16" t="s">
        <v>450</v>
      </c>
    </row>
    <row r="298" spans="7:19" ht="12.75" x14ac:dyDescent="0.2">
      <c r="G298" s="8" t="s">
        <v>90</v>
      </c>
      <c r="H298" s="8" t="s">
        <v>1465</v>
      </c>
      <c r="I298" s="8" t="s">
        <v>695</v>
      </c>
      <c r="J298" s="8" t="s">
        <v>90</v>
      </c>
      <c r="S298" s="16" t="s">
        <v>311</v>
      </c>
    </row>
    <row r="299" spans="7:19" ht="12.75" x14ac:dyDescent="0.2">
      <c r="G299" s="8" t="s">
        <v>1466</v>
      </c>
      <c r="H299" s="8" t="s">
        <v>1467</v>
      </c>
      <c r="I299" s="8" t="s">
        <v>1468</v>
      </c>
      <c r="J299" s="8" t="s">
        <v>1466</v>
      </c>
      <c r="S299" s="16" t="s">
        <v>268</v>
      </c>
    </row>
    <row r="300" spans="7:19" ht="12.75" x14ac:dyDescent="0.2">
      <c r="G300" s="8" t="s">
        <v>1469</v>
      </c>
      <c r="H300" s="8" t="s">
        <v>1470</v>
      </c>
      <c r="I300" s="8" t="s">
        <v>1471</v>
      </c>
      <c r="J300" s="8" t="s">
        <v>1469</v>
      </c>
      <c r="S300" s="16" t="s">
        <v>453</v>
      </c>
    </row>
    <row r="301" spans="7:19" ht="12.75" x14ac:dyDescent="0.2">
      <c r="G301" s="8" t="s">
        <v>1472</v>
      </c>
      <c r="H301" s="8" t="s">
        <v>1473</v>
      </c>
      <c r="I301" s="8" t="s">
        <v>1474</v>
      </c>
      <c r="J301" s="8" t="s">
        <v>1472</v>
      </c>
      <c r="S301" s="16" t="s">
        <v>269</v>
      </c>
    </row>
    <row r="302" spans="7:19" ht="12.75" x14ac:dyDescent="0.2">
      <c r="G302" s="8" t="s">
        <v>1475</v>
      </c>
      <c r="H302" s="8" t="s">
        <v>1476</v>
      </c>
      <c r="I302" s="8" t="s">
        <v>1477</v>
      </c>
      <c r="J302" s="8" t="s">
        <v>1475</v>
      </c>
      <c r="S302" s="16" t="s">
        <v>270</v>
      </c>
    </row>
    <row r="303" spans="7:19" ht="12.75" x14ac:dyDescent="0.2">
      <c r="G303" s="8" t="s">
        <v>1478</v>
      </c>
      <c r="H303" s="8" t="s">
        <v>1479</v>
      </c>
      <c r="I303" s="8" t="s">
        <v>1480</v>
      </c>
      <c r="J303" s="8" t="s">
        <v>1478</v>
      </c>
      <c r="S303" s="16" t="s">
        <v>271</v>
      </c>
    </row>
    <row r="304" spans="7:19" ht="12.75" x14ac:dyDescent="0.2">
      <c r="G304" s="8" t="s">
        <v>1481</v>
      </c>
      <c r="H304" s="8" t="s">
        <v>1465</v>
      </c>
      <c r="I304" s="8" t="s">
        <v>1482</v>
      </c>
      <c r="J304" s="8" t="s">
        <v>1481</v>
      </c>
      <c r="S304" s="16" t="s">
        <v>1483</v>
      </c>
    </row>
    <row r="305" spans="7:19" ht="12.75" x14ac:dyDescent="0.2">
      <c r="G305" s="8" t="s">
        <v>1484</v>
      </c>
      <c r="H305" s="8" t="s">
        <v>1485</v>
      </c>
      <c r="I305" s="8" t="s">
        <v>1486</v>
      </c>
      <c r="J305" s="8" t="s">
        <v>1484</v>
      </c>
      <c r="S305" s="16" t="s">
        <v>1487</v>
      </c>
    </row>
    <row r="306" spans="7:19" ht="12.75" x14ac:dyDescent="0.2">
      <c r="G306" s="8" t="s">
        <v>1488</v>
      </c>
      <c r="H306" s="8" t="s">
        <v>1489</v>
      </c>
      <c r="I306" s="8" t="s">
        <v>1490</v>
      </c>
      <c r="J306" s="8" t="s">
        <v>1488</v>
      </c>
      <c r="S306" s="16" t="s">
        <v>1491</v>
      </c>
    </row>
    <row r="307" spans="7:19" ht="12.75" x14ac:dyDescent="0.2">
      <c r="G307" s="8" t="s">
        <v>1492</v>
      </c>
      <c r="H307" s="8" t="s">
        <v>1493</v>
      </c>
      <c r="I307" s="8" t="s">
        <v>1494</v>
      </c>
      <c r="J307" s="8" t="s">
        <v>1492</v>
      </c>
      <c r="S307" s="16" t="s">
        <v>1495</v>
      </c>
    </row>
    <row r="308" spans="7:19" ht="12.75" x14ac:dyDescent="0.2">
      <c r="G308" s="8" t="s">
        <v>1496</v>
      </c>
      <c r="H308" s="8" t="s">
        <v>1497</v>
      </c>
      <c r="I308" s="8" t="s">
        <v>1498</v>
      </c>
      <c r="J308" s="8" t="s">
        <v>1496</v>
      </c>
      <c r="S308" s="16" t="s">
        <v>466</v>
      </c>
    </row>
    <row r="309" spans="7:19" ht="12.75" x14ac:dyDescent="0.2">
      <c r="G309" s="8" t="s">
        <v>1499</v>
      </c>
      <c r="H309" s="8" t="s">
        <v>1500</v>
      </c>
      <c r="I309" s="8" t="s">
        <v>1501</v>
      </c>
      <c r="J309" s="8" t="s">
        <v>1499</v>
      </c>
      <c r="S309" s="16" t="s">
        <v>467</v>
      </c>
    </row>
    <row r="310" spans="7:19" ht="12.75" x14ac:dyDescent="0.2">
      <c r="G310" s="8" t="s">
        <v>91</v>
      </c>
      <c r="H310" s="8" t="s">
        <v>1502</v>
      </c>
      <c r="I310" s="8" t="s">
        <v>1503</v>
      </c>
      <c r="J310" s="8" t="s">
        <v>91</v>
      </c>
      <c r="S310" s="16" t="s">
        <v>468</v>
      </c>
    </row>
    <row r="311" spans="7:19" ht="12.75" x14ac:dyDescent="0.2">
      <c r="G311" s="8" t="s">
        <v>1504</v>
      </c>
      <c r="H311" s="8" t="s">
        <v>1505</v>
      </c>
      <c r="I311" s="8" t="s">
        <v>1506</v>
      </c>
      <c r="J311" s="8" t="s">
        <v>1504</v>
      </c>
      <c r="S311" s="16" t="s">
        <v>469</v>
      </c>
    </row>
    <row r="312" spans="7:19" ht="12.75" x14ac:dyDescent="0.2">
      <c r="G312" s="8" t="s">
        <v>1507</v>
      </c>
      <c r="H312" s="8" t="s">
        <v>1508</v>
      </c>
      <c r="I312" s="8" t="s">
        <v>1509</v>
      </c>
      <c r="J312" s="8" t="s">
        <v>1507</v>
      </c>
      <c r="S312" s="16" t="s">
        <v>472</v>
      </c>
    </row>
    <row r="313" spans="7:19" ht="12.75" x14ac:dyDescent="0.2">
      <c r="G313" s="8" t="s">
        <v>1510</v>
      </c>
      <c r="H313" s="8" t="s">
        <v>1511</v>
      </c>
      <c r="I313" s="8" t="s">
        <v>1512</v>
      </c>
      <c r="J313" s="8" t="s">
        <v>1510</v>
      </c>
      <c r="S313" s="16" t="s">
        <v>473</v>
      </c>
    </row>
    <row r="314" spans="7:19" ht="12.75" x14ac:dyDescent="0.2">
      <c r="G314" s="8" t="s">
        <v>1513</v>
      </c>
      <c r="H314" s="8" t="s">
        <v>1514</v>
      </c>
      <c r="I314" s="8" t="s">
        <v>1515</v>
      </c>
      <c r="J314" s="8" t="s">
        <v>1513</v>
      </c>
      <c r="S314" s="16" t="s">
        <v>475</v>
      </c>
    </row>
    <row r="315" spans="7:19" ht="12.75" x14ac:dyDescent="0.2">
      <c r="G315" s="8" t="s">
        <v>1516</v>
      </c>
      <c r="H315" s="8" t="s">
        <v>1517</v>
      </c>
      <c r="I315" s="8" t="s">
        <v>1518</v>
      </c>
      <c r="J315" s="8" t="s">
        <v>1516</v>
      </c>
      <c r="S315" s="16" t="s">
        <v>477</v>
      </c>
    </row>
    <row r="316" spans="7:19" ht="12.75" x14ac:dyDescent="0.2">
      <c r="G316" s="8" t="s">
        <v>1519</v>
      </c>
      <c r="H316" s="8" t="s">
        <v>1520</v>
      </c>
      <c r="I316" s="8" t="s">
        <v>1521</v>
      </c>
      <c r="J316" s="8" t="s">
        <v>1519</v>
      </c>
      <c r="S316" s="16" t="s">
        <v>480</v>
      </c>
    </row>
    <row r="317" spans="7:19" ht="12.75" x14ac:dyDescent="0.2">
      <c r="G317" s="8" t="s">
        <v>1522</v>
      </c>
      <c r="H317" s="8" t="s">
        <v>1523</v>
      </c>
      <c r="I317" s="8" t="s">
        <v>1524</v>
      </c>
      <c r="J317" s="8" t="s">
        <v>1522</v>
      </c>
      <c r="S317" s="16" t="s">
        <v>481</v>
      </c>
    </row>
    <row r="318" spans="7:19" ht="12.75" x14ac:dyDescent="0.2">
      <c r="G318" s="8" t="s">
        <v>1525</v>
      </c>
      <c r="H318" s="8" t="s">
        <v>1526</v>
      </c>
      <c r="I318" s="8" t="s">
        <v>1527</v>
      </c>
      <c r="J318" s="8" t="s">
        <v>1525</v>
      </c>
      <c r="S318" s="16" t="s">
        <v>482</v>
      </c>
    </row>
    <row r="319" spans="7:19" ht="12.75" x14ac:dyDescent="0.2">
      <c r="G319" s="8" t="s">
        <v>1528</v>
      </c>
      <c r="H319" s="8" t="s">
        <v>1529</v>
      </c>
      <c r="I319" s="8" t="s">
        <v>1530</v>
      </c>
      <c r="J319" s="8" t="s">
        <v>1528</v>
      </c>
      <c r="S319" s="16" t="s">
        <v>483</v>
      </c>
    </row>
    <row r="320" spans="7:19" ht="12.75" x14ac:dyDescent="0.2">
      <c r="G320" s="8" t="s">
        <v>1531</v>
      </c>
      <c r="H320" s="8" t="s">
        <v>1532</v>
      </c>
      <c r="I320" s="8" t="s">
        <v>1533</v>
      </c>
      <c r="J320" s="8" t="s">
        <v>1531</v>
      </c>
      <c r="S320" s="16" t="s">
        <v>275</v>
      </c>
    </row>
    <row r="321" spans="7:19" ht="12.75" x14ac:dyDescent="0.2">
      <c r="G321" s="8" t="s">
        <v>92</v>
      </c>
      <c r="H321" s="8" t="s">
        <v>1534</v>
      </c>
      <c r="I321" s="8" t="s">
        <v>698</v>
      </c>
      <c r="J321" s="8" t="s">
        <v>92</v>
      </c>
      <c r="S321" s="16" t="s">
        <v>276</v>
      </c>
    </row>
    <row r="322" spans="7:19" ht="12.75" x14ac:dyDescent="0.2">
      <c r="G322" s="8" t="s">
        <v>1535</v>
      </c>
      <c r="H322" s="8" t="s">
        <v>1536</v>
      </c>
      <c r="I322" s="8" t="s">
        <v>1537</v>
      </c>
      <c r="J322" s="8" t="s">
        <v>1535</v>
      </c>
      <c r="S322" s="16" t="s">
        <v>277</v>
      </c>
    </row>
    <row r="323" spans="7:19" ht="12.75" x14ac:dyDescent="0.2">
      <c r="G323" s="8" t="s">
        <v>1538</v>
      </c>
      <c r="H323" s="8" t="s">
        <v>1539</v>
      </c>
      <c r="I323" s="8" t="s">
        <v>1540</v>
      </c>
      <c r="J323" s="8" t="s">
        <v>1538</v>
      </c>
      <c r="S323" s="16" t="s">
        <v>278</v>
      </c>
    </row>
    <row r="324" spans="7:19" ht="12.75" x14ac:dyDescent="0.2">
      <c r="G324" s="8" t="s">
        <v>1541</v>
      </c>
      <c r="H324" s="8" t="s">
        <v>1542</v>
      </c>
      <c r="I324" s="8" t="s">
        <v>1543</v>
      </c>
      <c r="J324" s="8" t="s">
        <v>1541</v>
      </c>
      <c r="S324" s="16" t="s">
        <v>487</v>
      </c>
    </row>
    <row r="325" spans="7:19" ht="12.75" x14ac:dyDescent="0.2">
      <c r="G325" s="8" t="s">
        <v>1544</v>
      </c>
      <c r="H325" s="8" t="s">
        <v>1542</v>
      </c>
      <c r="I325" s="8" t="s">
        <v>1545</v>
      </c>
      <c r="J325" s="8" t="s">
        <v>1544</v>
      </c>
      <c r="S325" s="16" t="s">
        <v>279</v>
      </c>
    </row>
    <row r="326" spans="7:19" ht="12.75" x14ac:dyDescent="0.2">
      <c r="G326" s="8" t="s">
        <v>1546</v>
      </c>
      <c r="H326" s="8" t="s">
        <v>1547</v>
      </c>
      <c r="I326" s="8" t="s">
        <v>1548</v>
      </c>
      <c r="J326" s="8" t="s">
        <v>1546</v>
      </c>
      <c r="S326" s="16" t="s">
        <v>280</v>
      </c>
    </row>
    <row r="327" spans="7:19" ht="12.75" x14ac:dyDescent="0.2">
      <c r="G327" s="8" t="s">
        <v>93</v>
      </c>
      <c r="H327" s="8" t="s">
        <v>1549</v>
      </c>
      <c r="I327" s="8" t="s">
        <v>1550</v>
      </c>
      <c r="J327" s="8" t="s">
        <v>93</v>
      </c>
      <c r="S327" s="16" t="s">
        <v>281</v>
      </c>
    </row>
    <row r="328" spans="7:19" ht="12.75" x14ac:dyDescent="0.2">
      <c r="G328" s="8" t="s">
        <v>1551</v>
      </c>
      <c r="H328" s="8" t="s">
        <v>1552</v>
      </c>
      <c r="I328" s="8" t="s">
        <v>1553</v>
      </c>
      <c r="J328" s="8" t="s">
        <v>1551</v>
      </c>
      <c r="S328" s="16" t="s">
        <v>282</v>
      </c>
    </row>
    <row r="329" spans="7:19" ht="12.75" x14ac:dyDescent="0.2">
      <c r="G329" s="8" t="s">
        <v>94</v>
      </c>
      <c r="H329" s="8" t="s">
        <v>1554</v>
      </c>
      <c r="I329" s="8" t="s">
        <v>701</v>
      </c>
      <c r="J329" s="8" t="s">
        <v>94</v>
      </c>
      <c r="S329" s="16" t="s">
        <v>283</v>
      </c>
    </row>
    <row r="330" spans="7:19" ht="12.75" x14ac:dyDescent="0.2">
      <c r="G330" s="8" t="s">
        <v>1555</v>
      </c>
      <c r="H330" s="8" t="s">
        <v>1556</v>
      </c>
      <c r="I330" s="8" t="s">
        <v>1557</v>
      </c>
      <c r="J330" s="8" t="s">
        <v>1555</v>
      </c>
      <c r="S330" s="16" t="s">
        <v>284</v>
      </c>
    </row>
    <row r="331" spans="7:19" ht="12.75" x14ac:dyDescent="0.2">
      <c r="G331" s="8" t="s">
        <v>95</v>
      </c>
      <c r="H331" s="8" t="s">
        <v>1558</v>
      </c>
      <c r="I331" s="8" t="s">
        <v>703</v>
      </c>
      <c r="J331" s="8" t="s">
        <v>95</v>
      </c>
      <c r="S331" s="16" t="s">
        <v>285</v>
      </c>
    </row>
    <row r="332" spans="7:19" ht="12.75" x14ac:dyDescent="0.2">
      <c r="G332" s="8" t="s">
        <v>1559</v>
      </c>
      <c r="H332" s="8" t="s">
        <v>1560</v>
      </c>
      <c r="I332" s="8" t="s">
        <v>1561</v>
      </c>
      <c r="J332" s="8" t="s">
        <v>1559</v>
      </c>
      <c r="S332" s="16" t="s">
        <v>307</v>
      </c>
    </row>
    <row r="333" spans="7:19" ht="12.75" x14ac:dyDescent="0.2">
      <c r="G333" s="8" t="s">
        <v>96</v>
      </c>
      <c r="H333" s="8" t="s">
        <v>1562</v>
      </c>
      <c r="I333" s="8" t="s">
        <v>705</v>
      </c>
      <c r="J333" s="8" t="s">
        <v>96</v>
      </c>
      <c r="S333" s="16" t="s">
        <v>286</v>
      </c>
    </row>
    <row r="334" spans="7:19" ht="12.75" x14ac:dyDescent="0.2">
      <c r="G334" s="8" t="s">
        <v>97</v>
      </c>
      <c r="H334" s="8" t="s">
        <v>1563</v>
      </c>
      <c r="I334" s="8" t="s">
        <v>708</v>
      </c>
      <c r="J334" s="8" t="s">
        <v>97</v>
      </c>
      <c r="S334" s="16" t="s">
        <v>287</v>
      </c>
    </row>
    <row r="335" spans="7:19" ht="12.75" x14ac:dyDescent="0.2">
      <c r="G335" s="8" t="s">
        <v>98</v>
      </c>
      <c r="H335" s="8" t="s">
        <v>1564</v>
      </c>
      <c r="I335" s="8" t="s">
        <v>1565</v>
      </c>
      <c r="J335" s="8" t="s">
        <v>98</v>
      </c>
      <c r="S335" s="16" t="s">
        <v>288</v>
      </c>
    </row>
    <row r="336" spans="7:19" ht="12.75" x14ac:dyDescent="0.2">
      <c r="G336" s="8" t="s">
        <v>1566</v>
      </c>
      <c r="H336" s="8" t="s">
        <v>1567</v>
      </c>
      <c r="I336" s="8" t="s">
        <v>1568</v>
      </c>
      <c r="J336" s="8" t="s">
        <v>1566</v>
      </c>
      <c r="S336" s="16" t="s">
        <v>289</v>
      </c>
    </row>
    <row r="337" spans="7:19" ht="12.75" x14ac:dyDescent="0.2">
      <c r="G337" s="8" t="s">
        <v>99</v>
      </c>
      <c r="H337" s="8" t="s">
        <v>1569</v>
      </c>
      <c r="I337" s="8" t="s">
        <v>710</v>
      </c>
      <c r="J337" s="8" t="s">
        <v>99</v>
      </c>
      <c r="S337" s="16" t="s">
        <v>308</v>
      </c>
    </row>
    <row r="338" spans="7:19" ht="12.75" x14ac:dyDescent="0.2">
      <c r="G338" s="8" t="s">
        <v>1570</v>
      </c>
      <c r="H338" s="8" t="s">
        <v>1571</v>
      </c>
      <c r="I338" s="8" t="s">
        <v>1572</v>
      </c>
      <c r="J338" s="8" t="s">
        <v>1570</v>
      </c>
      <c r="S338" s="16" t="s">
        <v>290</v>
      </c>
    </row>
    <row r="339" spans="7:19" ht="12.75" x14ac:dyDescent="0.2">
      <c r="G339" s="8" t="s">
        <v>1573</v>
      </c>
      <c r="H339" s="8" t="s">
        <v>1574</v>
      </c>
      <c r="I339" s="8" t="s">
        <v>1575</v>
      </c>
      <c r="J339" s="8" t="s">
        <v>1573</v>
      </c>
      <c r="S339" s="16" t="s">
        <v>488</v>
      </c>
    </row>
    <row r="340" spans="7:19" ht="12.75" x14ac:dyDescent="0.2">
      <c r="G340" s="8" t="s">
        <v>1576</v>
      </c>
      <c r="H340" s="8" t="s">
        <v>1577</v>
      </c>
      <c r="I340" s="8" t="s">
        <v>1578</v>
      </c>
      <c r="J340" s="8" t="s">
        <v>1576</v>
      </c>
      <c r="S340" s="16" t="s">
        <v>489</v>
      </c>
    </row>
    <row r="341" spans="7:19" ht="12.75" x14ac:dyDescent="0.2">
      <c r="G341" s="8" t="s">
        <v>1579</v>
      </c>
      <c r="H341" s="8" t="s">
        <v>1580</v>
      </c>
      <c r="I341" s="8" t="s">
        <v>1581</v>
      </c>
      <c r="J341" s="8" t="s">
        <v>1579</v>
      </c>
      <c r="S341" s="16" t="s">
        <v>291</v>
      </c>
    </row>
    <row r="342" spans="7:19" ht="12.75" x14ac:dyDescent="0.2">
      <c r="G342" s="8" t="s">
        <v>100</v>
      </c>
      <c r="H342" s="8" t="s">
        <v>1582</v>
      </c>
      <c r="I342" s="8" t="s">
        <v>1583</v>
      </c>
      <c r="J342" s="8" t="s">
        <v>100</v>
      </c>
      <c r="S342" s="16" t="s">
        <v>292</v>
      </c>
    </row>
    <row r="343" spans="7:19" ht="12.75" x14ac:dyDescent="0.2">
      <c r="G343" s="8" t="s">
        <v>1584</v>
      </c>
      <c r="H343" s="8" t="s">
        <v>1585</v>
      </c>
      <c r="I343" s="8" t="s">
        <v>1586</v>
      </c>
      <c r="J343" s="8" t="s">
        <v>1584</v>
      </c>
      <c r="S343" s="16" t="s">
        <v>293</v>
      </c>
    </row>
    <row r="344" spans="7:19" ht="12.75" x14ac:dyDescent="0.2">
      <c r="G344" s="8" t="s">
        <v>1587</v>
      </c>
      <c r="H344" s="8" t="s">
        <v>1588</v>
      </c>
      <c r="I344" s="8" t="s">
        <v>1589</v>
      </c>
      <c r="J344" s="8" t="s">
        <v>1587</v>
      </c>
      <c r="S344" s="16" t="s">
        <v>294</v>
      </c>
    </row>
    <row r="345" spans="7:19" ht="12.75" x14ac:dyDescent="0.2">
      <c r="G345" s="8" t="s">
        <v>1590</v>
      </c>
      <c r="H345" s="8" t="s">
        <v>1591</v>
      </c>
      <c r="I345" s="8" t="s">
        <v>1592</v>
      </c>
      <c r="J345" s="8" t="s">
        <v>1590</v>
      </c>
      <c r="S345" s="16" t="s">
        <v>295</v>
      </c>
    </row>
    <row r="346" spans="7:19" ht="12.75" x14ac:dyDescent="0.2">
      <c r="G346" s="8" t="s">
        <v>101</v>
      </c>
      <c r="H346" s="8" t="s">
        <v>1591</v>
      </c>
      <c r="I346" s="8" t="s">
        <v>1593</v>
      </c>
      <c r="J346" s="8" t="s">
        <v>101</v>
      </c>
      <c r="S346" s="16" t="s">
        <v>296</v>
      </c>
    </row>
    <row r="347" spans="7:19" ht="12.75" x14ac:dyDescent="0.2">
      <c r="G347" s="8" t="s">
        <v>1594</v>
      </c>
      <c r="H347" s="8" t="s">
        <v>1595</v>
      </c>
      <c r="I347" s="8" t="s">
        <v>1596</v>
      </c>
      <c r="J347" s="8" t="s">
        <v>1594</v>
      </c>
      <c r="S347" s="16" t="s">
        <v>297</v>
      </c>
    </row>
    <row r="348" spans="7:19" ht="12.75" x14ac:dyDescent="0.2">
      <c r="G348" s="8" t="s">
        <v>1597</v>
      </c>
      <c r="H348" s="8" t="s">
        <v>1598</v>
      </c>
      <c r="I348" s="8" t="s">
        <v>1599</v>
      </c>
      <c r="J348" s="8" t="s">
        <v>1597</v>
      </c>
      <c r="S348" s="16" t="s">
        <v>298</v>
      </c>
    </row>
    <row r="349" spans="7:19" ht="12.75" x14ac:dyDescent="0.2">
      <c r="G349" s="8" t="s">
        <v>1600</v>
      </c>
      <c r="H349" s="8" t="s">
        <v>1601</v>
      </c>
      <c r="I349" s="8" t="s">
        <v>1602</v>
      </c>
      <c r="J349" s="8" t="s">
        <v>1600</v>
      </c>
      <c r="S349" s="16" t="s">
        <v>299</v>
      </c>
    </row>
    <row r="350" spans="7:19" ht="12.75" x14ac:dyDescent="0.2">
      <c r="G350" s="8" t="s">
        <v>1603</v>
      </c>
      <c r="H350" s="8" t="s">
        <v>1604</v>
      </c>
      <c r="I350" s="8" t="s">
        <v>1605</v>
      </c>
      <c r="J350" s="8" t="s">
        <v>1603</v>
      </c>
      <c r="S350" s="16" t="s">
        <v>300</v>
      </c>
    </row>
    <row r="351" spans="7:19" ht="12.75" x14ac:dyDescent="0.2">
      <c r="G351" s="8" t="s">
        <v>1606</v>
      </c>
      <c r="H351" s="8" t="s">
        <v>1607</v>
      </c>
      <c r="I351" s="8" t="s">
        <v>1608</v>
      </c>
      <c r="J351" s="8" t="s">
        <v>1606</v>
      </c>
      <c r="S351" s="16" t="s">
        <v>301</v>
      </c>
    </row>
    <row r="352" spans="7:19" ht="12.75" x14ac:dyDescent="0.2">
      <c r="G352" s="8" t="s">
        <v>102</v>
      </c>
      <c r="H352" s="8" t="s">
        <v>1609</v>
      </c>
      <c r="I352" s="8" t="s">
        <v>713</v>
      </c>
      <c r="J352" s="8" t="s">
        <v>102</v>
      </c>
      <c r="S352" s="16" t="s">
        <v>302</v>
      </c>
    </row>
    <row r="353" spans="7:19" ht="12.75" x14ac:dyDescent="0.2">
      <c r="G353" s="8" t="s">
        <v>103</v>
      </c>
      <c r="H353" s="8" t="s">
        <v>1610</v>
      </c>
      <c r="I353" s="8" t="s">
        <v>1611</v>
      </c>
      <c r="J353" s="8" t="s">
        <v>103</v>
      </c>
      <c r="S353" s="16" t="s">
        <v>303</v>
      </c>
    </row>
    <row r="354" spans="7:19" ht="12.75" x14ac:dyDescent="0.2">
      <c r="G354" s="8" t="s">
        <v>1612</v>
      </c>
      <c r="H354" s="8" t="s">
        <v>1613</v>
      </c>
      <c r="I354" s="8" t="s">
        <v>1614</v>
      </c>
      <c r="J354" s="8" t="s">
        <v>1612</v>
      </c>
      <c r="S354" s="16" t="s">
        <v>490</v>
      </c>
    </row>
    <row r="355" spans="7:19" ht="12.75" x14ac:dyDescent="0.2">
      <c r="G355" s="8" t="s">
        <v>1615</v>
      </c>
      <c r="H355" s="8" t="s">
        <v>1616</v>
      </c>
      <c r="I355" s="8" t="s">
        <v>1617</v>
      </c>
      <c r="J355" s="8" t="s">
        <v>1615</v>
      </c>
      <c r="S355" s="16" t="s">
        <v>491</v>
      </c>
    </row>
    <row r="356" spans="7:19" ht="12.75" x14ac:dyDescent="0.2">
      <c r="G356" s="8" t="s">
        <v>104</v>
      </c>
      <c r="H356" s="8" t="s">
        <v>1618</v>
      </c>
      <c r="I356" s="8" t="s">
        <v>716</v>
      </c>
      <c r="J356" s="8" t="s">
        <v>104</v>
      </c>
      <c r="S356" s="16" t="s">
        <v>310</v>
      </c>
    </row>
    <row r="357" spans="7:19" ht="12.75" x14ac:dyDescent="0.2">
      <c r="G357" s="8" t="s">
        <v>105</v>
      </c>
      <c r="H357" s="8" t="s">
        <v>1619</v>
      </c>
      <c r="I357" s="8" t="s">
        <v>1620</v>
      </c>
      <c r="J357" s="8" t="s">
        <v>105</v>
      </c>
      <c r="S357" s="16" t="s">
        <v>309</v>
      </c>
    </row>
    <row r="358" spans="7:19" ht="12.75" x14ac:dyDescent="0.2">
      <c r="G358" s="8" t="s">
        <v>1621</v>
      </c>
      <c r="H358" s="8" t="s">
        <v>1622</v>
      </c>
      <c r="I358" s="8" t="s">
        <v>1623</v>
      </c>
      <c r="J358" s="8" t="s">
        <v>1621</v>
      </c>
      <c r="S358" s="16" t="s">
        <v>304</v>
      </c>
    </row>
    <row r="359" spans="7:19" ht="12.75" x14ac:dyDescent="0.2">
      <c r="G359" s="8" t="s">
        <v>1624</v>
      </c>
      <c r="H359" s="8" t="s">
        <v>1625</v>
      </c>
      <c r="I359" s="8" t="s">
        <v>1626</v>
      </c>
      <c r="J359" s="8" t="s">
        <v>1624</v>
      </c>
      <c r="S359" s="16" t="s">
        <v>492</v>
      </c>
    </row>
    <row r="360" spans="7:19" ht="12.75" x14ac:dyDescent="0.2">
      <c r="G360" s="8" t="s">
        <v>1627</v>
      </c>
      <c r="H360" s="8" t="s">
        <v>1628</v>
      </c>
      <c r="I360" s="8" t="s">
        <v>1629</v>
      </c>
      <c r="J360" s="8" t="s">
        <v>1627</v>
      </c>
      <c r="S360" s="16" t="s">
        <v>305</v>
      </c>
    </row>
    <row r="361" spans="7:19" ht="12.75" x14ac:dyDescent="0.2">
      <c r="G361" s="8" t="s">
        <v>106</v>
      </c>
      <c r="H361" s="8" t="s">
        <v>1630</v>
      </c>
      <c r="I361" s="8" t="s">
        <v>719</v>
      </c>
      <c r="J361" s="8" t="s">
        <v>106</v>
      </c>
      <c r="S361" s="16" t="s">
        <v>493</v>
      </c>
    </row>
    <row r="362" spans="7:19" ht="12.75" x14ac:dyDescent="0.2">
      <c r="G362" s="8" t="s">
        <v>1631</v>
      </c>
      <c r="H362" s="8" t="s">
        <v>1632</v>
      </c>
      <c r="I362" s="8" t="s">
        <v>1633</v>
      </c>
      <c r="J362" s="8" t="s">
        <v>1631</v>
      </c>
      <c r="S362" s="16" t="s">
        <v>306</v>
      </c>
    </row>
    <row r="363" spans="7:19" ht="12.75" x14ac:dyDescent="0.2">
      <c r="G363" s="8" t="s">
        <v>107</v>
      </c>
      <c r="H363" s="8" t="s">
        <v>1634</v>
      </c>
      <c r="I363" s="8" t="s">
        <v>1635</v>
      </c>
      <c r="J363" s="8" t="s">
        <v>107</v>
      </c>
    </row>
    <row r="364" spans="7:19" ht="12.75" x14ac:dyDescent="0.2">
      <c r="G364" s="8" t="s">
        <v>1636</v>
      </c>
      <c r="H364" s="8" t="s">
        <v>1637</v>
      </c>
      <c r="I364" s="8" t="s">
        <v>1638</v>
      </c>
      <c r="J364" s="8" t="s">
        <v>1636</v>
      </c>
    </row>
    <row r="365" spans="7:19" ht="12.75" x14ac:dyDescent="0.2">
      <c r="G365" s="8" t="s">
        <v>1639</v>
      </c>
      <c r="H365" s="8" t="s">
        <v>1640</v>
      </c>
      <c r="I365" s="8" t="s">
        <v>1641</v>
      </c>
      <c r="J365" s="8" t="s">
        <v>1639</v>
      </c>
    </row>
    <row r="366" spans="7:19" ht="12.75" x14ac:dyDescent="0.2">
      <c r="G366" s="8" t="s">
        <v>1642</v>
      </c>
      <c r="H366" s="8" t="s">
        <v>1643</v>
      </c>
      <c r="I366" s="8" t="s">
        <v>1644</v>
      </c>
      <c r="J366" s="8" t="s">
        <v>1642</v>
      </c>
    </row>
    <row r="367" spans="7:19" ht="12.75" x14ac:dyDescent="0.2">
      <c r="G367" s="8" t="s">
        <v>1645</v>
      </c>
      <c r="H367" s="8" t="s">
        <v>1646</v>
      </c>
      <c r="I367" s="8" t="s">
        <v>1647</v>
      </c>
      <c r="J367" s="8" t="s">
        <v>1645</v>
      </c>
    </row>
    <row r="368" spans="7:19" ht="12.75" x14ac:dyDescent="0.2">
      <c r="G368" s="8" t="s">
        <v>108</v>
      </c>
      <c r="H368" s="8" t="s">
        <v>1648</v>
      </c>
      <c r="I368" s="8" t="s">
        <v>1649</v>
      </c>
      <c r="J368" s="8" t="s">
        <v>108</v>
      </c>
    </row>
    <row r="369" spans="7:10" ht="12.75" x14ac:dyDescent="0.2">
      <c r="G369" s="8" t="s">
        <v>1650</v>
      </c>
      <c r="H369" s="8" t="s">
        <v>1651</v>
      </c>
      <c r="I369" s="8" t="s">
        <v>1652</v>
      </c>
      <c r="J369" s="8" t="s">
        <v>1650</v>
      </c>
    </row>
    <row r="370" spans="7:10" ht="12.75" x14ac:dyDescent="0.2">
      <c r="G370" s="8" t="s">
        <v>1653</v>
      </c>
      <c r="H370" s="8" t="s">
        <v>1654</v>
      </c>
      <c r="I370" s="8" t="s">
        <v>1655</v>
      </c>
      <c r="J370" s="8" t="s">
        <v>1653</v>
      </c>
    </row>
    <row r="371" spans="7:10" ht="12.75" x14ac:dyDescent="0.2">
      <c r="G371" s="8" t="s">
        <v>1656</v>
      </c>
      <c r="H371" s="8" t="s">
        <v>1657</v>
      </c>
      <c r="I371" s="8" t="s">
        <v>1658</v>
      </c>
      <c r="J371" s="8" t="s">
        <v>1656</v>
      </c>
    </row>
    <row r="372" spans="7:10" ht="12.75" x14ac:dyDescent="0.2">
      <c r="G372" s="8" t="s">
        <v>1659</v>
      </c>
      <c r="H372" s="8" t="s">
        <v>1660</v>
      </c>
      <c r="I372" s="8" t="s">
        <v>1661</v>
      </c>
      <c r="J372" s="8" t="s">
        <v>1659</v>
      </c>
    </row>
    <row r="373" spans="7:10" ht="12.75" x14ac:dyDescent="0.2">
      <c r="G373" s="8" t="s">
        <v>1662</v>
      </c>
      <c r="H373" s="8" t="s">
        <v>1663</v>
      </c>
      <c r="I373" s="8" t="s">
        <v>1664</v>
      </c>
      <c r="J373" s="8" t="s">
        <v>1662</v>
      </c>
    </row>
    <row r="374" spans="7:10" ht="12.75" x14ac:dyDescent="0.2">
      <c r="G374" s="8" t="s">
        <v>1665</v>
      </c>
      <c r="H374" s="8" t="s">
        <v>1666</v>
      </c>
      <c r="I374" s="8" t="s">
        <v>1667</v>
      </c>
      <c r="J374" s="8" t="s">
        <v>1665</v>
      </c>
    </row>
    <row r="375" spans="7:10" ht="12.75" x14ac:dyDescent="0.2">
      <c r="G375" s="8" t="s">
        <v>109</v>
      </c>
      <c r="H375" s="8" t="s">
        <v>1668</v>
      </c>
      <c r="I375" s="8" t="s">
        <v>1669</v>
      </c>
      <c r="J375" s="8" t="s">
        <v>109</v>
      </c>
    </row>
    <row r="376" spans="7:10" ht="12.75" x14ac:dyDescent="0.2">
      <c r="G376" s="8" t="s">
        <v>1670</v>
      </c>
      <c r="H376" s="8" t="s">
        <v>1671</v>
      </c>
      <c r="I376" s="8" t="s">
        <v>1672</v>
      </c>
      <c r="J376" s="8" t="s">
        <v>1670</v>
      </c>
    </row>
    <row r="377" spans="7:10" ht="12.75" x14ac:dyDescent="0.2">
      <c r="G377" s="8" t="s">
        <v>1673</v>
      </c>
      <c r="H377" s="8" t="s">
        <v>1674</v>
      </c>
      <c r="I377" s="8" t="s">
        <v>1675</v>
      </c>
      <c r="J377" s="8" t="s">
        <v>1673</v>
      </c>
    </row>
    <row r="378" spans="7:10" ht="12.75" x14ac:dyDescent="0.2">
      <c r="G378" s="8" t="s">
        <v>1676</v>
      </c>
      <c r="H378" s="8" t="s">
        <v>1677</v>
      </c>
      <c r="I378" s="8" t="s">
        <v>1678</v>
      </c>
      <c r="J378" s="8" t="s">
        <v>1676</v>
      </c>
    </row>
    <row r="379" spans="7:10" ht="12.75" x14ac:dyDescent="0.2">
      <c r="G379" s="8" t="s">
        <v>1679</v>
      </c>
      <c r="H379" s="8" t="s">
        <v>1680</v>
      </c>
      <c r="I379" s="8" t="s">
        <v>1681</v>
      </c>
      <c r="J379" s="8" t="s">
        <v>1679</v>
      </c>
    </row>
    <row r="380" spans="7:10" ht="12.75" x14ac:dyDescent="0.2">
      <c r="G380" s="8" t="s">
        <v>1682</v>
      </c>
      <c r="H380" s="8" t="s">
        <v>1683</v>
      </c>
      <c r="I380" s="8" t="s">
        <v>1684</v>
      </c>
      <c r="J380" s="8" t="s">
        <v>1682</v>
      </c>
    </row>
    <row r="381" spans="7:10" ht="12.75" x14ac:dyDescent="0.2">
      <c r="G381" s="8" t="s">
        <v>110</v>
      </c>
      <c r="H381" s="8" t="s">
        <v>1685</v>
      </c>
      <c r="I381" s="8" t="s">
        <v>722</v>
      </c>
      <c r="J381" s="8" t="s">
        <v>110</v>
      </c>
    </row>
    <row r="382" spans="7:10" ht="12.75" x14ac:dyDescent="0.2">
      <c r="G382" s="8" t="s">
        <v>111</v>
      </c>
      <c r="H382" s="8" t="s">
        <v>1686</v>
      </c>
      <c r="I382" s="8" t="s">
        <v>1687</v>
      </c>
      <c r="J382" s="8" t="s">
        <v>111</v>
      </c>
    </row>
    <row r="383" spans="7:10" ht="12.75" x14ac:dyDescent="0.2">
      <c r="G383" s="8" t="s">
        <v>1688</v>
      </c>
      <c r="H383" s="8" t="s">
        <v>1689</v>
      </c>
      <c r="I383" s="8" t="s">
        <v>1690</v>
      </c>
      <c r="J383" s="8" t="s">
        <v>1688</v>
      </c>
    </row>
    <row r="384" spans="7:10" ht="12.75" x14ac:dyDescent="0.2">
      <c r="G384" s="8" t="s">
        <v>1691</v>
      </c>
      <c r="H384" s="8" t="s">
        <v>1692</v>
      </c>
      <c r="I384" s="8" t="s">
        <v>1693</v>
      </c>
      <c r="J384" s="8" t="s">
        <v>1691</v>
      </c>
    </row>
    <row r="385" spans="7:10" ht="12.75" x14ac:dyDescent="0.2">
      <c r="G385" s="8" t="s">
        <v>1694</v>
      </c>
      <c r="H385" s="8" t="s">
        <v>1695</v>
      </c>
      <c r="I385" s="8" t="s">
        <v>1696</v>
      </c>
      <c r="J385" s="8" t="s">
        <v>1694</v>
      </c>
    </row>
    <row r="386" spans="7:10" ht="12.75" x14ac:dyDescent="0.2">
      <c r="G386" s="8" t="s">
        <v>112</v>
      </c>
      <c r="H386" s="8" t="s">
        <v>1697</v>
      </c>
      <c r="I386" s="8" t="s">
        <v>1698</v>
      </c>
      <c r="J386" s="8" t="s">
        <v>112</v>
      </c>
    </row>
    <row r="387" spans="7:10" ht="12.75" x14ac:dyDescent="0.2">
      <c r="G387" s="8" t="s">
        <v>1699</v>
      </c>
      <c r="H387" s="8" t="s">
        <v>1700</v>
      </c>
      <c r="I387" s="8" t="s">
        <v>1701</v>
      </c>
      <c r="J387" s="8" t="s">
        <v>1699</v>
      </c>
    </row>
    <row r="388" spans="7:10" ht="12.75" x14ac:dyDescent="0.2">
      <c r="G388" s="8" t="s">
        <v>1702</v>
      </c>
      <c r="H388" s="8" t="s">
        <v>1703</v>
      </c>
      <c r="I388" s="8" t="s">
        <v>1704</v>
      </c>
      <c r="J388" s="8" t="s">
        <v>1702</v>
      </c>
    </row>
    <row r="389" spans="7:10" ht="12.75" x14ac:dyDescent="0.2">
      <c r="G389" s="8" t="s">
        <v>1705</v>
      </c>
      <c r="H389" s="8" t="s">
        <v>1706</v>
      </c>
      <c r="I389" s="8" t="s">
        <v>1707</v>
      </c>
      <c r="J389" s="8" t="s">
        <v>1705</v>
      </c>
    </row>
    <row r="390" spans="7:10" ht="12.75" x14ac:dyDescent="0.2">
      <c r="G390" s="8" t="s">
        <v>1708</v>
      </c>
      <c r="H390" s="8" t="s">
        <v>1709</v>
      </c>
      <c r="I390" s="8" t="s">
        <v>1710</v>
      </c>
      <c r="J390" s="8" t="s">
        <v>1708</v>
      </c>
    </row>
    <row r="391" spans="7:10" ht="12.75" x14ac:dyDescent="0.2">
      <c r="G391" s="8" t="s">
        <v>1711</v>
      </c>
      <c r="H391" s="8" t="s">
        <v>1712</v>
      </c>
      <c r="I391" s="8" t="s">
        <v>1713</v>
      </c>
      <c r="J391" s="8" t="s">
        <v>1711</v>
      </c>
    </row>
    <row r="392" spans="7:10" ht="12.75" x14ac:dyDescent="0.2">
      <c r="G392" s="8" t="s">
        <v>113</v>
      </c>
      <c r="H392" s="8" t="s">
        <v>1714</v>
      </c>
      <c r="I392" s="8" t="s">
        <v>1715</v>
      </c>
      <c r="J392" s="8" t="s">
        <v>113</v>
      </c>
    </row>
    <row r="393" spans="7:10" ht="12.75" x14ac:dyDescent="0.2">
      <c r="G393" s="8" t="s">
        <v>1716</v>
      </c>
      <c r="H393" s="8" t="s">
        <v>1717</v>
      </c>
      <c r="I393" s="8" t="s">
        <v>1718</v>
      </c>
      <c r="J393" s="8" t="s">
        <v>1716</v>
      </c>
    </row>
    <row r="394" spans="7:10" ht="12.75" x14ac:dyDescent="0.2">
      <c r="G394" s="8" t="s">
        <v>360</v>
      </c>
      <c r="H394" s="8" t="s">
        <v>1719</v>
      </c>
      <c r="I394" s="8" t="s">
        <v>725</v>
      </c>
      <c r="J394" s="8" t="s">
        <v>360</v>
      </c>
    </row>
    <row r="395" spans="7:10" ht="12.75" x14ac:dyDescent="0.2">
      <c r="G395" s="8" t="s">
        <v>361</v>
      </c>
      <c r="H395" s="8" t="s">
        <v>1720</v>
      </c>
      <c r="I395" s="8" t="s">
        <v>1721</v>
      </c>
      <c r="J395" s="8" t="s">
        <v>361</v>
      </c>
    </row>
    <row r="396" spans="7:10" ht="12.75" x14ac:dyDescent="0.2">
      <c r="G396" s="8" t="s">
        <v>363</v>
      </c>
      <c r="H396" s="8" t="s">
        <v>1722</v>
      </c>
      <c r="I396" s="8" t="s">
        <v>1723</v>
      </c>
      <c r="J396" s="8" t="s">
        <v>363</v>
      </c>
    </row>
    <row r="397" spans="7:10" ht="12.75" x14ac:dyDescent="0.2">
      <c r="G397" s="8" t="s">
        <v>114</v>
      </c>
      <c r="H397" s="8" t="s">
        <v>1724</v>
      </c>
      <c r="I397" s="8" t="s">
        <v>728</v>
      </c>
      <c r="J397" s="8" t="s">
        <v>114</v>
      </c>
    </row>
    <row r="398" spans="7:10" ht="12.75" x14ac:dyDescent="0.2">
      <c r="G398" s="8" t="s">
        <v>1725</v>
      </c>
      <c r="H398" s="8" t="s">
        <v>1726</v>
      </c>
      <c r="I398" s="8" t="s">
        <v>1727</v>
      </c>
      <c r="J398" s="8" t="s">
        <v>1725</v>
      </c>
    </row>
    <row r="399" spans="7:10" ht="12.75" x14ac:dyDescent="0.2">
      <c r="G399" s="8" t="s">
        <v>115</v>
      </c>
      <c r="H399" s="8" t="s">
        <v>1728</v>
      </c>
      <c r="I399" s="8" t="s">
        <v>1729</v>
      </c>
      <c r="J399" s="8" t="s">
        <v>115</v>
      </c>
    </row>
    <row r="400" spans="7:10" ht="12.75" x14ac:dyDescent="0.2">
      <c r="G400" s="8" t="s">
        <v>1730</v>
      </c>
      <c r="H400" s="8" t="s">
        <v>1731</v>
      </c>
      <c r="I400" s="8" t="s">
        <v>1732</v>
      </c>
      <c r="J400" s="8" t="s">
        <v>1730</v>
      </c>
    </row>
    <row r="401" spans="7:10" ht="12.75" x14ac:dyDescent="0.2">
      <c r="G401" s="8" t="s">
        <v>116</v>
      </c>
      <c r="H401" s="8" t="s">
        <v>1733</v>
      </c>
      <c r="I401" s="8" t="s">
        <v>731</v>
      </c>
      <c r="J401" s="8" t="s">
        <v>116</v>
      </c>
    </row>
    <row r="402" spans="7:10" ht="12.75" x14ac:dyDescent="0.2">
      <c r="G402" s="8" t="s">
        <v>1734</v>
      </c>
      <c r="H402" s="8" t="s">
        <v>1735</v>
      </c>
      <c r="I402" s="8" t="s">
        <v>1736</v>
      </c>
      <c r="J402" s="8" t="s">
        <v>1734</v>
      </c>
    </row>
    <row r="403" spans="7:10" ht="12.75" x14ac:dyDescent="0.2">
      <c r="G403" s="8" t="s">
        <v>117</v>
      </c>
      <c r="H403" s="8" t="s">
        <v>1737</v>
      </c>
      <c r="I403" s="8" t="s">
        <v>734</v>
      </c>
      <c r="J403" s="8" t="s">
        <v>117</v>
      </c>
    </row>
    <row r="404" spans="7:10" ht="12.75" x14ac:dyDescent="0.2">
      <c r="G404" s="8" t="s">
        <v>1738</v>
      </c>
      <c r="H404" s="8" t="s">
        <v>1739</v>
      </c>
      <c r="I404" s="8" t="s">
        <v>1740</v>
      </c>
      <c r="J404" s="8" t="s">
        <v>1738</v>
      </c>
    </row>
    <row r="405" spans="7:10" ht="12.75" x14ac:dyDescent="0.2">
      <c r="G405" s="8" t="s">
        <v>118</v>
      </c>
      <c r="H405" s="8" t="s">
        <v>1741</v>
      </c>
      <c r="I405" s="8" t="s">
        <v>737</v>
      </c>
      <c r="J405" s="8" t="s">
        <v>118</v>
      </c>
    </row>
    <row r="406" spans="7:10" ht="12.75" x14ac:dyDescent="0.2">
      <c r="G406" s="8" t="s">
        <v>1742</v>
      </c>
      <c r="H406" s="8" t="s">
        <v>1743</v>
      </c>
      <c r="I406" s="8" t="s">
        <v>1744</v>
      </c>
      <c r="J406" s="8" t="s">
        <v>1742</v>
      </c>
    </row>
    <row r="407" spans="7:10" ht="12.75" x14ac:dyDescent="0.2">
      <c r="G407" s="8" t="s">
        <v>1745</v>
      </c>
      <c r="H407" s="8" t="s">
        <v>1746</v>
      </c>
      <c r="I407" s="8" t="s">
        <v>1747</v>
      </c>
      <c r="J407" s="8" t="s">
        <v>1745</v>
      </c>
    </row>
    <row r="408" spans="7:10" ht="12.75" x14ac:dyDescent="0.2">
      <c r="G408" s="8" t="s">
        <v>1748</v>
      </c>
      <c r="H408" s="8" t="s">
        <v>1749</v>
      </c>
      <c r="I408" s="8" t="s">
        <v>1750</v>
      </c>
      <c r="J408" s="8" t="s">
        <v>1748</v>
      </c>
    </row>
    <row r="409" spans="7:10" ht="12.75" x14ac:dyDescent="0.2">
      <c r="G409" s="8" t="s">
        <v>1751</v>
      </c>
      <c r="H409" s="8" t="s">
        <v>1752</v>
      </c>
      <c r="I409" s="8" t="s">
        <v>1753</v>
      </c>
      <c r="J409" s="8" t="s">
        <v>1751</v>
      </c>
    </row>
    <row r="410" spans="7:10" ht="12.75" x14ac:dyDescent="0.2">
      <c r="G410" s="8" t="s">
        <v>119</v>
      </c>
      <c r="H410" s="8" t="s">
        <v>1754</v>
      </c>
      <c r="I410" s="8" t="s">
        <v>1755</v>
      </c>
      <c r="J410" s="8" t="s">
        <v>119</v>
      </c>
    </row>
    <row r="411" spans="7:10" ht="12.75" x14ac:dyDescent="0.2">
      <c r="G411" s="8" t="s">
        <v>1756</v>
      </c>
      <c r="H411" s="8" t="s">
        <v>1757</v>
      </c>
      <c r="I411" s="8" t="s">
        <v>1758</v>
      </c>
      <c r="J411" s="8" t="s">
        <v>1756</v>
      </c>
    </row>
    <row r="412" spans="7:10" ht="12.75" x14ac:dyDescent="0.2">
      <c r="G412" s="8" t="s">
        <v>1759</v>
      </c>
      <c r="H412" s="8" t="s">
        <v>1760</v>
      </c>
      <c r="I412" s="8" t="s">
        <v>1761</v>
      </c>
      <c r="J412" s="8" t="s">
        <v>1759</v>
      </c>
    </row>
    <row r="413" spans="7:10" ht="12.75" x14ac:dyDescent="0.2">
      <c r="G413" s="8" t="s">
        <v>1762</v>
      </c>
      <c r="H413" s="8" t="s">
        <v>1763</v>
      </c>
      <c r="I413" s="8" t="s">
        <v>1764</v>
      </c>
      <c r="J413" s="8" t="s">
        <v>1762</v>
      </c>
    </row>
    <row r="414" spans="7:10" ht="12.75" x14ac:dyDescent="0.2">
      <c r="G414" s="8" t="s">
        <v>1765</v>
      </c>
      <c r="H414" s="8" t="s">
        <v>1766</v>
      </c>
      <c r="I414" s="8" t="s">
        <v>1767</v>
      </c>
      <c r="J414" s="8" t="s">
        <v>1765</v>
      </c>
    </row>
    <row r="415" spans="7:10" ht="12.75" x14ac:dyDescent="0.2">
      <c r="G415" s="8" t="s">
        <v>1768</v>
      </c>
      <c r="H415" s="8" t="s">
        <v>1769</v>
      </c>
      <c r="I415" s="8" t="s">
        <v>1770</v>
      </c>
      <c r="J415" s="8" t="s">
        <v>1768</v>
      </c>
    </row>
    <row r="416" spans="7:10" ht="12.75" x14ac:dyDescent="0.2">
      <c r="G416" s="8" t="s">
        <v>1771</v>
      </c>
      <c r="H416" s="8" t="s">
        <v>1772</v>
      </c>
      <c r="I416" s="8" t="s">
        <v>1773</v>
      </c>
      <c r="J416" s="8" t="s">
        <v>1771</v>
      </c>
    </row>
    <row r="417" spans="7:10" ht="12.75" x14ac:dyDescent="0.2">
      <c r="G417" s="8" t="s">
        <v>1774</v>
      </c>
      <c r="H417" s="8" t="s">
        <v>1775</v>
      </c>
      <c r="I417" s="8" t="s">
        <v>1776</v>
      </c>
      <c r="J417" s="8" t="s">
        <v>1774</v>
      </c>
    </row>
    <row r="418" spans="7:10" ht="12.75" x14ac:dyDescent="0.2">
      <c r="G418" s="8" t="s">
        <v>1777</v>
      </c>
      <c r="H418" s="8" t="s">
        <v>1778</v>
      </c>
      <c r="I418" s="8" t="s">
        <v>1779</v>
      </c>
      <c r="J418" s="8" t="s">
        <v>1777</v>
      </c>
    </row>
    <row r="419" spans="7:10" ht="12.75" x14ac:dyDescent="0.2">
      <c r="G419" s="8" t="s">
        <v>1780</v>
      </c>
      <c r="H419" s="8" t="s">
        <v>1781</v>
      </c>
      <c r="I419" s="8" t="s">
        <v>1782</v>
      </c>
      <c r="J419" s="8" t="s">
        <v>1780</v>
      </c>
    </row>
    <row r="420" spans="7:10" ht="12.75" x14ac:dyDescent="0.2">
      <c r="G420" s="8" t="s">
        <v>120</v>
      </c>
      <c r="H420" s="8" t="s">
        <v>1783</v>
      </c>
      <c r="I420" s="8" t="s">
        <v>740</v>
      </c>
      <c r="J420" s="8" t="s">
        <v>120</v>
      </c>
    </row>
    <row r="421" spans="7:10" ht="12.75" x14ac:dyDescent="0.2">
      <c r="G421" s="8" t="s">
        <v>365</v>
      </c>
      <c r="H421" s="8" t="s">
        <v>1784</v>
      </c>
      <c r="I421" s="8" t="s">
        <v>743</v>
      </c>
      <c r="J421" s="8" t="s">
        <v>365</v>
      </c>
    </row>
    <row r="422" spans="7:10" ht="12.75" x14ac:dyDescent="0.2">
      <c r="G422" s="8" t="s">
        <v>366</v>
      </c>
      <c r="H422" s="8" t="s">
        <v>1785</v>
      </c>
      <c r="I422" s="8" t="s">
        <v>746</v>
      </c>
      <c r="J422" s="8" t="s">
        <v>366</v>
      </c>
    </row>
    <row r="423" spans="7:10" ht="12.75" x14ac:dyDescent="0.2">
      <c r="G423" s="8" t="s">
        <v>1786</v>
      </c>
      <c r="H423" s="8" t="s">
        <v>1787</v>
      </c>
      <c r="I423" s="8" t="s">
        <v>1788</v>
      </c>
      <c r="J423" s="8" t="s">
        <v>1786</v>
      </c>
    </row>
    <row r="424" spans="7:10" ht="12.75" x14ac:dyDescent="0.2">
      <c r="G424" s="8" t="s">
        <v>1789</v>
      </c>
      <c r="H424" s="8" t="s">
        <v>1790</v>
      </c>
      <c r="I424" s="8" t="s">
        <v>1791</v>
      </c>
      <c r="J424" s="8" t="s">
        <v>1789</v>
      </c>
    </row>
    <row r="425" spans="7:10" ht="12.75" x14ac:dyDescent="0.2">
      <c r="G425" s="8" t="s">
        <v>368</v>
      </c>
      <c r="H425" s="8" t="s">
        <v>1792</v>
      </c>
      <c r="I425" s="8" t="s">
        <v>749</v>
      </c>
      <c r="J425" s="8" t="s">
        <v>368</v>
      </c>
    </row>
    <row r="426" spans="7:10" ht="12.75" x14ac:dyDescent="0.2">
      <c r="G426" s="8" t="s">
        <v>1793</v>
      </c>
      <c r="H426" s="8" t="s">
        <v>1794</v>
      </c>
      <c r="I426" s="8" t="s">
        <v>1795</v>
      </c>
      <c r="J426" s="8" t="s">
        <v>1793</v>
      </c>
    </row>
    <row r="427" spans="7:10" ht="12.75" x14ac:dyDescent="0.2">
      <c r="G427" s="8" t="s">
        <v>1796</v>
      </c>
      <c r="H427" s="8" t="s">
        <v>1797</v>
      </c>
      <c r="I427" s="8" t="s">
        <v>1798</v>
      </c>
      <c r="J427" s="8" t="s">
        <v>1796</v>
      </c>
    </row>
    <row r="428" spans="7:10" ht="12.75" x14ac:dyDescent="0.2">
      <c r="G428" s="8" t="s">
        <v>36</v>
      </c>
      <c r="H428" s="8" t="s">
        <v>1799</v>
      </c>
      <c r="I428" s="8" t="s">
        <v>752</v>
      </c>
      <c r="J428" s="8" t="s">
        <v>36</v>
      </c>
    </row>
    <row r="429" spans="7:10" ht="12.75" x14ac:dyDescent="0.2">
      <c r="G429" s="8" t="s">
        <v>369</v>
      </c>
      <c r="H429" s="8" t="s">
        <v>1800</v>
      </c>
      <c r="I429" s="8" t="s">
        <v>1801</v>
      </c>
      <c r="J429" s="8" t="s">
        <v>369</v>
      </c>
    </row>
    <row r="430" spans="7:10" ht="12.75" x14ac:dyDescent="0.2">
      <c r="G430" s="8" t="s">
        <v>370</v>
      </c>
      <c r="H430" s="8" t="s">
        <v>1802</v>
      </c>
      <c r="I430" s="8" t="s">
        <v>1803</v>
      </c>
      <c r="J430" s="8" t="s">
        <v>370</v>
      </c>
    </row>
    <row r="431" spans="7:10" ht="12.75" x14ac:dyDescent="0.2">
      <c r="G431" s="8" t="s">
        <v>371</v>
      </c>
      <c r="H431" s="8" t="s">
        <v>1804</v>
      </c>
      <c r="I431" s="8" t="s">
        <v>754</v>
      </c>
      <c r="J431" s="8" t="s">
        <v>371</v>
      </c>
    </row>
    <row r="432" spans="7:10" ht="12.75" x14ac:dyDescent="0.2">
      <c r="G432" s="8" t="s">
        <v>1805</v>
      </c>
      <c r="H432" s="8" t="s">
        <v>1806</v>
      </c>
      <c r="I432" s="8">
        <v>621503</v>
      </c>
      <c r="J432" s="8" t="s">
        <v>1805</v>
      </c>
    </row>
    <row r="433" spans="7:10" ht="12.75" x14ac:dyDescent="0.2">
      <c r="G433" s="8" t="s">
        <v>1807</v>
      </c>
      <c r="H433" s="8" t="s">
        <v>1808</v>
      </c>
      <c r="I433" s="8" t="s">
        <v>1809</v>
      </c>
      <c r="J433" s="8" t="s">
        <v>1807</v>
      </c>
    </row>
    <row r="434" spans="7:10" ht="12.75" x14ac:dyDescent="0.2">
      <c r="G434" s="8" t="s">
        <v>372</v>
      </c>
      <c r="H434" s="8" t="s">
        <v>1810</v>
      </c>
      <c r="I434" s="8" t="s">
        <v>757</v>
      </c>
      <c r="J434" s="8" t="s">
        <v>372</v>
      </c>
    </row>
    <row r="435" spans="7:10" ht="12.75" x14ac:dyDescent="0.2">
      <c r="G435" s="8" t="s">
        <v>121</v>
      </c>
      <c r="H435" s="8" t="s">
        <v>1810</v>
      </c>
      <c r="I435" s="8" t="s">
        <v>760</v>
      </c>
      <c r="J435" s="8" t="s">
        <v>121</v>
      </c>
    </row>
    <row r="436" spans="7:10" ht="12.75" x14ac:dyDescent="0.2">
      <c r="G436" s="8" t="s">
        <v>33</v>
      </c>
      <c r="H436" s="8" t="s">
        <v>1811</v>
      </c>
      <c r="I436" s="8" t="s">
        <v>1812</v>
      </c>
      <c r="J436" s="8" t="s">
        <v>33</v>
      </c>
    </row>
    <row r="437" spans="7:10" ht="12.75" x14ac:dyDescent="0.2">
      <c r="G437" s="8" t="s">
        <v>373</v>
      </c>
      <c r="H437" s="8" t="s">
        <v>1811</v>
      </c>
      <c r="I437" s="8" t="s">
        <v>1813</v>
      </c>
      <c r="J437" s="8" t="s">
        <v>373</v>
      </c>
    </row>
    <row r="438" spans="7:10" ht="12.75" x14ac:dyDescent="0.2">
      <c r="G438" s="8" t="s">
        <v>375</v>
      </c>
      <c r="H438" s="8" t="s">
        <v>1814</v>
      </c>
      <c r="I438" s="8" t="s">
        <v>763</v>
      </c>
      <c r="J438" s="8" t="s">
        <v>375</v>
      </c>
    </row>
    <row r="439" spans="7:10" ht="12.75" x14ac:dyDescent="0.2">
      <c r="G439" s="8" t="s">
        <v>376</v>
      </c>
      <c r="H439" s="8" t="s">
        <v>1815</v>
      </c>
      <c r="I439" s="8" t="s">
        <v>1816</v>
      </c>
      <c r="J439" s="8" t="s">
        <v>376</v>
      </c>
    </row>
    <row r="440" spans="7:10" ht="12.75" x14ac:dyDescent="0.2">
      <c r="G440" s="8" t="s">
        <v>377</v>
      </c>
      <c r="H440" s="8" t="s">
        <v>1817</v>
      </c>
      <c r="J440" s="8" t="s">
        <v>377</v>
      </c>
    </row>
    <row r="441" spans="7:10" ht="12.75" x14ac:dyDescent="0.2">
      <c r="G441" s="8" t="s">
        <v>378</v>
      </c>
      <c r="H441" s="8" t="s">
        <v>1818</v>
      </c>
      <c r="J441" s="8" t="s">
        <v>378</v>
      </c>
    </row>
    <row r="442" spans="7:10" ht="12.75" x14ac:dyDescent="0.2">
      <c r="G442" s="8" t="s">
        <v>381</v>
      </c>
      <c r="H442" s="8" t="s">
        <v>1819</v>
      </c>
      <c r="I442" s="8" t="s">
        <v>1820</v>
      </c>
      <c r="J442" s="8" t="s">
        <v>381</v>
      </c>
    </row>
    <row r="443" spans="7:10" ht="12.75" x14ac:dyDescent="0.2">
      <c r="G443" s="8" t="s">
        <v>122</v>
      </c>
      <c r="H443" s="8" t="s">
        <v>1821</v>
      </c>
      <c r="I443" s="8" t="s">
        <v>768</v>
      </c>
      <c r="J443" s="8" t="s">
        <v>122</v>
      </c>
    </row>
    <row r="444" spans="7:10" ht="12.75" x14ac:dyDescent="0.2">
      <c r="G444" s="8" t="s">
        <v>382</v>
      </c>
      <c r="H444" s="8" t="s">
        <v>1822</v>
      </c>
      <c r="I444" s="8" t="s">
        <v>1823</v>
      </c>
      <c r="J444" s="8" t="s">
        <v>382</v>
      </c>
    </row>
    <row r="445" spans="7:10" ht="12.75" x14ac:dyDescent="0.2">
      <c r="G445" s="8" t="s">
        <v>966</v>
      </c>
      <c r="H445" s="8" t="s">
        <v>1824</v>
      </c>
      <c r="I445" s="8" t="s">
        <v>1825</v>
      </c>
      <c r="J445" s="8" t="s">
        <v>966</v>
      </c>
    </row>
    <row r="446" spans="7:10" ht="12.75" x14ac:dyDescent="0.2">
      <c r="G446" s="8" t="s">
        <v>1826</v>
      </c>
      <c r="H446" s="8" t="s">
        <v>1827</v>
      </c>
      <c r="I446" s="8" t="s">
        <v>1828</v>
      </c>
      <c r="J446" s="8" t="s">
        <v>1826</v>
      </c>
    </row>
    <row r="447" spans="7:10" ht="12.75" x14ac:dyDescent="0.2">
      <c r="G447" s="8" t="s">
        <v>1829</v>
      </c>
      <c r="H447" s="8" t="s">
        <v>1830</v>
      </c>
      <c r="I447" s="8" t="s">
        <v>1831</v>
      </c>
      <c r="J447" s="8" t="s">
        <v>1829</v>
      </c>
    </row>
    <row r="448" spans="7:10" ht="12.75" x14ac:dyDescent="0.2">
      <c r="G448" s="8" t="s">
        <v>1832</v>
      </c>
      <c r="H448" s="8" t="s">
        <v>1833</v>
      </c>
      <c r="I448" s="8" t="s">
        <v>1834</v>
      </c>
      <c r="J448" s="8" t="s">
        <v>1832</v>
      </c>
    </row>
    <row r="449" spans="7:10" ht="12.75" x14ac:dyDescent="0.2">
      <c r="G449" s="8" t="s">
        <v>123</v>
      </c>
      <c r="H449" s="8" t="s">
        <v>1835</v>
      </c>
      <c r="I449" s="8" t="s">
        <v>771</v>
      </c>
      <c r="J449" s="8" t="s">
        <v>123</v>
      </c>
    </row>
    <row r="450" spans="7:10" ht="12.75" x14ac:dyDescent="0.2">
      <c r="G450" s="8" t="s">
        <v>124</v>
      </c>
      <c r="H450" s="8" t="s">
        <v>1836</v>
      </c>
      <c r="I450" s="8" t="s">
        <v>1837</v>
      </c>
      <c r="J450" s="8" t="s">
        <v>124</v>
      </c>
    </row>
    <row r="451" spans="7:10" ht="12.75" x14ac:dyDescent="0.2">
      <c r="G451" s="8" t="s">
        <v>1838</v>
      </c>
      <c r="H451" s="8" t="s">
        <v>1839</v>
      </c>
      <c r="I451" s="8" t="s">
        <v>1840</v>
      </c>
      <c r="J451" s="8" t="s">
        <v>1838</v>
      </c>
    </row>
    <row r="452" spans="7:10" ht="12.75" x14ac:dyDescent="0.2">
      <c r="G452" s="8" t="s">
        <v>383</v>
      </c>
      <c r="H452" s="8" t="s">
        <v>1841</v>
      </c>
      <c r="I452" s="8" t="s">
        <v>774</v>
      </c>
      <c r="J452" s="8" t="s">
        <v>383</v>
      </c>
    </row>
    <row r="453" spans="7:10" ht="12.75" x14ac:dyDescent="0.2">
      <c r="G453" s="8" t="s">
        <v>384</v>
      </c>
      <c r="H453" s="8" t="s">
        <v>1842</v>
      </c>
      <c r="I453" s="8" t="s">
        <v>777</v>
      </c>
      <c r="J453" s="8" t="s">
        <v>384</v>
      </c>
    </row>
    <row r="454" spans="7:10" ht="12.75" x14ac:dyDescent="0.2">
      <c r="G454" s="8" t="s">
        <v>385</v>
      </c>
      <c r="H454" s="8" t="s">
        <v>1843</v>
      </c>
      <c r="I454" s="8" t="s">
        <v>1844</v>
      </c>
      <c r="J454" s="8" t="s">
        <v>385</v>
      </c>
    </row>
    <row r="455" spans="7:10" ht="12.75" x14ac:dyDescent="0.2">
      <c r="G455" s="8" t="s">
        <v>125</v>
      </c>
      <c r="H455" s="8" t="s">
        <v>1845</v>
      </c>
      <c r="I455" s="8" t="s">
        <v>779</v>
      </c>
      <c r="J455" s="8" t="s">
        <v>125</v>
      </c>
    </row>
    <row r="456" spans="7:10" ht="12.75" x14ac:dyDescent="0.2">
      <c r="G456" s="8" t="s">
        <v>1846</v>
      </c>
      <c r="H456" s="8" t="s">
        <v>1847</v>
      </c>
      <c r="I456" s="8" t="s">
        <v>1848</v>
      </c>
      <c r="J456" s="8" t="s">
        <v>1846</v>
      </c>
    </row>
    <row r="457" spans="7:10" ht="12.75" x14ac:dyDescent="0.2">
      <c r="G457" s="8" t="s">
        <v>1849</v>
      </c>
      <c r="H457" s="8" t="s">
        <v>1850</v>
      </c>
      <c r="I457" s="8" t="s">
        <v>1851</v>
      </c>
      <c r="J457" s="8" t="s">
        <v>1849</v>
      </c>
    </row>
    <row r="458" spans="7:10" ht="12.75" x14ac:dyDescent="0.2">
      <c r="G458" s="8" t="s">
        <v>1852</v>
      </c>
      <c r="H458" s="8" t="s">
        <v>1853</v>
      </c>
      <c r="I458" s="8" t="s">
        <v>1854</v>
      </c>
      <c r="J458" s="8" t="s">
        <v>1852</v>
      </c>
    </row>
    <row r="459" spans="7:10" ht="12.75" x14ac:dyDescent="0.2">
      <c r="G459" s="8" t="s">
        <v>1855</v>
      </c>
      <c r="H459" s="8" t="s">
        <v>1856</v>
      </c>
      <c r="I459" s="8" t="s">
        <v>1857</v>
      </c>
      <c r="J459" s="8" t="s">
        <v>1855</v>
      </c>
    </row>
    <row r="460" spans="7:10" ht="12.75" x14ac:dyDescent="0.2">
      <c r="G460" s="8" t="s">
        <v>1858</v>
      </c>
      <c r="H460" s="8" t="s">
        <v>1859</v>
      </c>
      <c r="I460" s="8" t="s">
        <v>1860</v>
      </c>
      <c r="J460" s="8" t="s">
        <v>1858</v>
      </c>
    </row>
    <row r="461" spans="7:10" ht="12.75" x14ac:dyDescent="0.2">
      <c r="G461" s="8" t="s">
        <v>1861</v>
      </c>
      <c r="H461" s="8" t="s">
        <v>1862</v>
      </c>
      <c r="I461" s="8" t="s">
        <v>1863</v>
      </c>
      <c r="J461" s="8" t="s">
        <v>1861</v>
      </c>
    </row>
    <row r="462" spans="7:10" ht="12.75" x14ac:dyDescent="0.2">
      <c r="G462" s="8" t="s">
        <v>126</v>
      </c>
      <c r="H462" s="8" t="s">
        <v>1864</v>
      </c>
      <c r="I462" s="8" t="s">
        <v>1865</v>
      </c>
      <c r="J462" s="8" t="s">
        <v>126</v>
      </c>
    </row>
    <row r="463" spans="7:10" ht="12.75" x14ac:dyDescent="0.2">
      <c r="G463" s="8" t="s">
        <v>1866</v>
      </c>
      <c r="H463" s="8" t="s">
        <v>1867</v>
      </c>
      <c r="I463" s="8" t="s">
        <v>1868</v>
      </c>
      <c r="J463" s="8" t="s">
        <v>1866</v>
      </c>
    </row>
    <row r="464" spans="7:10" ht="12.75" x14ac:dyDescent="0.2">
      <c r="G464" s="8" t="s">
        <v>1869</v>
      </c>
      <c r="H464" s="8" t="s">
        <v>1870</v>
      </c>
      <c r="I464" s="8" t="s">
        <v>1871</v>
      </c>
      <c r="J464" s="8" t="s">
        <v>1869</v>
      </c>
    </row>
    <row r="465" spans="7:10" ht="12.75" x14ac:dyDescent="0.2">
      <c r="G465" s="8" t="s">
        <v>1872</v>
      </c>
      <c r="H465" s="8" t="s">
        <v>1873</v>
      </c>
      <c r="I465" s="8" t="s">
        <v>1874</v>
      </c>
      <c r="J465" s="8" t="s">
        <v>1872</v>
      </c>
    </row>
    <row r="466" spans="7:10" ht="12.75" x14ac:dyDescent="0.2">
      <c r="G466" s="8" t="s">
        <v>127</v>
      </c>
      <c r="H466" s="8" t="s">
        <v>1875</v>
      </c>
      <c r="I466" s="8" t="s">
        <v>782</v>
      </c>
      <c r="J466" s="8" t="s">
        <v>127</v>
      </c>
    </row>
    <row r="467" spans="7:10" ht="12.75" x14ac:dyDescent="0.2">
      <c r="G467" s="8" t="s">
        <v>386</v>
      </c>
      <c r="H467" s="8" t="s">
        <v>1876</v>
      </c>
      <c r="I467" s="8" t="s">
        <v>785</v>
      </c>
      <c r="J467" s="8" t="s">
        <v>386</v>
      </c>
    </row>
    <row r="468" spans="7:10" ht="12.75" x14ac:dyDescent="0.2">
      <c r="G468" s="8" t="s">
        <v>387</v>
      </c>
      <c r="H468" s="8" t="s">
        <v>1877</v>
      </c>
      <c r="I468" s="8" t="s">
        <v>1878</v>
      </c>
      <c r="J468" s="8" t="s">
        <v>387</v>
      </c>
    </row>
    <row r="469" spans="7:10" ht="12.75" x14ac:dyDescent="0.2">
      <c r="G469" s="8" t="s">
        <v>128</v>
      </c>
      <c r="H469" s="8" t="s">
        <v>1879</v>
      </c>
      <c r="I469" s="8" t="s">
        <v>329</v>
      </c>
      <c r="J469" s="8" t="s">
        <v>128</v>
      </c>
    </row>
    <row r="470" spans="7:10" ht="12.75" x14ac:dyDescent="0.2">
      <c r="G470" s="8" t="s">
        <v>388</v>
      </c>
      <c r="H470" s="8" t="s">
        <v>1880</v>
      </c>
      <c r="I470" s="8" t="s">
        <v>1881</v>
      </c>
      <c r="J470" s="8" t="s">
        <v>388</v>
      </c>
    </row>
    <row r="471" spans="7:10" ht="12.75" x14ac:dyDescent="0.2">
      <c r="G471" s="8" t="s">
        <v>389</v>
      </c>
      <c r="H471" s="8" t="s">
        <v>1882</v>
      </c>
      <c r="I471" s="8" t="s">
        <v>1883</v>
      </c>
      <c r="J471" s="8" t="s">
        <v>389</v>
      </c>
    </row>
    <row r="472" spans="7:10" ht="12.75" x14ac:dyDescent="0.2">
      <c r="G472" s="8" t="s">
        <v>1884</v>
      </c>
      <c r="H472" s="8" t="s">
        <v>1885</v>
      </c>
      <c r="I472" s="8" t="s">
        <v>1886</v>
      </c>
      <c r="J472" s="8" t="s">
        <v>1884</v>
      </c>
    </row>
    <row r="473" spans="7:10" ht="12.75" x14ac:dyDescent="0.2">
      <c r="G473" s="8" t="s">
        <v>129</v>
      </c>
      <c r="H473" s="8" t="s">
        <v>1887</v>
      </c>
      <c r="I473" s="8" t="s">
        <v>789</v>
      </c>
      <c r="J473" s="8" t="s">
        <v>129</v>
      </c>
    </row>
    <row r="474" spans="7:10" ht="12.75" x14ac:dyDescent="0.2">
      <c r="G474" s="8" t="s">
        <v>130</v>
      </c>
      <c r="H474" s="8" t="s">
        <v>1888</v>
      </c>
      <c r="I474" s="8" t="s">
        <v>792</v>
      </c>
      <c r="J474" s="8" t="s">
        <v>130</v>
      </c>
    </row>
    <row r="475" spans="7:10" ht="12.75" x14ac:dyDescent="0.2">
      <c r="G475" s="8" t="s">
        <v>1889</v>
      </c>
      <c r="H475" s="8" t="s">
        <v>1890</v>
      </c>
      <c r="I475" s="8" t="s">
        <v>1891</v>
      </c>
      <c r="J475" s="8" t="s">
        <v>1889</v>
      </c>
    </row>
    <row r="476" spans="7:10" ht="12.75" x14ac:dyDescent="0.2">
      <c r="G476" s="8" t="s">
        <v>1892</v>
      </c>
      <c r="H476" s="8" t="s">
        <v>1893</v>
      </c>
      <c r="I476" s="8" t="s">
        <v>1894</v>
      </c>
      <c r="J476" s="8" t="s">
        <v>1892</v>
      </c>
    </row>
    <row r="477" spans="7:10" ht="12.75" x14ac:dyDescent="0.2">
      <c r="G477" s="8" t="s">
        <v>131</v>
      </c>
      <c r="H477" s="8" t="s">
        <v>1895</v>
      </c>
      <c r="I477" s="8" t="s">
        <v>330</v>
      </c>
      <c r="J477" s="8" t="s">
        <v>131</v>
      </c>
    </row>
    <row r="478" spans="7:10" ht="12.75" x14ac:dyDescent="0.2">
      <c r="G478" s="8" t="s">
        <v>1896</v>
      </c>
      <c r="H478" s="8" t="s">
        <v>1897</v>
      </c>
      <c r="I478" s="8" t="s">
        <v>1898</v>
      </c>
      <c r="J478" s="8" t="s">
        <v>1896</v>
      </c>
    </row>
    <row r="479" spans="7:10" ht="12.75" x14ac:dyDescent="0.2">
      <c r="G479" s="8" t="s">
        <v>132</v>
      </c>
      <c r="H479" s="8" t="s">
        <v>1899</v>
      </c>
      <c r="I479" s="8" t="s">
        <v>321</v>
      </c>
      <c r="J479" s="8" t="s">
        <v>132</v>
      </c>
    </row>
    <row r="480" spans="7:10" ht="12.75" x14ac:dyDescent="0.2">
      <c r="G480" s="8" t="s">
        <v>390</v>
      </c>
      <c r="H480" s="8" t="s">
        <v>1900</v>
      </c>
      <c r="I480" s="8" t="s">
        <v>1901</v>
      </c>
      <c r="J480" s="8" t="s">
        <v>390</v>
      </c>
    </row>
    <row r="481" spans="7:10" ht="12.75" x14ac:dyDescent="0.2">
      <c r="G481" s="8" t="s">
        <v>1902</v>
      </c>
      <c r="H481" s="8" t="s">
        <v>1903</v>
      </c>
      <c r="I481" s="8" t="s">
        <v>1904</v>
      </c>
      <c r="J481" s="8" t="s">
        <v>1902</v>
      </c>
    </row>
    <row r="482" spans="7:10" ht="12.75" x14ac:dyDescent="0.2">
      <c r="G482" s="8" t="s">
        <v>1905</v>
      </c>
      <c r="H482" s="8" t="s">
        <v>1906</v>
      </c>
      <c r="I482" s="8" t="s">
        <v>1907</v>
      </c>
      <c r="J482" s="8" t="s">
        <v>1905</v>
      </c>
    </row>
    <row r="483" spans="7:10" ht="12.75" x14ac:dyDescent="0.2">
      <c r="G483" s="8" t="s">
        <v>133</v>
      </c>
      <c r="H483" s="8" t="s">
        <v>1908</v>
      </c>
      <c r="I483" s="8" t="s">
        <v>800</v>
      </c>
      <c r="J483" s="8" t="s">
        <v>133</v>
      </c>
    </row>
    <row r="484" spans="7:10" ht="12.75" x14ac:dyDescent="0.2">
      <c r="G484" s="8" t="s">
        <v>1909</v>
      </c>
      <c r="H484" s="8" t="s">
        <v>1910</v>
      </c>
      <c r="I484" s="8" t="s">
        <v>1911</v>
      </c>
      <c r="J484" s="8" t="s">
        <v>1909</v>
      </c>
    </row>
    <row r="485" spans="7:10" ht="12.75" x14ac:dyDescent="0.2">
      <c r="G485" s="8" t="s">
        <v>134</v>
      </c>
      <c r="H485" s="8" t="s">
        <v>1912</v>
      </c>
      <c r="I485" s="8" t="s">
        <v>804</v>
      </c>
      <c r="J485" s="8" t="s">
        <v>134</v>
      </c>
    </row>
    <row r="486" spans="7:10" ht="12.75" x14ac:dyDescent="0.2">
      <c r="G486" s="8" t="s">
        <v>1913</v>
      </c>
      <c r="H486" s="8" t="s">
        <v>1914</v>
      </c>
      <c r="I486" s="8" t="s">
        <v>1915</v>
      </c>
      <c r="J486" s="8" t="s">
        <v>1913</v>
      </c>
    </row>
    <row r="487" spans="7:10" ht="12.75" x14ac:dyDescent="0.2">
      <c r="G487" s="8" t="s">
        <v>1916</v>
      </c>
      <c r="H487" s="8" t="s">
        <v>1917</v>
      </c>
      <c r="I487" s="8" t="s">
        <v>1918</v>
      </c>
      <c r="J487" s="8" t="s">
        <v>1916</v>
      </c>
    </row>
    <row r="488" spans="7:10" ht="12.75" x14ac:dyDescent="0.2">
      <c r="G488" s="8" t="s">
        <v>1919</v>
      </c>
      <c r="H488" s="8" t="s">
        <v>1920</v>
      </c>
      <c r="I488" s="8" t="s">
        <v>1921</v>
      </c>
      <c r="J488" s="8" t="s">
        <v>1919</v>
      </c>
    </row>
    <row r="489" spans="7:10" ht="12.75" x14ac:dyDescent="0.2">
      <c r="G489" s="8" t="s">
        <v>135</v>
      </c>
      <c r="H489" s="8" t="s">
        <v>1922</v>
      </c>
      <c r="I489" s="8" t="s">
        <v>1923</v>
      </c>
      <c r="J489" s="8" t="s">
        <v>135</v>
      </c>
    </row>
    <row r="490" spans="7:10" ht="12.75" x14ac:dyDescent="0.2">
      <c r="G490" s="8" t="s">
        <v>391</v>
      </c>
      <c r="H490" s="8" t="s">
        <v>1924</v>
      </c>
      <c r="I490" s="8" t="s">
        <v>1925</v>
      </c>
      <c r="J490" s="8" t="s">
        <v>391</v>
      </c>
    </row>
    <row r="491" spans="7:10" ht="12.75" x14ac:dyDescent="0.2">
      <c r="G491" s="8" t="s">
        <v>1926</v>
      </c>
      <c r="H491" s="8" t="s">
        <v>1927</v>
      </c>
      <c r="I491" s="8" t="s">
        <v>1928</v>
      </c>
      <c r="J491" s="8" t="s">
        <v>1926</v>
      </c>
    </row>
    <row r="492" spans="7:10" ht="12.75" x14ac:dyDescent="0.2">
      <c r="G492" s="8" t="s">
        <v>136</v>
      </c>
      <c r="H492" s="8" t="s">
        <v>1929</v>
      </c>
      <c r="I492" s="8" t="s">
        <v>1930</v>
      </c>
      <c r="J492" s="8" t="s">
        <v>136</v>
      </c>
    </row>
    <row r="493" spans="7:10" ht="12.75" x14ac:dyDescent="0.2">
      <c r="G493" s="8" t="s">
        <v>1931</v>
      </c>
      <c r="H493" s="8" t="s">
        <v>1932</v>
      </c>
      <c r="I493" s="8" t="s">
        <v>1933</v>
      </c>
      <c r="J493" s="8" t="s">
        <v>1931</v>
      </c>
    </row>
    <row r="494" spans="7:10" ht="12.75" x14ac:dyDescent="0.2">
      <c r="G494" s="8" t="s">
        <v>1934</v>
      </c>
      <c r="H494" s="8" t="s">
        <v>1935</v>
      </c>
      <c r="I494" s="8" t="s">
        <v>1936</v>
      </c>
      <c r="J494" s="8" t="s">
        <v>1934</v>
      </c>
    </row>
    <row r="495" spans="7:10" ht="12.75" x14ac:dyDescent="0.2">
      <c r="G495" s="8" t="s">
        <v>1937</v>
      </c>
      <c r="H495" s="8" t="s">
        <v>1938</v>
      </c>
      <c r="I495" s="8" t="s">
        <v>1939</v>
      </c>
      <c r="J495" s="8" t="s">
        <v>1937</v>
      </c>
    </row>
    <row r="496" spans="7:10" ht="12.75" x14ac:dyDescent="0.2">
      <c r="G496" s="8" t="s">
        <v>137</v>
      </c>
      <c r="H496" s="8" t="s">
        <v>1940</v>
      </c>
      <c r="I496" s="8" t="s">
        <v>807</v>
      </c>
      <c r="J496" s="8" t="s">
        <v>137</v>
      </c>
    </row>
    <row r="497" spans="7:10" ht="12.75" x14ac:dyDescent="0.2">
      <c r="G497" s="8" t="s">
        <v>1941</v>
      </c>
      <c r="H497" s="8" t="s">
        <v>1942</v>
      </c>
      <c r="I497" s="8" t="s">
        <v>1943</v>
      </c>
      <c r="J497" s="8" t="s">
        <v>1941</v>
      </c>
    </row>
    <row r="498" spans="7:10" ht="12.75" x14ac:dyDescent="0.2">
      <c r="G498" s="8" t="s">
        <v>1944</v>
      </c>
      <c r="H498" s="8" t="s">
        <v>1945</v>
      </c>
      <c r="I498" s="8" t="s">
        <v>1946</v>
      </c>
      <c r="J498" s="8" t="s">
        <v>1944</v>
      </c>
    </row>
    <row r="499" spans="7:10" ht="12.75" x14ac:dyDescent="0.2">
      <c r="G499" s="8" t="s">
        <v>1947</v>
      </c>
      <c r="H499" s="8" t="s">
        <v>1948</v>
      </c>
      <c r="I499" s="8" t="s">
        <v>1949</v>
      </c>
      <c r="J499" s="8" t="s">
        <v>1947</v>
      </c>
    </row>
    <row r="500" spans="7:10" ht="12.75" x14ac:dyDescent="0.2">
      <c r="G500" s="8" t="s">
        <v>1950</v>
      </c>
      <c r="H500" s="8" t="s">
        <v>1951</v>
      </c>
      <c r="I500" s="8" t="s">
        <v>1952</v>
      </c>
      <c r="J500" s="8" t="s">
        <v>1950</v>
      </c>
    </row>
    <row r="501" spans="7:10" ht="12.75" x14ac:dyDescent="0.2">
      <c r="G501" s="8" t="s">
        <v>138</v>
      </c>
      <c r="H501" s="8" t="s">
        <v>1953</v>
      </c>
      <c r="I501" s="8" t="s">
        <v>1954</v>
      </c>
      <c r="J501" s="8" t="s">
        <v>138</v>
      </c>
    </row>
    <row r="502" spans="7:10" ht="12.75" x14ac:dyDescent="0.2">
      <c r="G502" s="8" t="s">
        <v>1955</v>
      </c>
      <c r="H502" s="8" t="s">
        <v>1956</v>
      </c>
      <c r="I502" s="8" t="s">
        <v>1957</v>
      </c>
      <c r="J502" s="8" t="s">
        <v>1955</v>
      </c>
    </row>
    <row r="503" spans="7:10" ht="12.75" x14ac:dyDescent="0.2">
      <c r="G503" s="8" t="s">
        <v>1958</v>
      </c>
      <c r="H503" s="8" t="s">
        <v>1959</v>
      </c>
      <c r="I503" s="8" t="s">
        <v>1960</v>
      </c>
      <c r="J503" s="8" t="s">
        <v>1958</v>
      </c>
    </row>
    <row r="504" spans="7:10" ht="12.75" x14ac:dyDescent="0.2">
      <c r="G504" s="8" t="s">
        <v>1961</v>
      </c>
      <c r="H504" s="8" t="s">
        <v>1962</v>
      </c>
      <c r="I504" s="8" t="s">
        <v>1963</v>
      </c>
      <c r="J504" s="8" t="s">
        <v>1961</v>
      </c>
    </row>
    <row r="505" spans="7:10" ht="12.75" x14ac:dyDescent="0.2">
      <c r="G505" s="8" t="s">
        <v>1964</v>
      </c>
      <c r="H505" s="8" t="s">
        <v>1965</v>
      </c>
      <c r="I505" s="8" t="s">
        <v>1966</v>
      </c>
      <c r="J505" s="8" t="s">
        <v>1964</v>
      </c>
    </row>
    <row r="506" spans="7:10" ht="12.75" x14ac:dyDescent="0.2">
      <c r="G506" s="8" t="s">
        <v>139</v>
      </c>
      <c r="H506" s="8" t="s">
        <v>1967</v>
      </c>
      <c r="I506" s="8" t="s">
        <v>1968</v>
      </c>
      <c r="J506" s="8" t="s">
        <v>139</v>
      </c>
    </row>
    <row r="507" spans="7:10" ht="12.75" x14ac:dyDescent="0.2">
      <c r="G507" s="8" t="s">
        <v>1969</v>
      </c>
      <c r="H507" s="8" t="s">
        <v>1970</v>
      </c>
      <c r="I507" s="8" t="s">
        <v>1971</v>
      </c>
      <c r="J507" s="8" t="s">
        <v>1969</v>
      </c>
    </row>
    <row r="508" spans="7:10" ht="12.75" x14ac:dyDescent="0.2">
      <c r="G508" s="8" t="s">
        <v>1972</v>
      </c>
      <c r="H508" s="8" t="s">
        <v>1973</v>
      </c>
      <c r="I508" s="8" t="s">
        <v>1974</v>
      </c>
      <c r="J508" s="8" t="s">
        <v>1972</v>
      </c>
    </row>
    <row r="509" spans="7:10" ht="12.75" x14ac:dyDescent="0.2">
      <c r="G509" s="8" t="s">
        <v>1975</v>
      </c>
      <c r="H509" s="8" t="s">
        <v>1976</v>
      </c>
      <c r="I509" s="8" t="s">
        <v>1977</v>
      </c>
      <c r="J509" s="8" t="s">
        <v>1975</v>
      </c>
    </row>
    <row r="510" spans="7:10" ht="12.75" x14ac:dyDescent="0.2">
      <c r="G510" s="8" t="s">
        <v>140</v>
      </c>
      <c r="H510" s="8" t="s">
        <v>1978</v>
      </c>
      <c r="I510" s="8" t="s">
        <v>811</v>
      </c>
      <c r="J510" s="8" t="s">
        <v>140</v>
      </c>
    </row>
    <row r="511" spans="7:10" ht="12.75" x14ac:dyDescent="0.2">
      <c r="G511" s="8" t="s">
        <v>1979</v>
      </c>
      <c r="H511" s="8" t="s">
        <v>1980</v>
      </c>
      <c r="I511" s="8" t="s">
        <v>1981</v>
      </c>
      <c r="J511" s="8" t="s">
        <v>1979</v>
      </c>
    </row>
    <row r="512" spans="7:10" ht="12.75" x14ac:dyDescent="0.2">
      <c r="G512" s="8" t="s">
        <v>1982</v>
      </c>
      <c r="H512" s="8" t="s">
        <v>1983</v>
      </c>
      <c r="I512" s="8" t="s">
        <v>1984</v>
      </c>
      <c r="J512" s="8" t="s">
        <v>1982</v>
      </c>
    </row>
    <row r="513" spans="7:10" ht="12.75" x14ac:dyDescent="0.2">
      <c r="G513" s="8" t="s">
        <v>141</v>
      </c>
      <c r="H513" s="8" t="s">
        <v>1985</v>
      </c>
      <c r="I513" s="8" t="s">
        <v>815</v>
      </c>
      <c r="J513" s="8" t="s">
        <v>141</v>
      </c>
    </row>
    <row r="514" spans="7:10" ht="12.75" x14ac:dyDescent="0.2">
      <c r="G514" s="8" t="s">
        <v>142</v>
      </c>
      <c r="H514" s="8" t="s">
        <v>1986</v>
      </c>
      <c r="I514" s="8" t="s">
        <v>819</v>
      </c>
      <c r="J514" s="8" t="s">
        <v>142</v>
      </c>
    </row>
    <row r="515" spans="7:10" ht="12.75" x14ac:dyDescent="0.2">
      <c r="G515" s="8" t="s">
        <v>1987</v>
      </c>
      <c r="H515" s="8" t="s">
        <v>1988</v>
      </c>
      <c r="I515" s="8" t="s">
        <v>1989</v>
      </c>
      <c r="J515" s="8" t="s">
        <v>1987</v>
      </c>
    </row>
    <row r="516" spans="7:10" ht="12.75" x14ac:dyDescent="0.2">
      <c r="G516" s="8" t="s">
        <v>1990</v>
      </c>
      <c r="H516" s="8" t="s">
        <v>1991</v>
      </c>
      <c r="I516" s="8" t="s">
        <v>1992</v>
      </c>
      <c r="J516" s="8" t="s">
        <v>1990</v>
      </c>
    </row>
    <row r="517" spans="7:10" ht="12.75" x14ac:dyDescent="0.2">
      <c r="G517" s="8" t="s">
        <v>1993</v>
      </c>
      <c r="H517" s="8" t="s">
        <v>1994</v>
      </c>
      <c r="I517" s="8" t="s">
        <v>1995</v>
      </c>
      <c r="J517" s="8" t="s">
        <v>1993</v>
      </c>
    </row>
    <row r="518" spans="7:10" ht="12.75" x14ac:dyDescent="0.2">
      <c r="G518" s="8" t="s">
        <v>1996</v>
      </c>
      <c r="H518" s="8" t="s">
        <v>1997</v>
      </c>
      <c r="I518" s="8" t="s">
        <v>1998</v>
      </c>
      <c r="J518" s="8" t="s">
        <v>1996</v>
      </c>
    </row>
    <row r="519" spans="7:10" ht="12.75" x14ac:dyDescent="0.2">
      <c r="G519" s="8" t="s">
        <v>1999</v>
      </c>
      <c r="H519" s="8" t="s">
        <v>2000</v>
      </c>
      <c r="I519" s="8" t="s">
        <v>2001</v>
      </c>
      <c r="J519" s="8" t="s">
        <v>1999</v>
      </c>
    </row>
    <row r="520" spans="7:10" ht="12.75" x14ac:dyDescent="0.2">
      <c r="G520" s="8" t="s">
        <v>143</v>
      </c>
      <c r="H520" s="8" t="s">
        <v>2002</v>
      </c>
      <c r="I520" s="8" t="s">
        <v>2003</v>
      </c>
      <c r="J520" s="8" t="s">
        <v>143</v>
      </c>
    </row>
    <row r="521" spans="7:10" ht="12.75" x14ac:dyDescent="0.2">
      <c r="G521" s="8" t="s">
        <v>2004</v>
      </c>
      <c r="H521" s="8" t="s">
        <v>2005</v>
      </c>
      <c r="I521" s="8" t="s">
        <v>2006</v>
      </c>
      <c r="J521" s="8" t="s">
        <v>2004</v>
      </c>
    </row>
    <row r="522" spans="7:10" ht="12.75" x14ac:dyDescent="0.2">
      <c r="G522" s="8" t="s">
        <v>2007</v>
      </c>
      <c r="H522" s="8" t="s">
        <v>2008</v>
      </c>
      <c r="I522" s="8" t="s">
        <v>2009</v>
      </c>
      <c r="J522" s="8" t="s">
        <v>2007</v>
      </c>
    </row>
    <row r="523" spans="7:10" ht="12.75" x14ac:dyDescent="0.2">
      <c r="G523" s="8" t="s">
        <v>2010</v>
      </c>
      <c r="H523" s="8" t="s">
        <v>2011</v>
      </c>
      <c r="I523" s="8" t="s">
        <v>2012</v>
      </c>
      <c r="J523" s="8" t="s">
        <v>2010</v>
      </c>
    </row>
    <row r="524" spans="7:10" ht="12.75" x14ac:dyDescent="0.2">
      <c r="G524" s="8" t="s">
        <v>2013</v>
      </c>
      <c r="H524" s="8" t="s">
        <v>2014</v>
      </c>
      <c r="I524" s="8" t="s">
        <v>2015</v>
      </c>
      <c r="J524" s="8" t="s">
        <v>2013</v>
      </c>
    </row>
    <row r="525" spans="7:10" ht="12.75" x14ac:dyDescent="0.2">
      <c r="G525" s="8" t="s">
        <v>144</v>
      </c>
      <c r="H525" s="8" t="s">
        <v>2016</v>
      </c>
      <c r="I525" s="8" t="s">
        <v>2017</v>
      </c>
      <c r="J525" s="8" t="s">
        <v>144</v>
      </c>
    </row>
    <row r="526" spans="7:10" ht="12.75" x14ac:dyDescent="0.2">
      <c r="G526" s="8" t="s">
        <v>2018</v>
      </c>
      <c r="H526" s="8" t="s">
        <v>2019</v>
      </c>
      <c r="I526" s="8" t="s">
        <v>2020</v>
      </c>
      <c r="J526" s="8" t="s">
        <v>2018</v>
      </c>
    </row>
    <row r="527" spans="7:10" ht="12.75" x14ac:dyDescent="0.2">
      <c r="G527" s="8" t="s">
        <v>2021</v>
      </c>
      <c r="H527" s="8" t="s">
        <v>2022</v>
      </c>
      <c r="I527" s="8" t="s">
        <v>2023</v>
      </c>
      <c r="J527" s="8" t="s">
        <v>2021</v>
      </c>
    </row>
    <row r="528" spans="7:10" ht="12.75" x14ac:dyDescent="0.2">
      <c r="G528" s="8" t="s">
        <v>2024</v>
      </c>
      <c r="H528" s="8" t="s">
        <v>2025</v>
      </c>
      <c r="I528" s="8" t="s">
        <v>2026</v>
      </c>
      <c r="J528" s="8" t="s">
        <v>2024</v>
      </c>
    </row>
    <row r="529" spans="7:10" ht="12.75" x14ac:dyDescent="0.2">
      <c r="G529" s="8" t="s">
        <v>2027</v>
      </c>
      <c r="H529" s="8" t="s">
        <v>2028</v>
      </c>
      <c r="I529" s="8" t="s">
        <v>2029</v>
      </c>
      <c r="J529" s="8" t="s">
        <v>2027</v>
      </c>
    </row>
    <row r="530" spans="7:10" ht="12.75" x14ac:dyDescent="0.2">
      <c r="G530" s="8" t="s">
        <v>2030</v>
      </c>
      <c r="H530" s="8" t="s">
        <v>2031</v>
      </c>
      <c r="I530" s="8" t="s">
        <v>2032</v>
      </c>
      <c r="J530" s="8" t="s">
        <v>2030</v>
      </c>
    </row>
    <row r="531" spans="7:10" ht="12.75" x14ac:dyDescent="0.2">
      <c r="G531" s="8" t="s">
        <v>2033</v>
      </c>
      <c r="H531" s="8" t="s">
        <v>2034</v>
      </c>
      <c r="I531" s="8" t="s">
        <v>2035</v>
      </c>
      <c r="J531" s="8" t="s">
        <v>2033</v>
      </c>
    </row>
    <row r="532" spans="7:10" ht="12.75" x14ac:dyDescent="0.2">
      <c r="G532" s="8" t="s">
        <v>2036</v>
      </c>
      <c r="H532" s="8" t="s">
        <v>2037</v>
      </c>
      <c r="I532" s="8" t="s">
        <v>2038</v>
      </c>
      <c r="J532" s="8" t="s">
        <v>2036</v>
      </c>
    </row>
    <row r="533" spans="7:10" ht="12.75" x14ac:dyDescent="0.2">
      <c r="G533" s="8" t="s">
        <v>2039</v>
      </c>
      <c r="H533" s="8" t="s">
        <v>2040</v>
      </c>
      <c r="I533" s="8" t="s">
        <v>2041</v>
      </c>
      <c r="J533" s="8" t="s">
        <v>2039</v>
      </c>
    </row>
    <row r="534" spans="7:10" ht="12.75" x14ac:dyDescent="0.2">
      <c r="G534" s="8" t="s">
        <v>2042</v>
      </c>
      <c r="H534" s="8" t="s">
        <v>2043</v>
      </c>
      <c r="I534" s="8" t="s">
        <v>2044</v>
      </c>
      <c r="J534" s="8" t="s">
        <v>2042</v>
      </c>
    </row>
    <row r="535" spans="7:10" ht="12.75" x14ac:dyDescent="0.2">
      <c r="G535" s="8" t="s">
        <v>2045</v>
      </c>
      <c r="H535" s="8" t="s">
        <v>2046</v>
      </c>
      <c r="I535" s="8" t="s">
        <v>2047</v>
      </c>
      <c r="J535" s="8" t="s">
        <v>2045</v>
      </c>
    </row>
    <row r="536" spans="7:10" ht="12.75" x14ac:dyDescent="0.2">
      <c r="G536" s="8" t="s">
        <v>145</v>
      </c>
      <c r="H536" s="8" t="s">
        <v>2048</v>
      </c>
      <c r="I536" s="8" t="s">
        <v>2049</v>
      </c>
      <c r="J536" s="8" t="s">
        <v>145</v>
      </c>
    </row>
    <row r="537" spans="7:10" ht="12.75" x14ac:dyDescent="0.2">
      <c r="G537" s="8" t="s">
        <v>2050</v>
      </c>
      <c r="H537" s="8" t="s">
        <v>2051</v>
      </c>
      <c r="I537" s="8" t="s">
        <v>2052</v>
      </c>
      <c r="J537" s="8" t="s">
        <v>2050</v>
      </c>
    </row>
    <row r="538" spans="7:10" ht="12.75" x14ac:dyDescent="0.2">
      <c r="G538" s="8" t="s">
        <v>2053</v>
      </c>
      <c r="H538" s="8" t="s">
        <v>2054</v>
      </c>
      <c r="I538" s="8" t="s">
        <v>2055</v>
      </c>
      <c r="J538" s="8" t="s">
        <v>2053</v>
      </c>
    </row>
    <row r="539" spans="7:10" ht="12.75" x14ac:dyDescent="0.2">
      <c r="G539" s="8" t="s">
        <v>2056</v>
      </c>
      <c r="H539" s="8" t="s">
        <v>2057</v>
      </c>
      <c r="I539" s="8" t="s">
        <v>2058</v>
      </c>
      <c r="J539" s="8" t="s">
        <v>2056</v>
      </c>
    </row>
    <row r="540" spans="7:10" ht="12.75" x14ac:dyDescent="0.2">
      <c r="G540" s="8" t="s">
        <v>2059</v>
      </c>
      <c r="H540" s="8" t="s">
        <v>2060</v>
      </c>
      <c r="I540" s="8" t="s">
        <v>2061</v>
      </c>
      <c r="J540" s="8" t="s">
        <v>2059</v>
      </c>
    </row>
    <row r="541" spans="7:10" ht="12.75" x14ac:dyDescent="0.2">
      <c r="G541" s="8" t="s">
        <v>2062</v>
      </c>
      <c r="H541" s="8" t="s">
        <v>2028</v>
      </c>
      <c r="I541" s="8" t="s">
        <v>2063</v>
      </c>
      <c r="J541" s="8" t="s">
        <v>2062</v>
      </c>
    </row>
    <row r="542" spans="7:10" ht="12.75" x14ac:dyDescent="0.2">
      <c r="G542" s="8" t="s">
        <v>2064</v>
      </c>
      <c r="H542" s="8" t="s">
        <v>2065</v>
      </c>
      <c r="I542" s="8" t="s">
        <v>2066</v>
      </c>
      <c r="J542" s="8" t="s">
        <v>2064</v>
      </c>
    </row>
    <row r="543" spans="7:10" ht="12.75" x14ac:dyDescent="0.2">
      <c r="G543" s="8" t="s">
        <v>2067</v>
      </c>
      <c r="H543" s="8" t="s">
        <v>2068</v>
      </c>
      <c r="I543" s="8" t="s">
        <v>2069</v>
      </c>
      <c r="J543" s="8" t="s">
        <v>2067</v>
      </c>
    </row>
    <row r="544" spans="7:10" ht="12.75" x14ac:dyDescent="0.2">
      <c r="G544" s="8" t="s">
        <v>2070</v>
      </c>
      <c r="H544" s="8" t="s">
        <v>2071</v>
      </c>
      <c r="I544" s="8" t="s">
        <v>2072</v>
      </c>
      <c r="J544" s="8" t="s">
        <v>2070</v>
      </c>
    </row>
    <row r="545" spans="7:10" ht="12.75" x14ac:dyDescent="0.2">
      <c r="G545" s="8" t="s">
        <v>146</v>
      </c>
      <c r="H545" s="8" t="s">
        <v>2073</v>
      </c>
      <c r="I545" s="8" t="s">
        <v>823</v>
      </c>
      <c r="J545" s="8" t="s">
        <v>146</v>
      </c>
    </row>
    <row r="546" spans="7:10" ht="12.75" x14ac:dyDescent="0.2">
      <c r="G546" s="8" t="s">
        <v>2074</v>
      </c>
      <c r="H546" s="8" t="s">
        <v>2075</v>
      </c>
      <c r="I546" s="8" t="s">
        <v>2076</v>
      </c>
      <c r="J546" s="8" t="s">
        <v>2074</v>
      </c>
    </row>
    <row r="547" spans="7:10" ht="12.75" x14ac:dyDescent="0.2">
      <c r="G547" s="8" t="s">
        <v>2077</v>
      </c>
      <c r="H547" s="8" t="s">
        <v>2078</v>
      </c>
      <c r="I547" s="8" t="s">
        <v>2079</v>
      </c>
      <c r="J547" s="8" t="s">
        <v>2077</v>
      </c>
    </row>
    <row r="548" spans="7:10" ht="12.75" x14ac:dyDescent="0.2">
      <c r="G548" s="8" t="s">
        <v>2080</v>
      </c>
      <c r="H548" s="8" t="s">
        <v>2081</v>
      </c>
      <c r="I548" s="8" t="s">
        <v>2082</v>
      </c>
      <c r="J548" s="8" t="s">
        <v>2080</v>
      </c>
    </row>
    <row r="549" spans="7:10" ht="12.75" x14ac:dyDescent="0.2">
      <c r="G549" s="8" t="s">
        <v>2083</v>
      </c>
      <c r="H549" s="8" t="s">
        <v>2084</v>
      </c>
      <c r="I549" s="8" t="s">
        <v>2085</v>
      </c>
      <c r="J549" s="8" t="s">
        <v>2083</v>
      </c>
    </row>
    <row r="550" spans="7:10" ht="12.75" x14ac:dyDescent="0.2">
      <c r="G550" s="8" t="s">
        <v>392</v>
      </c>
      <c r="H550" s="8" t="s">
        <v>2086</v>
      </c>
      <c r="I550" s="8" t="s">
        <v>2087</v>
      </c>
      <c r="J550" s="8" t="s">
        <v>392</v>
      </c>
    </row>
    <row r="551" spans="7:10" ht="12.75" x14ac:dyDescent="0.2">
      <c r="G551" s="8" t="s">
        <v>2088</v>
      </c>
      <c r="H551" s="8" t="s">
        <v>2089</v>
      </c>
      <c r="I551" s="8" t="s">
        <v>2090</v>
      </c>
      <c r="J551" s="8" t="s">
        <v>2088</v>
      </c>
    </row>
    <row r="552" spans="7:10" ht="12.75" x14ac:dyDescent="0.2">
      <c r="G552" s="8" t="s">
        <v>2091</v>
      </c>
      <c r="H552" s="8" t="s">
        <v>2092</v>
      </c>
      <c r="I552" s="8" t="s">
        <v>2093</v>
      </c>
      <c r="J552" s="8" t="s">
        <v>2091</v>
      </c>
    </row>
    <row r="553" spans="7:10" ht="12.75" x14ac:dyDescent="0.2">
      <c r="G553" s="8" t="s">
        <v>2094</v>
      </c>
      <c r="H553" s="8" t="s">
        <v>2095</v>
      </c>
      <c r="I553" s="8" t="s">
        <v>2096</v>
      </c>
      <c r="J553" s="8" t="s">
        <v>2094</v>
      </c>
    </row>
    <row r="554" spans="7:10" ht="12.75" x14ac:dyDescent="0.2">
      <c r="G554" s="8" t="s">
        <v>2097</v>
      </c>
      <c r="H554" s="8" t="s">
        <v>2098</v>
      </c>
      <c r="I554" s="8" t="s">
        <v>2099</v>
      </c>
      <c r="J554" s="8" t="s">
        <v>2097</v>
      </c>
    </row>
    <row r="555" spans="7:10" ht="12.75" x14ac:dyDescent="0.2">
      <c r="G555" s="8" t="s">
        <v>147</v>
      </c>
      <c r="H555" s="8" t="s">
        <v>2100</v>
      </c>
      <c r="I555" s="8" t="s">
        <v>2101</v>
      </c>
      <c r="J555" s="8" t="s">
        <v>147</v>
      </c>
    </row>
    <row r="556" spans="7:10" ht="12.75" x14ac:dyDescent="0.2">
      <c r="G556" s="8" t="s">
        <v>2102</v>
      </c>
      <c r="H556" s="8" t="s">
        <v>2103</v>
      </c>
      <c r="I556" s="8" t="s">
        <v>2104</v>
      </c>
      <c r="J556" s="8" t="s">
        <v>2102</v>
      </c>
    </row>
    <row r="557" spans="7:10" ht="12.75" x14ac:dyDescent="0.2">
      <c r="G557" s="8" t="s">
        <v>2105</v>
      </c>
      <c r="H557" s="8" t="s">
        <v>2106</v>
      </c>
      <c r="I557" s="8" t="s">
        <v>2107</v>
      </c>
      <c r="J557" s="8" t="s">
        <v>2105</v>
      </c>
    </row>
    <row r="558" spans="7:10" ht="12.75" x14ac:dyDescent="0.2">
      <c r="G558" s="8" t="s">
        <v>2108</v>
      </c>
      <c r="H558" s="8" t="s">
        <v>2109</v>
      </c>
      <c r="I558" s="8" t="s">
        <v>2110</v>
      </c>
      <c r="J558" s="8" t="s">
        <v>2108</v>
      </c>
    </row>
    <row r="559" spans="7:10" ht="12.75" x14ac:dyDescent="0.2">
      <c r="G559" s="8" t="s">
        <v>2111</v>
      </c>
      <c r="H559" s="8" t="s">
        <v>2112</v>
      </c>
      <c r="I559" s="8" t="s">
        <v>2113</v>
      </c>
      <c r="J559" s="8" t="s">
        <v>2111</v>
      </c>
    </row>
    <row r="560" spans="7:10" ht="12.75" x14ac:dyDescent="0.2">
      <c r="G560" s="8" t="s">
        <v>148</v>
      </c>
      <c r="H560" s="8" t="s">
        <v>2114</v>
      </c>
      <c r="I560" s="8" t="s">
        <v>2115</v>
      </c>
      <c r="J560" s="8" t="s">
        <v>148</v>
      </c>
    </row>
    <row r="561" spans="7:10" ht="12.75" x14ac:dyDescent="0.2">
      <c r="G561" s="8" t="s">
        <v>2116</v>
      </c>
      <c r="H561" s="8" t="s">
        <v>2117</v>
      </c>
      <c r="I561" s="8" t="s">
        <v>2118</v>
      </c>
      <c r="J561" s="8" t="s">
        <v>2116</v>
      </c>
    </row>
    <row r="562" spans="7:10" ht="12.75" x14ac:dyDescent="0.2">
      <c r="G562" s="8" t="s">
        <v>2119</v>
      </c>
      <c r="H562" s="8" t="s">
        <v>2120</v>
      </c>
      <c r="I562" s="8" t="s">
        <v>2121</v>
      </c>
      <c r="J562" s="8" t="s">
        <v>2119</v>
      </c>
    </row>
    <row r="563" spans="7:10" ht="12.75" x14ac:dyDescent="0.2">
      <c r="G563" s="8" t="s">
        <v>149</v>
      </c>
      <c r="H563" s="8" t="s">
        <v>2122</v>
      </c>
      <c r="I563" s="8" t="s">
        <v>2123</v>
      </c>
      <c r="J563" s="8" t="s">
        <v>149</v>
      </c>
    </row>
    <row r="564" spans="7:10" ht="12.75" x14ac:dyDescent="0.2">
      <c r="G564" s="8" t="s">
        <v>2124</v>
      </c>
      <c r="H564" s="8" t="s">
        <v>2125</v>
      </c>
      <c r="I564" s="8" t="s">
        <v>2126</v>
      </c>
      <c r="J564" s="8" t="s">
        <v>2124</v>
      </c>
    </row>
    <row r="565" spans="7:10" ht="12.75" x14ac:dyDescent="0.2">
      <c r="G565" s="8" t="s">
        <v>2127</v>
      </c>
      <c r="H565" s="8" t="s">
        <v>2128</v>
      </c>
      <c r="I565" s="8" t="s">
        <v>2129</v>
      </c>
      <c r="J565" s="8" t="s">
        <v>2127</v>
      </c>
    </row>
    <row r="566" spans="7:10" ht="12.75" x14ac:dyDescent="0.2">
      <c r="G566" s="8" t="s">
        <v>2130</v>
      </c>
      <c r="H566" s="8" t="s">
        <v>2131</v>
      </c>
      <c r="I566" s="8" t="s">
        <v>2132</v>
      </c>
      <c r="J566" s="8" t="s">
        <v>2130</v>
      </c>
    </row>
    <row r="567" spans="7:10" ht="12.75" x14ac:dyDescent="0.2">
      <c r="G567" s="8" t="s">
        <v>2133</v>
      </c>
      <c r="H567" s="8" t="s">
        <v>2134</v>
      </c>
      <c r="I567" s="8" t="s">
        <v>2135</v>
      </c>
      <c r="J567" s="8" t="s">
        <v>2133</v>
      </c>
    </row>
    <row r="568" spans="7:10" ht="12.75" x14ac:dyDescent="0.2">
      <c r="G568" s="8" t="s">
        <v>2136</v>
      </c>
      <c r="H568" s="8" t="s">
        <v>2137</v>
      </c>
      <c r="I568" s="8" t="s">
        <v>2138</v>
      </c>
      <c r="J568" s="8" t="s">
        <v>2136</v>
      </c>
    </row>
    <row r="569" spans="7:10" ht="12.75" x14ac:dyDescent="0.2">
      <c r="G569" s="8" t="s">
        <v>2139</v>
      </c>
      <c r="H569" s="8" t="s">
        <v>2140</v>
      </c>
      <c r="I569" s="8" t="s">
        <v>2141</v>
      </c>
      <c r="J569" s="8" t="s">
        <v>2139</v>
      </c>
    </row>
    <row r="570" spans="7:10" ht="12.75" x14ac:dyDescent="0.2">
      <c r="G570" s="8" t="s">
        <v>2142</v>
      </c>
      <c r="H570" s="8" t="s">
        <v>2143</v>
      </c>
      <c r="I570" s="8" t="s">
        <v>2144</v>
      </c>
      <c r="J570" s="8" t="s">
        <v>2142</v>
      </c>
    </row>
    <row r="571" spans="7:10" ht="12.75" x14ac:dyDescent="0.2">
      <c r="G571" s="8" t="s">
        <v>150</v>
      </c>
      <c r="H571" s="8" t="s">
        <v>2145</v>
      </c>
      <c r="I571" s="8" t="s">
        <v>2146</v>
      </c>
      <c r="J571" s="8" t="s">
        <v>150</v>
      </c>
    </row>
    <row r="572" spans="7:10" ht="12.75" x14ac:dyDescent="0.2">
      <c r="G572" s="8" t="s">
        <v>2147</v>
      </c>
      <c r="H572" s="8" t="s">
        <v>2148</v>
      </c>
      <c r="I572" s="8" t="s">
        <v>2149</v>
      </c>
      <c r="J572" s="8" t="s">
        <v>2147</v>
      </c>
    </row>
    <row r="573" spans="7:10" ht="12.75" x14ac:dyDescent="0.2">
      <c r="G573" s="8" t="s">
        <v>2150</v>
      </c>
      <c r="H573" s="8" t="s">
        <v>2151</v>
      </c>
      <c r="I573" s="8" t="s">
        <v>2152</v>
      </c>
      <c r="J573" s="8" t="s">
        <v>2150</v>
      </c>
    </row>
    <row r="574" spans="7:10" ht="12.75" x14ac:dyDescent="0.2">
      <c r="G574" s="8" t="s">
        <v>2153</v>
      </c>
      <c r="H574" s="8" t="s">
        <v>2154</v>
      </c>
      <c r="I574" s="8" t="s">
        <v>2155</v>
      </c>
      <c r="J574" s="8" t="s">
        <v>2153</v>
      </c>
    </row>
    <row r="575" spans="7:10" ht="12.75" x14ac:dyDescent="0.2">
      <c r="G575" s="8" t="s">
        <v>2156</v>
      </c>
      <c r="H575" s="8" t="s">
        <v>2157</v>
      </c>
      <c r="I575" s="8" t="s">
        <v>2158</v>
      </c>
      <c r="J575" s="8" t="s">
        <v>2156</v>
      </c>
    </row>
    <row r="576" spans="7:10" ht="12.75" x14ac:dyDescent="0.2">
      <c r="G576" s="8" t="s">
        <v>2159</v>
      </c>
      <c r="H576" s="8" t="s">
        <v>2160</v>
      </c>
      <c r="I576" s="8" t="s">
        <v>2161</v>
      </c>
      <c r="J576" s="8" t="s">
        <v>2159</v>
      </c>
    </row>
    <row r="577" spans="7:10" ht="12.75" x14ac:dyDescent="0.2">
      <c r="G577" s="8" t="s">
        <v>2162</v>
      </c>
      <c r="H577" s="8" t="s">
        <v>2163</v>
      </c>
      <c r="I577" s="8" t="s">
        <v>2164</v>
      </c>
      <c r="J577" s="8" t="s">
        <v>2162</v>
      </c>
    </row>
    <row r="578" spans="7:10" ht="12.75" x14ac:dyDescent="0.2">
      <c r="G578" s="8" t="s">
        <v>2165</v>
      </c>
      <c r="H578" s="8" t="s">
        <v>2166</v>
      </c>
      <c r="I578" s="8" t="s">
        <v>2167</v>
      </c>
      <c r="J578" s="8" t="s">
        <v>2165</v>
      </c>
    </row>
    <row r="579" spans="7:10" ht="12.75" x14ac:dyDescent="0.2">
      <c r="G579" s="8" t="s">
        <v>2168</v>
      </c>
      <c r="H579" s="8" t="s">
        <v>2169</v>
      </c>
      <c r="I579" s="8" t="s">
        <v>2170</v>
      </c>
      <c r="J579" s="8" t="s">
        <v>2168</v>
      </c>
    </row>
    <row r="580" spans="7:10" ht="12.75" x14ac:dyDescent="0.2">
      <c r="G580" s="8" t="s">
        <v>27</v>
      </c>
      <c r="H580" s="8" t="s">
        <v>2171</v>
      </c>
      <c r="I580" s="8" t="s">
        <v>2172</v>
      </c>
      <c r="J580" s="8" t="s">
        <v>27</v>
      </c>
    </row>
    <row r="581" spans="7:10" ht="12.75" x14ac:dyDescent="0.2">
      <c r="G581" s="8" t="s">
        <v>393</v>
      </c>
      <c r="H581" s="8" t="s">
        <v>2173</v>
      </c>
      <c r="I581" s="8" t="s">
        <v>2174</v>
      </c>
      <c r="J581" s="8" t="s">
        <v>393</v>
      </c>
    </row>
    <row r="582" spans="7:10" ht="12.75" x14ac:dyDescent="0.2">
      <c r="G582" s="8" t="s">
        <v>2175</v>
      </c>
      <c r="H582" s="8" t="s">
        <v>2176</v>
      </c>
      <c r="I582" s="8" t="s">
        <v>2177</v>
      </c>
      <c r="J582" s="8" t="s">
        <v>2175</v>
      </c>
    </row>
    <row r="583" spans="7:10" ht="12.75" x14ac:dyDescent="0.2">
      <c r="G583" s="8" t="s">
        <v>2178</v>
      </c>
      <c r="H583" s="8" t="s">
        <v>2179</v>
      </c>
      <c r="I583" s="8" t="s">
        <v>2180</v>
      </c>
      <c r="J583" s="8" t="s">
        <v>2178</v>
      </c>
    </row>
    <row r="584" spans="7:10" ht="12.75" x14ac:dyDescent="0.2">
      <c r="G584" s="8" t="s">
        <v>2181</v>
      </c>
      <c r="H584" s="8" t="s">
        <v>2182</v>
      </c>
      <c r="I584" s="8" t="s">
        <v>2183</v>
      </c>
      <c r="J584" s="8" t="s">
        <v>2181</v>
      </c>
    </row>
    <row r="585" spans="7:10" ht="12.75" x14ac:dyDescent="0.2">
      <c r="G585" s="8" t="s">
        <v>151</v>
      </c>
      <c r="H585" s="8" t="s">
        <v>2184</v>
      </c>
      <c r="I585" s="8" t="s">
        <v>2185</v>
      </c>
      <c r="J585" s="8" t="s">
        <v>151</v>
      </c>
    </row>
    <row r="586" spans="7:10" ht="12.75" x14ac:dyDescent="0.2">
      <c r="G586" s="8" t="s">
        <v>2186</v>
      </c>
      <c r="H586" s="8" t="s">
        <v>2187</v>
      </c>
      <c r="I586" s="8" t="s">
        <v>2188</v>
      </c>
      <c r="J586" s="8" t="s">
        <v>2186</v>
      </c>
    </row>
    <row r="587" spans="7:10" ht="12.75" x14ac:dyDescent="0.2">
      <c r="G587" s="8" t="s">
        <v>2189</v>
      </c>
      <c r="H587" s="8" t="s">
        <v>2190</v>
      </c>
      <c r="I587" s="8" t="s">
        <v>2191</v>
      </c>
      <c r="J587" s="8" t="s">
        <v>2189</v>
      </c>
    </row>
    <row r="588" spans="7:10" ht="12.75" x14ac:dyDescent="0.2">
      <c r="G588" s="8" t="s">
        <v>2192</v>
      </c>
      <c r="H588" s="8" t="s">
        <v>2193</v>
      </c>
      <c r="I588" s="8" t="s">
        <v>2194</v>
      </c>
      <c r="J588" s="8" t="s">
        <v>2192</v>
      </c>
    </row>
    <row r="589" spans="7:10" ht="12.75" x14ac:dyDescent="0.2">
      <c r="G589" s="8" t="s">
        <v>2195</v>
      </c>
      <c r="H589" s="8" t="s">
        <v>2196</v>
      </c>
      <c r="I589" s="8" t="s">
        <v>2197</v>
      </c>
      <c r="J589" s="8" t="s">
        <v>2195</v>
      </c>
    </row>
    <row r="590" spans="7:10" ht="12.75" x14ac:dyDescent="0.2">
      <c r="G590" s="8" t="s">
        <v>2198</v>
      </c>
      <c r="H590" s="8" t="s">
        <v>2199</v>
      </c>
      <c r="I590" s="8" t="s">
        <v>2200</v>
      </c>
      <c r="J590" s="8" t="s">
        <v>2198</v>
      </c>
    </row>
    <row r="591" spans="7:10" ht="12.75" x14ac:dyDescent="0.2">
      <c r="G591" s="8" t="s">
        <v>2201</v>
      </c>
      <c r="H591" s="8" t="s">
        <v>2202</v>
      </c>
      <c r="I591" s="8" t="s">
        <v>2203</v>
      </c>
      <c r="J591" s="8" t="s">
        <v>2201</v>
      </c>
    </row>
    <row r="592" spans="7:10" ht="12.75" x14ac:dyDescent="0.2">
      <c r="G592" s="8" t="s">
        <v>2204</v>
      </c>
      <c r="H592" s="8" t="s">
        <v>2205</v>
      </c>
      <c r="I592" s="8" t="s">
        <v>2206</v>
      </c>
      <c r="J592" s="8" t="s">
        <v>2204</v>
      </c>
    </row>
    <row r="593" spans="7:10" ht="12.75" x14ac:dyDescent="0.2">
      <c r="G593" s="8" t="s">
        <v>394</v>
      </c>
      <c r="H593" s="8" t="s">
        <v>2207</v>
      </c>
      <c r="I593" s="8" t="s">
        <v>2208</v>
      </c>
      <c r="J593" s="8" t="s">
        <v>394</v>
      </c>
    </row>
    <row r="594" spans="7:10" ht="12.75" x14ac:dyDescent="0.2">
      <c r="G594" s="8" t="s">
        <v>2209</v>
      </c>
      <c r="H594" s="8" t="s">
        <v>2210</v>
      </c>
      <c r="I594" s="8" t="s">
        <v>2211</v>
      </c>
      <c r="J594" s="8" t="s">
        <v>2209</v>
      </c>
    </row>
    <row r="595" spans="7:10" ht="12.75" x14ac:dyDescent="0.2">
      <c r="G595" s="8" t="s">
        <v>2212</v>
      </c>
      <c r="H595" s="8" t="s">
        <v>2213</v>
      </c>
      <c r="I595" s="8" t="s">
        <v>2214</v>
      </c>
      <c r="J595" s="8" t="s">
        <v>2212</v>
      </c>
    </row>
    <row r="596" spans="7:10" ht="12.75" x14ac:dyDescent="0.2">
      <c r="G596" s="8" t="s">
        <v>2215</v>
      </c>
      <c r="H596" s="8" t="s">
        <v>2216</v>
      </c>
      <c r="I596" s="8" t="s">
        <v>2217</v>
      </c>
      <c r="J596" s="8" t="s">
        <v>2215</v>
      </c>
    </row>
    <row r="597" spans="7:10" ht="12.75" x14ac:dyDescent="0.2">
      <c r="G597" s="8" t="s">
        <v>2218</v>
      </c>
      <c r="H597" s="8" t="s">
        <v>2210</v>
      </c>
      <c r="I597" s="8" t="s">
        <v>2219</v>
      </c>
      <c r="J597" s="8" t="s">
        <v>2218</v>
      </c>
    </row>
    <row r="598" spans="7:10" ht="12.75" x14ac:dyDescent="0.2">
      <c r="G598" s="8" t="s">
        <v>2220</v>
      </c>
      <c r="H598" s="8" t="s">
        <v>2221</v>
      </c>
      <c r="I598" s="8" t="s">
        <v>2222</v>
      </c>
      <c r="J598" s="8" t="s">
        <v>2220</v>
      </c>
    </row>
    <row r="599" spans="7:10" ht="12.75" x14ac:dyDescent="0.2">
      <c r="G599" s="8" t="s">
        <v>395</v>
      </c>
      <c r="H599" s="8" t="s">
        <v>2223</v>
      </c>
      <c r="I599" s="8" t="s">
        <v>2224</v>
      </c>
      <c r="J599" s="8" t="s">
        <v>395</v>
      </c>
    </row>
    <row r="600" spans="7:10" ht="12.75" x14ac:dyDescent="0.2">
      <c r="G600" s="8" t="s">
        <v>2225</v>
      </c>
      <c r="H600" s="8" t="s">
        <v>2226</v>
      </c>
      <c r="I600" s="8" t="s">
        <v>2227</v>
      </c>
      <c r="J600" s="8" t="s">
        <v>2225</v>
      </c>
    </row>
    <row r="601" spans="7:10" ht="12.75" x14ac:dyDescent="0.2">
      <c r="G601" s="8" t="s">
        <v>2228</v>
      </c>
      <c r="H601" s="8" t="s">
        <v>2229</v>
      </c>
      <c r="I601" s="8" t="s">
        <v>2230</v>
      </c>
      <c r="J601" s="8" t="s">
        <v>2228</v>
      </c>
    </row>
    <row r="602" spans="7:10" ht="12.75" x14ac:dyDescent="0.2">
      <c r="G602" s="8" t="s">
        <v>396</v>
      </c>
      <c r="H602" s="8" t="s">
        <v>2231</v>
      </c>
      <c r="I602" s="8" t="s">
        <v>2232</v>
      </c>
      <c r="J602" s="8" t="s">
        <v>396</v>
      </c>
    </row>
    <row r="603" spans="7:10" ht="12.75" x14ac:dyDescent="0.2">
      <c r="G603" s="8" t="s">
        <v>2233</v>
      </c>
      <c r="H603" s="8" t="s">
        <v>2234</v>
      </c>
      <c r="I603" s="8" t="s">
        <v>2235</v>
      </c>
      <c r="J603" s="8" t="s">
        <v>2233</v>
      </c>
    </row>
    <row r="604" spans="7:10" ht="12.75" x14ac:dyDescent="0.2">
      <c r="G604" s="8" t="s">
        <v>2236</v>
      </c>
      <c r="H604" s="8" t="s">
        <v>2237</v>
      </c>
      <c r="I604" s="8" t="s">
        <v>2238</v>
      </c>
      <c r="J604" s="8" t="s">
        <v>2236</v>
      </c>
    </row>
    <row r="605" spans="7:10" ht="12.75" x14ac:dyDescent="0.2">
      <c r="G605" s="8" t="s">
        <v>397</v>
      </c>
      <c r="H605" s="8" t="s">
        <v>2239</v>
      </c>
      <c r="I605" s="8" t="s">
        <v>2240</v>
      </c>
      <c r="J605" s="8" t="s">
        <v>397</v>
      </c>
    </row>
    <row r="606" spans="7:10" ht="12.75" x14ac:dyDescent="0.2">
      <c r="G606" s="8" t="s">
        <v>152</v>
      </c>
      <c r="H606" s="8" t="s">
        <v>2241</v>
      </c>
      <c r="I606" s="8" t="s">
        <v>827</v>
      </c>
      <c r="J606" s="8" t="s">
        <v>152</v>
      </c>
    </row>
    <row r="607" spans="7:10" ht="12.75" x14ac:dyDescent="0.2">
      <c r="G607" s="8" t="s">
        <v>2242</v>
      </c>
      <c r="H607" s="8" t="s">
        <v>2243</v>
      </c>
      <c r="I607" s="8" t="s">
        <v>2244</v>
      </c>
      <c r="J607" s="8" t="s">
        <v>2242</v>
      </c>
    </row>
    <row r="608" spans="7:10" ht="12.75" x14ac:dyDescent="0.2">
      <c r="G608" s="8" t="s">
        <v>2245</v>
      </c>
      <c r="H608" s="8" t="s">
        <v>2246</v>
      </c>
      <c r="I608" s="8" t="s">
        <v>2247</v>
      </c>
      <c r="J608" s="8" t="s">
        <v>2245</v>
      </c>
    </row>
    <row r="609" spans="7:10" ht="12.75" x14ac:dyDescent="0.2">
      <c r="G609" s="8" t="s">
        <v>2248</v>
      </c>
      <c r="H609" s="8" t="s">
        <v>2249</v>
      </c>
      <c r="I609" s="8" t="s">
        <v>2250</v>
      </c>
      <c r="J609" s="8" t="s">
        <v>2248</v>
      </c>
    </row>
    <row r="610" spans="7:10" ht="12.75" x14ac:dyDescent="0.2">
      <c r="G610" s="8" t="s">
        <v>153</v>
      </c>
      <c r="H610" s="8" t="s">
        <v>2251</v>
      </c>
      <c r="I610" s="8" t="s">
        <v>831</v>
      </c>
      <c r="J610" s="8" t="s">
        <v>153</v>
      </c>
    </row>
    <row r="611" spans="7:10" ht="12.75" x14ac:dyDescent="0.2">
      <c r="G611" s="8" t="s">
        <v>2252</v>
      </c>
      <c r="H611" s="8" t="s">
        <v>2253</v>
      </c>
      <c r="I611" s="8" t="s">
        <v>2254</v>
      </c>
      <c r="J611" s="8" t="s">
        <v>2252</v>
      </c>
    </row>
    <row r="612" spans="7:10" ht="12.75" x14ac:dyDescent="0.2">
      <c r="G612" s="8" t="s">
        <v>2255</v>
      </c>
      <c r="H612" s="8" t="s">
        <v>2256</v>
      </c>
      <c r="I612" s="8" t="s">
        <v>2257</v>
      </c>
      <c r="J612" s="8" t="s">
        <v>2255</v>
      </c>
    </row>
    <row r="613" spans="7:10" ht="12.75" x14ac:dyDescent="0.2">
      <c r="G613" s="8" t="s">
        <v>2258</v>
      </c>
      <c r="H613" s="8" t="s">
        <v>2259</v>
      </c>
      <c r="I613" s="8" t="s">
        <v>2260</v>
      </c>
      <c r="J613" s="8" t="s">
        <v>2258</v>
      </c>
    </row>
    <row r="614" spans="7:10" ht="12.75" x14ac:dyDescent="0.2">
      <c r="G614" s="8" t="s">
        <v>154</v>
      </c>
      <c r="H614" s="8" t="s">
        <v>2261</v>
      </c>
      <c r="I614" s="8" t="s">
        <v>2262</v>
      </c>
      <c r="J614" s="8" t="s">
        <v>154</v>
      </c>
    </row>
    <row r="615" spans="7:10" ht="12.75" x14ac:dyDescent="0.2">
      <c r="G615" s="8" t="s">
        <v>2263</v>
      </c>
      <c r="H615" s="8" t="s">
        <v>2264</v>
      </c>
      <c r="I615" s="8" t="s">
        <v>2265</v>
      </c>
      <c r="J615" s="8" t="s">
        <v>2263</v>
      </c>
    </row>
    <row r="616" spans="7:10" ht="12.75" x14ac:dyDescent="0.2">
      <c r="G616" s="8" t="s">
        <v>2266</v>
      </c>
      <c r="H616" s="8" t="s">
        <v>2267</v>
      </c>
      <c r="I616" s="8" t="s">
        <v>2268</v>
      </c>
      <c r="J616" s="8" t="s">
        <v>2266</v>
      </c>
    </row>
    <row r="617" spans="7:10" ht="12.75" x14ac:dyDescent="0.2">
      <c r="G617" s="8" t="s">
        <v>2269</v>
      </c>
      <c r="H617" s="8" t="s">
        <v>2270</v>
      </c>
      <c r="I617" s="8" t="s">
        <v>2271</v>
      </c>
      <c r="J617" s="8" t="s">
        <v>2269</v>
      </c>
    </row>
    <row r="618" spans="7:10" ht="12.75" x14ac:dyDescent="0.2">
      <c r="G618" s="8" t="s">
        <v>2272</v>
      </c>
      <c r="H618" s="8" t="s">
        <v>2273</v>
      </c>
      <c r="I618" s="8" t="s">
        <v>2274</v>
      </c>
      <c r="J618" s="8" t="s">
        <v>2272</v>
      </c>
    </row>
    <row r="619" spans="7:10" ht="12.75" x14ac:dyDescent="0.2">
      <c r="G619" s="8" t="s">
        <v>2275</v>
      </c>
      <c r="H619" s="8" t="s">
        <v>2276</v>
      </c>
      <c r="I619" s="8" t="s">
        <v>2277</v>
      </c>
      <c r="J619" s="8" t="s">
        <v>2275</v>
      </c>
    </row>
    <row r="620" spans="7:10" ht="12.75" x14ac:dyDescent="0.2">
      <c r="G620" s="8" t="s">
        <v>2278</v>
      </c>
      <c r="H620" s="8" t="s">
        <v>2279</v>
      </c>
      <c r="I620" s="8" t="s">
        <v>2280</v>
      </c>
      <c r="J620" s="8" t="s">
        <v>2278</v>
      </c>
    </row>
    <row r="621" spans="7:10" ht="12.75" x14ac:dyDescent="0.2">
      <c r="G621" s="8" t="s">
        <v>2281</v>
      </c>
      <c r="H621" s="8" t="s">
        <v>2282</v>
      </c>
      <c r="I621" s="8" t="s">
        <v>2283</v>
      </c>
      <c r="J621" s="8" t="s">
        <v>2281</v>
      </c>
    </row>
    <row r="622" spans="7:10" ht="12.75" x14ac:dyDescent="0.2">
      <c r="G622" s="8" t="s">
        <v>155</v>
      </c>
      <c r="H622" s="8" t="s">
        <v>2284</v>
      </c>
      <c r="I622" s="8" t="s">
        <v>2285</v>
      </c>
      <c r="J622" s="8" t="s">
        <v>155</v>
      </c>
    </row>
    <row r="623" spans="7:10" ht="12.75" x14ac:dyDescent="0.2">
      <c r="G623" s="8" t="s">
        <v>2286</v>
      </c>
      <c r="H623" s="8" t="s">
        <v>2287</v>
      </c>
      <c r="I623" s="8" t="s">
        <v>2288</v>
      </c>
      <c r="J623" s="8" t="s">
        <v>2286</v>
      </c>
    </row>
    <row r="624" spans="7:10" ht="12.75" x14ac:dyDescent="0.2">
      <c r="G624" s="8" t="s">
        <v>2289</v>
      </c>
      <c r="H624" s="8" t="s">
        <v>2290</v>
      </c>
      <c r="I624" s="8" t="s">
        <v>2291</v>
      </c>
      <c r="J624" s="8" t="s">
        <v>2289</v>
      </c>
    </row>
    <row r="625" spans="7:10" ht="12.75" x14ac:dyDescent="0.2">
      <c r="G625" s="8" t="s">
        <v>2292</v>
      </c>
      <c r="H625" s="8" t="s">
        <v>2293</v>
      </c>
      <c r="I625" s="8" t="s">
        <v>2294</v>
      </c>
      <c r="J625" s="8" t="s">
        <v>2292</v>
      </c>
    </row>
    <row r="626" spans="7:10" ht="12.75" x14ac:dyDescent="0.2">
      <c r="G626" s="8" t="s">
        <v>156</v>
      </c>
      <c r="H626" s="8" t="s">
        <v>2295</v>
      </c>
      <c r="I626" s="8" t="s">
        <v>834</v>
      </c>
      <c r="J626" s="8" t="s">
        <v>156</v>
      </c>
    </row>
    <row r="627" spans="7:10" ht="12.75" x14ac:dyDescent="0.2">
      <c r="G627" s="8" t="s">
        <v>2296</v>
      </c>
      <c r="H627" s="8" t="s">
        <v>2297</v>
      </c>
      <c r="I627" s="8" t="s">
        <v>2298</v>
      </c>
      <c r="J627" s="8" t="s">
        <v>2296</v>
      </c>
    </row>
    <row r="628" spans="7:10" ht="12.75" x14ac:dyDescent="0.2">
      <c r="G628" s="8" t="s">
        <v>2299</v>
      </c>
      <c r="H628" s="8" t="s">
        <v>2300</v>
      </c>
      <c r="I628" s="8" t="s">
        <v>2301</v>
      </c>
      <c r="J628" s="8" t="s">
        <v>2299</v>
      </c>
    </row>
    <row r="629" spans="7:10" ht="12.75" x14ac:dyDescent="0.2">
      <c r="G629" s="8" t="s">
        <v>2302</v>
      </c>
      <c r="H629" s="8" t="s">
        <v>2303</v>
      </c>
      <c r="I629" s="8" t="s">
        <v>2304</v>
      </c>
      <c r="J629" s="8" t="s">
        <v>2302</v>
      </c>
    </row>
    <row r="630" spans="7:10" ht="12.75" x14ac:dyDescent="0.2">
      <c r="G630" s="8" t="s">
        <v>2305</v>
      </c>
      <c r="H630" s="8" t="s">
        <v>2306</v>
      </c>
      <c r="I630" s="8" t="s">
        <v>2307</v>
      </c>
      <c r="J630" s="8" t="s">
        <v>2305</v>
      </c>
    </row>
    <row r="631" spans="7:10" ht="12.75" x14ac:dyDescent="0.2">
      <c r="G631" s="8" t="s">
        <v>157</v>
      </c>
      <c r="H631" s="8" t="s">
        <v>2308</v>
      </c>
      <c r="I631" s="8" t="s">
        <v>2309</v>
      </c>
      <c r="J631" s="8" t="s">
        <v>157</v>
      </c>
    </row>
    <row r="632" spans="7:10" ht="12.75" x14ac:dyDescent="0.2">
      <c r="G632" s="8" t="s">
        <v>2310</v>
      </c>
      <c r="H632" s="8" t="s">
        <v>2311</v>
      </c>
      <c r="I632" s="8" t="s">
        <v>2312</v>
      </c>
      <c r="J632" s="8" t="s">
        <v>2310</v>
      </c>
    </row>
    <row r="633" spans="7:10" ht="12.75" x14ac:dyDescent="0.2">
      <c r="G633" s="8" t="s">
        <v>2313</v>
      </c>
      <c r="H633" s="8" t="s">
        <v>2314</v>
      </c>
      <c r="I633" s="8" t="s">
        <v>2315</v>
      </c>
      <c r="J633" s="8" t="s">
        <v>2313</v>
      </c>
    </row>
    <row r="634" spans="7:10" ht="12.75" x14ac:dyDescent="0.2">
      <c r="G634" s="8" t="s">
        <v>2316</v>
      </c>
      <c r="H634" s="8" t="s">
        <v>2317</v>
      </c>
      <c r="I634" s="8" t="s">
        <v>2318</v>
      </c>
      <c r="J634" s="8" t="s">
        <v>2316</v>
      </c>
    </row>
    <row r="635" spans="7:10" ht="12.75" x14ac:dyDescent="0.2">
      <c r="G635" s="8" t="s">
        <v>2319</v>
      </c>
      <c r="H635" s="8" t="s">
        <v>2320</v>
      </c>
      <c r="I635" s="8" t="s">
        <v>2321</v>
      </c>
      <c r="J635" s="8" t="s">
        <v>2319</v>
      </c>
    </row>
    <row r="636" spans="7:10" ht="12.75" x14ac:dyDescent="0.2">
      <c r="G636" s="8" t="s">
        <v>2322</v>
      </c>
      <c r="H636" s="8" t="s">
        <v>2323</v>
      </c>
      <c r="I636" s="8" t="s">
        <v>2324</v>
      </c>
      <c r="J636" s="8" t="s">
        <v>2322</v>
      </c>
    </row>
    <row r="637" spans="7:10" ht="12.75" x14ac:dyDescent="0.2">
      <c r="G637" s="8" t="s">
        <v>2325</v>
      </c>
      <c r="H637" s="8" t="s">
        <v>2326</v>
      </c>
      <c r="I637" s="8" t="s">
        <v>2327</v>
      </c>
      <c r="J637" s="8" t="s">
        <v>2325</v>
      </c>
    </row>
    <row r="638" spans="7:10" ht="12.75" x14ac:dyDescent="0.2">
      <c r="G638" s="8" t="s">
        <v>2328</v>
      </c>
      <c r="H638" s="8" t="s">
        <v>2329</v>
      </c>
      <c r="I638" s="8" t="s">
        <v>2330</v>
      </c>
      <c r="J638" s="8" t="s">
        <v>2328</v>
      </c>
    </row>
    <row r="639" spans="7:10" ht="12.75" x14ac:dyDescent="0.2">
      <c r="G639" s="8" t="s">
        <v>2331</v>
      </c>
      <c r="H639" s="8" t="s">
        <v>2332</v>
      </c>
      <c r="I639" s="8" t="s">
        <v>2333</v>
      </c>
      <c r="J639" s="8" t="s">
        <v>2331</v>
      </c>
    </row>
    <row r="640" spans="7:10" ht="12.75" x14ac:dyDescent="0.2">
      <c r="G640" s="8" t="s">
        <v>158</v>
      </c>
      <c r="H640" s="8" t="s">
        <v>2334</v>
      </c>
      <c r="I640" s="8" t="s">
        <v>2335</v>
      </c>
      <c r="J640" s="8" t="s">
        <v>158</v>
      </c>
    </row>
    <row r="641" spans="7:10" ht="12.75" x14ac:dyDescent="0.2">
      <c r="G641" s="8" t="s">
        <v>2336</v>
      </c>
      <c r="H641" s="8" t="s">
        <v>2337</v>
      </c>
      <c r="I641" s="8" t="s">
        <v>2338</v>
      </c>
      <c r="J641" s="8" t="s">
        <v>2336</v>
      </c>
    </row>
    <row r="642" spans="7:10" ht="12.75" x14ac:dyDescent="0.2">
      <c r="G642" s="8" t="s">
        <v>2339</v>
      </c>
      <c r="H642" s="8" t="s">
        <v>2340</v>
      </c>
      <c r="I642" s="8" t="s">
        <v>2341</v>
      </c>
      <c r="J642" s="8" t="s">
        <v>2339</v>
      </c>
    </row>
    <row r="643" spans="7:10" ht="12.75" x14ac:dyDescent="0.2">
      <c r="G643" s="8" t="s">
        <v>2342</v>
      </c>
      <c r="H643" s="8" t="s">
        <v>2343</v>
      </c>
      <c r="I643" s="8" t="s">
        <v>2344</v>
      </c>
      <c r="J643" s="8" t="s">
        <v>2342</v>
      </c>
    </row>
    <row r="644" spans="7:10" ht="12.75" x14ac:dyDescent="0.2">
      <c r="G644" s="8" t="s">
        <v>2345</v>
      </c>
      <c r="H644" s="8" t="s">
        <v>2346</v>
      </c>
      <c r="I644" s="8" t="s">
        <v>2347</v>
      </c>
      <c r="J644" s="8" t="s">
        <v>2345</v>
      </c>
    </row>
    <row r="645" spans="7:10" ht="12.75" x14ac:dyDescent="0.2">
      <c r="G645" s="8" t="s">
        <v>2348</v>
      </c>
      <c r="H645" s="8" t="s">
        <v>2349</v>
      </c>
      <c r="I645" s="8" t="s">
        <v>2350</v>
      </c>
      <c r="J645" s="8" t="s">
        <v>2348</v>
      </c>
    </row>
    <row r="646" spans="7:10" ht="12.75" x14ac:dyDescent="0.2">
      <c r="G646" s="8" t="s">
        <v>2351</v>
      </c>
      <c r="H646" s="8" t="s">
        <v>2352</v>
      </c>
      <c r="I646" s="8" t="s">
        <v>2353</v>
      </c>
      <c r="J646" s="8" t="s">
        <v>2351</v>
      </c>
    </row>
    <row r="647" spans="7:10" ht="12.75" x14ac:dyDescent="0.2">
      <c r="G647" s="8" t="s">
        <v>2354</v>
      </c>
      <c r="H647" s="8" t="s">
        <v>2355</v>
      </c>
      <c r="I647" s="8" t="s">
        <v>2356</v>
      </c>
      <c r="J647" s="8" t="s">
        <v>2354</v>
      </c>
    </row>
    <row r="648" spans="7:10" ht="12.75" x14ac:dyDescent="0.2">
      <c r="G648" s="8" t="s">
        <v>2357</v>
      </c>
      <c r="H648" s="8" t="s">
        <v>2358</v>
      </c>
      <c r="I648" s="8" t="s">
        <v>2359</v>
      </c>
      <c r="J648" s="8" t="s">
        <v>2357</v>
      </c>
    </row>
    <row r="649" spans="7:10" ht="12.75" x14ac:dyDescent="0.2">
      <c r="G649" s="8" t="s">
        <v>159</v>
      </c>
      <c r="H649" s="8" t="s">
        <v>2360</v>
      </c>
      <c r="I649" s="8" t="s">
        <v>2361</v>
      </c>
      <c r="J649" s="8" t="s">
        <v>159</v>
      </c>
    </row>
    <row r="650" spans="7:10" ht="12.75" x14ac:dyDescent="0.2">
      <c r="G650" s="8" t="s">
        <v>160</v>
      </c>
      <c r="H650" s="8" t="s">
        <v>2362</v>
      </c>
      <c r="I650" s="8" t="s">
        <v>838</v>
      </c>
      <c r="J650" s="8" t="s">
        <v>160</v>
      </c>
    </row>
    <row r="651" spans="7:10" ht="12.75" x14ac:dyDescent="0.2">
      <c r="G651" s="8" t="s">
        <v>161</v>
      </c>
      <c r="H651" s="8" t="s">
        <v>2363</v>
      </c>
      <c r="I651" s="8" t="s">
        <v>2364</v>
      </c>
      <c r="J651" s="8" t="s">
        <v>161</v>
      </c>
    </row>
    <row r="652" spans="7:10" ht="12.75" x14ac:dyDescent="0.2">
      <c r="G652" s="8" t="s">
        <v>2365</v>
      </c>
      <c r="H652" s="8" t="s">
        <v>2366</v>
      </c>
      <c r="I652" s="8" t="s">
        <v>2367</v>
      </c>
      <c r="J652" s="8" t="s">
        <v>2365</v>
      </c>
    </row>
    <row r="653" spans="7:10" ht="12.75" x14ac:dyDescent="0.2">
      <c r="G653" s="8" t="s">
        <v>2368</v>
      </c>
      <c r="H653" s="8" t="s">
        <v>2369</v>
      </c>
      <c r="I653" s="8" t="s">
        <v>2370</v>
      </c>
      <c r="J653" s="8" t="s">
        <v>2368</v>
      </c>
    </row>
    <row r="654" spans="7:10" ht="12.75" x14ac:dyDescent="0.2">
      <c r="G654" s="8" t="s">
        <v>2371</v>
      </c>
      <c r="H654" s="8" t="s">
        <v>2372</v>
      </c>
      <c r="I654" s="8" t="s">
        <v>2373</v>
      </c>
      <c r="J654" s="8" t="s">
        <v>2371</v>
      </c>
    </row>
    <row r="655" spans="7:10" ht="12.75" x14ac:dyDescent="0.2">
      <c r="G655" s="8" t="s">
        <v>2374</v>
      </c>
      <c r="H655" s="8" t="s">
        <v>2375</v>
      </c>
      <c r="I655" s="8" t="s">
        <v>2376</v>
      </c>
      <c r="J655" s="8" t="s">
        <v>2374</v>
      </c>
    </row>
    <row r="656" spans="7:10" ht="12.75" x14ac:dyDescent="0.2">
      <c r="G656" s="8" t="s">
        <v>162</v>
      </c>
      <c r="H656" s="8" t="s">
        <v>2377</v>
      </c>
      <c r="I656" s="8" t="s">
        <v>2378</v>
      </c>
      <c r="J656" s="8" t="s">
        <v>162</v>
      </c>
    </row>
    <row r="657" spans="7:10" ht="12.75" x14ac:dyDescent="0.2">
      <c r="G657" s="8" t="s">
        <v>2379</v>
      </c>
      <c r="H657" s="8" t="s">
        <v>2380</v>
      </c>
      <c r="I657" s="8" t="s">
        <v>2381</v>
      </c>
      <c r="J657" s="8" t="s">
        <v>2379</v>
      </c>
    </row>
    <row r="658" spans="7:10" ht="12.75" x14ac:dyDescent="0.2">
      <c r="G658" s="8" t="s">
        <v>2382</v>
      </c>
      <c r="H658" s="8" t="s">
        <v>2383</v>
      </c>
      <c r="I658" s="8" t="s">
        <v>2384</v>
      </c>
      <c r="J658" s="8" t="s">
        <v>2382</v>
      </c>
    </row>
    <row r="659" spans="7:10" ht="12.75" x14ac:dyDescent="0.2">
      <c r="G659" s="8" t="s">
        <v>2385</v>
      </c>
      <c r="H659" s="8" t="s">
        <v>2386</v>
      </c>
      <c r="I659" s="8" t="s">
        <v>2387</v>
      </c>
      <c r="J659" s="8" t="s">
        <v>2385</v>
      </c>
    </row>
    <row r="660" spans="7:10" ht="12.75" x14ac:dyDescent="0.2">
      <c r="G660" s="8" t="s">
        <v>2388</v>
      </c>
      <c r="H660" s="8" t="s">
        <v>2389</v>
      </c>
      <c r="I660" s="8" t="s">
        <v>2390</v>
      </c>
      <c r="J660" s="8" t="s">
        <v>2388</v>
      </c>
    </row>
    <row r="661" spans="7:10" ht="12.75" x14ac:dyDescent="0.2">
      <c r="G661" s="8" t="s">
        <v>2391</v>
      </c>
      <c r="H661" s="8" t="s">
        <v>2392</v>
      </c>
      <c r="I661" s="8" t="s">
        <v>2393</v>
      </c>
      <c r="J661" s="8" t="s">
        <v>2391</v>
      </c>
    </row>
    <row r="662" spans="7:10" ht="12.75" x14ac:dyDescent="0.2">
      <c r="G662" s="8" t="s">
        <v>163</v>
      </c>
      <c r="H662" s="8" t="s">
        <v>2394</v>
      </c>
      <c r="I662" s="8" t="s">
        <v>842</v>
      </c>
      <c r="J662" s="8" t="s">
        <v>163</v>
      </c>
    </row>
    <row r="663" spans="7:10" ht="12.75" x14ac:dyDescent="0.2">
      <c r="G663" s="8" t="s">
        <v>164</v>
      </c>
      <c r="H663" s="8" t="s">
        <v>2395</v>
      </c>
      <c r="I663" s="8" t="s">
        <v>2396</v>
      </c>
      <c r="J663" s="8" t="s">
        <v>164</v>
      </c>
    </row>
    <row r="664" spans="7:10" ht="12.75" x14ac:dyDescent="0.2">
      <c r="G664" s="8" t="s">
        <v>2397</v>
      </c>
      <c r="H664" s="8" t="s">
        <v>2398</v>
      </c>
      <c r="I664" s="8" t="s">
        <v>2399</v>
      </c>
      <c r="J664" s="8" t="s">
        <v>2397</v>
      </c>
    </row>
    <row r="665" spans="7:10" ht="12.75" x14ac:dyDescent="0.2">
      <c r="G665" s="8" t="s">
        <v>2400</v>
      </c>
      <c r="H665" s="8" t="s">
        <v>2401</v>
      </c>
      <c r="I665" s="8" t="s">
        <v>2402</v>
      </c>
      <c r="J665" s="8" t="s">
        <v>2400</v>
      </c>
    </row>
    <row r="666" spans="7:10" ht="12.75" x14ac:dyDescent="0.2">
      <c r="G666" s="8" t="s">
        <v>2403</v>
      </c>
      <c r="H666" s="8" t="s">
        <v>2404</v>
      </c>
      <c r="I666" s="8" t="s">
        <v>2405</v>
      </c>
      <c r="J666" s="8" t="s">
        <v>2403</v>
      </c>
    </row>
    <row r="667" spans="7:10" ht="12.75" x14ac:dyDescent="0.2">
      <c r="G667" s="8" t="s">
        <v>2406</v>
      </c>
      <c r="H667" s="8" t="s">
        <v>2407</v>
      </c>
      <c r="I667" s="8" t="s">
        <v>2408</v>
      </c>
      <c r="J667" s="8" t="s">
        <v>2406</v>
      </c>
    </row>
    <row r="668" spans="7:10" ht="12.75" x14ac:dyDescent="0.2">
      <c r="G668" s="8" t="s">
        <v>2409</v>
      </c>
      <c r="H668" s="8" t="s">
        <v>2410</v>
      </c>
      <c r="I668" s="8" t="s">
        <v>2411</v>
      </c>
      <c r="J668" s="8" t="s">
        <v>2409</v>
      </c>
    </row>
    <row r="669" spans="7:10" ht="12.75" x14ac:dyDescent="0.2">
      <c r="G669" s="8" t="s">
        <v>2412</v>
      </c>
      <c r="H669" s="8" t="s">
        <v>2413</v>
      </c>
      <c r="I669" s="8" t="s">
        <v>2414</v>
      </c>
      <c r="J669" s="8" t="s">
        <v>2412</v>
      </c>
    </row>
    <row r="670" spans="7:10" ht="12.75" x14ac:dyDescent="0.2">
      <c r="G670" s="8" t="s">
        <v>2415</v>
      </c>
      <c r="H670" s="8" t="s">
        <v>2416</v>
      </c>
      <c r="I670" s="8" t="s">
        <v>2417</v>
      </c>
      <c r="J670" s="8" t="s">
        <v>2415</v>
      </c>
    </row>
    <row r="671" spans="7:10" ht="12.75" x14ac:dyDescent="0.2">
      <c r="G671" s="8" t="s">
        <v>2418</v>
      </c>
      <c r="H671" s="8" t="s">
        <v>2419</v>
      </c>
      <c r="I671" s="8" t="s">
        <v>2420</v>
      </c>
      <c r="J671" s="8" t="s">
        <v>2418</v>
      </c>
    </row>
    <row r="672" spans="7:10" ht="12.75" x14ac:dyDescent="0.2">
      <c r="G672" s="8" t="s">
        <v>2421</v>
      </c>
      <c r="H672" s="8" t="s">
        <v>2422</v>
      </c>
      <c r="I672" s="8" t="s">
        <v>2423</v>
      </c>
      <c r="J672" s="8" t="s">
        <v>2421</v>
      </c>
    </row>
    <row r="673" spans="7:10" ht="12.75" x14ac:dyDescent="0.2">
      <c r="G673" s="8" t="s">
        <v>2424</v>
      </c>
      <c r="H673" s="8" t="s">
        <v>2425</v>
      </c>
      <c r="I673" s="8" t="s">
        <v>2426</v>
      </c>
      <c r="J673" s="8" t="s">
        <v>2424</v>
      </c>
    </row>
    <row r="674" spans="7:10" ht="12.75" x14ac:dyDescent="0.2">
      <c r="G674" s="8" t="s">
        <v>165</v>
      </c>
      <c r="H674" s="8" t="s">
        <v>2427</v>
      </c>
      <c r="I674" s="8" t="s">
        <v>2428</v>
      </c>
      <c r="J674" s="8" t="s">
        <v>165</v>
      </c>
    </row>
    <row r="675" spans="7:10" ht="12.75" x14ac:dyDescent="0.2">
      <c r="G675" s="8" t="s">
        <v>2429</v>
      </c>
      <c r="H675" s="8" t="s">
        <v>2430</v>
      </c>
      <c r="I675" s="8" t="s">
        <v>2431</v>
      </c>
      <c r="J675" s="8" t="s">
        <v>2429</v>
      </c>
    </row>
    <row r="676" spans="7:10" ht="12.75" x14ac:dyDescent="0.2">
      <c r="G676" s="8" t="s">
        <v>166</v>
      </c>
      <c r="H676" s="8" t="s">
        <v>2432</v>
      </c>
      <c r="I676" s="8" t="s">
        <v>845</v>
      </c>
      <c r="J676" s="8" t="s">
        <v>166</v>
      </c>
    </row>
    <row r="677" spans="7:10" ht="12.75" x14ac:dyDescent="0.2">
      <c r="G677" s="8" t="s">
        <v>2433</v>
      </c>
      <c r="H677" s="8" t="s">
        <v>2434</v>
      </c>
      <c r="I677" s="8" t="s">
        <v>2435</v>
      </c>
      <c r="J677" s="8" t="s">
        <v>2433</v>
      </c>
    </row>
    <row r="678" spans="7:10" ht="12.75" x14ac:dyDescent="0.2">
      <c r="G678" s="8" t="s">
        <v>2436</v>
      </c>
      <c r="H678" s="8" t="s">
        <v>2437</v>
      </c>
      <c r="I678" s="8" t="s">
        <v>2438</v>
      </c>
      <c r="J678" s="8" t="s">
        <v>2436</v>
      </c>
    </row>
    <row r="679" spans="7:10" ht="12.75" x14ac:dyDescent="0.2">
      <c r="G679" s="8" t="s">
        <v>2439</v>
      </c>
      <c r="H679" s="8" t="s">
        <v>2440</v>
      </c>
      <c r="I679" s="8" t="s">
        <v>2441</v>
      </c>
      <c r="J679" s="8" t="s">
        <v>2439</v>
      </c>
    </row>
    <row r="680" spans="7:10" ht="12.75" x14ac:dyDescent="0.2">
      <c r="G680" s="8" t="s">
        <v>2442</v>
      </c>
      <c r="H680" s="8" t="s">
        <v>2443</v>
      </c>
      <c r="I680" s="8" t="s">
        <v>2444</v>
      </c>
      <c r="J680" s="8" t="s">
        <v>2442</v>
      </c>
    </row>
    <row r="681" spans="7:10" ht="12.75" x14ac:dyDescent="0.2">
      <c r="G681" s="8" t="s">
        <v>2445</v>
      </c>
      <c r="H681" s="8" t="s">
        <v>2446</v>
      </c>
      <c r="I681" s="8" t="s">
        <v>2447</v>
      </c>
      <c r="J681" s="8" t="s">
        <v>2445</v>
      </c>
    </row>
    <row r="682" spans="7:10" ht="12.75" x14ac:dyDescent="0.2">
      <c r="G682" s="8" t="s">
        <v>167</v>
      </c>
      <c r="H682" s="8" t="s">
        <v>2448</v>
      </c>
      <c r="I682" s="8" t="s">
        <v>2449</v>
      </c>
      <c r="J682" s="8" t="s">
        <v>167</v>
      </c>
    </row>
    <row r="683" spans="7:10" ht="12.75" x14ac:dyDescent="0.2">
      <c r="G683" s="8" t="s">
        <v>2450</v>
      </c>
      <c r="H683" s="8" t="s">
        <v>2451</v>
      </c>
      <c r="I683" s="8" t="s">
        <v>2452</v>
      </c>
      <c r="J683" s="8" t="s">
        <v>2450</v>
      </c>
    </row>
    <row r="684" spans="7:10" ht="12.75" x14ac:dyDescent="0.2">
      <c r="G684" s="8" t="s">
        <v>2453</v>
      </c>
      <c r="H684" s="8" t="s">
        <v>2454</v>
      </c>
      <c r="I684" s="8" t="s">
        <v>2455</v>
      </c>
      <c r="J684" s="8" t="s">
        <v>2453</v>
      </c>
    </row>
    <row r="685" spans="7:10" ht="12.75" x14ac:dyDescent="0.2">
      <c r="G685" s="8" t="s">
        <v>2456</v>
      </c>
      <c r="H685" s="8" t="s">
        <v>2457</v>
      </c>
      <c r="I685" s="8" t="s">
        <v>2458</v>
      </c>
      <c r="J685" s="8" t="s">
        <v>2456</v>
      </c>
    </row>
    <row r="686" spans="7:10" ht="12.75" x14ac:dyDescent="0.2">
      <c r="G686" s="8" t="s">
        <v>2459</v>
      </c>
      <c r="H686" s="8" t="s">
        <v>2460</v>
      </c>
      <c r="I686" s="8" t="s">
        <v>2461</v>
      </c>
      <c r="J686" s="8" t="s">
        <v>2459</v>
      </c>
    </row>
    <row r="687" spans="7:10" ht="12.75" x14ac:dyDescent="0.2">
      <c r="G687" s="8" t="s">
        <v>2462</v>
      </c>
      <c r="H687" s="8" t="s">
        <v>2463</v>
      </c>
      <c r="I687" s="8" t="s">
        <v>2464</v>
      </c>
      <c r="J687" s="8" t="s">
        <v>2462</v>
      </c>
    </row>
    <row r="688" spans="7:10" ht="12.75" x14ac:dyDescent="0.2">
      <c r="G688" s="8" t="s">
        <v>2465</v>
      </c>
      <c r="H688" s="8" t="s">
        <v>2466</v>
      </c>
      <c r="I688" s="8" t="s">
        <v>2467</v>
      </c>
      <c r="J688" s="8" t="s">
        <v>2465</v>
      </c>
    </row>
    <row r="689" spans="7:10" ht="12.75" x14ac:dyDescent="0.2">
      <c r="G689" s="8" t="s">
        <v>2468</v>
      </c>
      <c r="H689" s="8" t="s">
        <v>2469</v>
      </c>
      <c r="I689" s="8" t="s">
        <v>2470</v>
      </c>
      <c r="J689" s="8" t="s">
        <v>2468</v>
      </c>
    </row>
    <row r="690" spans="7:10" ht="12.75" x14ac:dyDescent="0.2">
      <c r="G690" s="8" t="s">
        <v>2471</v>
      </c>
      <c r="H690" s="8" t="s">
        <v>2472</v>
      </c>
      <c r="I690" s="8" t="s">
        <v>2473</v>
      </c>
      <c r="J690" s="8" t="s">
        <v>2471</v>
      </c>
    </row>
    <row r="691" spans="7:10" ht="12.75" x14ac:dyDescent="0.2">
      <c r="G691" s="8" t="s">
        <v>2474</v>
      </c>
      <c r="H691" s="8" t="s">
        <v>2475</v>
      </c>
      <c r="I691" s="8" t="s">
        <v>2476</v>
      </c>
      <c r="J691" s="8" t="s">
        <v>2474</v>
      </c>
    </row>
    <row r="692" spans="7:10" ht="12.75" x14ac:dyDescent="0.2">
      <c r="G692" s="8" t="s">
        <v>2477</v>
      </c>
      <c r="H692" s="8" t="s">
        <v>2478</v>
      </c>
      <c r="I692" s="8" t="s">
        <v>2479</v>
      </c>
      <c r="J692" s="8" t="s">
        <v>2477</v>
      </c>
    </row>
    <row r="693" spans="7:10" ht="12.75" x14ac:dyDescent="0.2">
      <c r="G693" s="8" t="s">
        <v>2480</v>
      </c>
      <c r="H693" s="8" t="s">
        <v>2481</v>
      </c>
      <c r="I693" s="8" t="s">
        <v>2482</v>
      </c>
      <c r="J693" s="8" t="s">
        <v>2480</v>
      </c>
    </row>
    <row r="694" spans="7:10" ht="12.75" x14ac:dyDescent="0.2">
      <c r="G694" s="8" t="s">
        <v>2483</v>
      </c>
      <c r="H694" s="8" t="s">
        <v>2484</v>
      </c>
      <c r="I694" s="8" t="s">
        <v>2485</v>
      </c>
      <c r="J694" s="8" t="s">
        <v>2483</v>
      </c>
    </row>
    <row r="695" spans="7:10" ht="12.75" x14ac:dyDescent="0.2">
      <c r="G695" s="8" t="s">
        <v>2486</v>
      </c>
      <c r="H695" s="8" t="s">
        <v>2487</v>
      </c>
      <c r="I695" s="8" t="s">
        <v>2488</v>
      </c>
      <c r="J695" s="8" t="s">
        <v>2486</v>
      </c>
    </row>
    <row r="696" spans="7:10" ht="12.75" x14ac:dyDescent="0.2">
      <c r="G696" s="8" t="s">
        <v>2489</v>
      </c>
      <c r="H696" s="8" t="s">
        <v>2490</v>
      </c>
      <c r="I696" s="8" t="s">
        <v>2491</v>
      </c>
      <c r="J696" s="8" t="s">
        <v>2489</v>
      </c>
    </row>
    <row r="697" spans="7:10" ht="12.75" x14ac:dyDescent="0.2">
      <c r="G697" s="8" t="s">
        <v>2492</v>
      </c>
      <c r="H697" s="8" t="s">
        <v>2493</v>
      </c>
      <c r="I697" s="8" t="s">
        <v>2494</v>
      </c>
      <c r="J697" s="8" t="s">
        <v>2492</v>
      </c>
    </row>
    <row r="698" spans="7:10" ht="12.75" x14ac:dyDescent="0.2">
      <c r="G698" s="8" t="s">
        <v>2495</v>
      </c>
      <c r="H698" s="8" t="s">
        <v>2496</v>
      </c>
      <c r="I698" s="8" t="s">
        <v>2497</v>
      </c>
      <c r="J698" s="8" t="s">
        <v>2495</v>
      </c>
    </row>
    <row r="699" spans="7:10" ht="12.75" x14ac:dyDescent="0.2">
      <c r="G699" s="8" t="s">
        <v>2498</v>
      </c>
      <c r="H699" s="8" t="s">
        <v>2499</v>
      </c>
      <c r="I699" s="8" t="s">
        <v>2500</v>
      </c>
      <c r="J699" s="8" t="s">
        <v>2498</v>
      </c>
    </row>
    <row r="700" spans="7:10" ht="12.75" x14ac:dyDescent="0.2">
      <c r="G700" s="8" t="s">
        <v>2501</v>
      </c>
      <c r="H700" s="8" t="s">
        <v>2502</v>
      </c>
      <c r="I700" s="8" t="s">
        <v>2503</v>
      </c>
      <c r="J700" s="8" t="s">
        <v>2501</v>
      </c>
    </row>
    <row r="701" spans="7:10" ht="12.75" x14ac:dyDescent="0.2">
      <c r="G701" s="8" t="s">
        <v>2504</v>
      </c>
      <c r="H701" s="8" t="s">
        <v>2505</v>
      </c>
      <c r="I701" s="8" t="s">
        <v>2506</v>
      </c>
      <c r="J701" s="8" t="s">
        <v>2504</v>
      </c>
    </row>
    <row r="702" spans="7:10" ht="12.75" x14ac:dyDescent="0.2">
      <c r="G702" s="8" t="s">
        <v>2507</v>
      </c>
      <c r="H702" s="8" t="s">
        <v>2508</v>
      </c>
      <c r="I702" s="8" t="s">
        <v>2509</v>
      </c>
      <c r="J702" s="8" t="s">
        <v>2507</v>
      </c>
    </row>
    <row r="703" spans="7:10" ht="12.75" x14ac:dyDescent="0.2">
      <c r="G703" s="8" t="s">
        <v>2510</v>
      </c>
      <c r="H703" s="8" t="s">
        <v>2511</v>
      </c>
      <c r="I703" s="8" t="s">
        <v>2512</v>
      </c>
      <c r="J703" s="8" t="s">
        <v>2510</v>
      </c>
    </row>
    <row r="704" spans="7:10" ht="12.75" x14ac:dyDescent="0.2">
      <c r="G704" s="8" t="s">
        <v>2513</v>
      </c>
      <c r="H704" s="8" t="s">
        <v>2514</v>
      </c>
      <c r="I704" s="8" t="s">
        <v>2515</v>
      </c>
      <c r="J704" s="8" t="s">
        <v>2513</v>
      </c>
    </row>
    <row r="705" spans="7:10" ht="12.75" x14ac:dyDescent="0.2">
      <c r="G705" s="8" t="s">
        <v>2516</v>
      </c>
      <c r="H705" s="8" t="s">
        <v>2517</v>
      </c>
      <c r="I705" s="8" t="s">
        <v>2518</v>
      </c>
      <c r="J705" s="8" t="s">
        <v>2516</v>
      </c>
    </row>
    <row r="706" spans="7:10" ht="12.75" x14ac:dyDescent="0.2">
      <c r="G706" s="8" t="s">
        <v>2519</v>
      </c>
      <c r="H706" s="8" t="s">
        <v>2520</v>
      </c>
      <c r="I706" s="8" t="s">
        <v>2521</v>
      </c>
      <c r="J706" s="8" t="s">
        <v>2519</v>
      </c>
    </row>
    <row r="707" spans="7:10" ht="12.75" x14ac:dyDescent="0.2">
      <c r="G707" s="8" t="s">
        <v>168</v>
      </c>
      <c r="H707" s="8" t="s">
        <v>2522</v>
      </c>
      <c r="I707" s="8" t="s">
        <v>2523</v>
      </c>
      <c r="J707" s="8" t="s">
        <v>168</v>
      </c>
    </row>
    <row r="708" spans="7:10" ht="12.75" x14ac:dyDescent="0.2">
      <c r="G708" s="8" t="s">
        <v>2524</v>
      </c>
      <c r="H708" s="8" t="s">
        <v>2525</v>
      </c>
      <c r="I708" s="8" t="s">
        <v>2526</v>
      </c>
      <c r="J708" s="8" t="s">
        <v>2524</v>
      </c>
    </row>
    <row r="709" spans="7:10" ht="12.75" x14ac:dyDescent="0.2">
      <c r="G709" s="8" t="s">
        <v>2527</v>
      </c>
      <c r="H709" s="8" t="s">
        <v>2528</v>
      </c>
      <c r="I709" s="8" t="s">
        <v>2529</v>
      </c>
      <c r="J709" s="8" t="s">
        <v>2527</v>
      </c>
    </row>
    <row r="710" spans="7:10" ht="12.75" x14ac:dyDescent="0.2">
      <c r="G710" s="8" t="s">
        <v>2530</v>
      </c>
      <c r="H710" s="8" t="s">
        <v>2531</v>
      </c>
      <c r="I710" s="8" t="s">
        <v>2532</v>
      </c>
      <c r="J710" s="8" t="s">
        <v>2530</v>
      </c>
    </row>
    <row r="711" spans="7:10" ht="12.75" x14ac:dyDescent="0.2">
      <c r="G711" s="8" t="s">
        <v>2533</v>
      </c>
      <c r="H711" s="8" t="s">
        <v>2534</v>
      </c>
      <c r="I711" s="8" t="s">
        <v>2535</v>
      </c>
      <c r="J711" s="8" t="s">
        <v>2533</v>
      </c>
    </row>
    <row r="712" spans="7:10" ht="12.75" x14ac:dyDescent="0.2">
      <c r="G712" s="8" t="s">
        <v>2536</v>
      </c>
      <c r="H712" s="8" t="s">
        <v>2537</v>
      </c>
      <c r="I712" s="8" t="s">
        <v>2538</v>
      </c>
      <c r="J712" s="8" t="s">
        <v>2536</v>
      </c>
    </row>
    <row r="713" spans="7:10" ht="12.75" x14ac:dyDescent="0.2">
      <c r="G713" s="8" t="s">
        <v>2539</v>
      </c>
      <c r="H713" s="8" t="s">
        <v>2540</v>
      </c>
      <c r="I713" s="8" t="s">
        <v>2541</v>
      </c>
      <c r="J713" s="8" t="s">
        <v>2539</v>
      </c>
    </row>
    <row r="714" spans="7:10" ht="12.75" x14ac:dyDescent="0.2">
      <c r="G714" s="8" t="s">
        <v>2542</v>
      </c>
      <c r="H714" s="8" t="s">
        <v>2543</v>
      </c>
      <c r="I714" s="8" t="s">
        <v>2544</v>
      </c>
      <c r="J714" s="8" t="s">
        <v>2542</v>
      </c>
    </row>
    <row r="715" spans="7:10" ht="12.75" x14ac:dyDescent="0.2">
      <c r="G715" s="8" t="s">
        <v>169</v>
      </c>
      <c r="H715" s="8" t="s">
        <v>2545</v>
      </c>
      <c r="I715" s="8" t="s">
        <v>849</v>
      </c>
      <c r="J715" s="8" t="s">
        <v>169</v>
      </c>
    </row>
    <row r="716" spans="7:10" ht="12.75" x14ac:dyDescent="0.2">
      <c r="G716" s="8" t="s">
        <v>2546</v>
      </c>
      <c r="H716" s="8" t="s">
        <v>2547</v>
      </c>
      <c r="I716" s="8" t="s">
        <v>2548</v>
      </c>
      <c r="J716" s="8" t="s">
        <v>2546</v>
      </c>
    </row>
    <row r="717" spans="7:10" ht="12.75" x14ac:dyDescent="0.2">
      <c r="G717" s="8" t="s">
        <v>2549</v>
      </c>
      <c r="H717" s="8" t="s">
        <v>2550</v>
      </c>
      <c r="I717" s="8" t="s">
        <v>2551</v>
      </c>
      <c r="J717" s="8" t="s">
        <v>2549</v>
      </c>
    </row>
    <row r="718" spans="7:10" ht="12.75" x14ac:dyDescent="0.2">
      <c r="G718" s="8" t="s">
        <v>2552</v>
      </c>
      <c r="H718" s="8" t="s">
        <v>2553</v>
      </c>
      <c r="I718" s="8" t="s">
        <v>2554</v>
      </c>
      <c r="J718" s="8" t="s">
        <v>2552</v>
      </c>
    </row>
    <row r="719" spans="7:10" ht="12.75" x14ac:dyDescent="0.2">
      <c r="G719" s="8" t="s">
        <v>170</v>
      </c>
      <c r="H719" s="8" t="s">
        <v>2555</v>
      </c>
      <c r="I719" s="8" t="s">
        <v>2556</v>
      </c>
      <c r="J719" s="8" t="s">
        <v>170</v>
      </c>
    </row>
    <row r="720" spans="7:10" ht="12.75" x14ac:dyDescent="0.2">
      <c r="G720" s="8" t="s">
        <v>2557</v>
      </c>
      <c r="H720" s="8" t="s">
        <v>2558</v>
      </c>
      <c r="I720" s="8" t="s">
        <v>2559</v>
      </c>
      <c r="J720" s="8" t="s">
        <v>2557</v>
      </c>
    </row>
    <row r="721" spans="7:10" ht="12.75" x14ac:dyDescent="0.2">
      <c r="G721" s="8" t="s">
        <v>2560</v>
      </c>
      <c r="H721" s="8" t="s">
        <v>2561</v>
      </c>
      <c r="I721" s="8" t="s">
        <v>2562</v>
      </c>
      <c r="J721" s="8" t="s">
        <v>2560</v>
      </c>
    </row>
    <row r="722" spans="7:10" ht="12.75" x14ac:dyDescent="0.2">
      <c r="G722" s="8" t="s">
        <v>2563</v>
      </c>
      <c r="H722" s="8" t="s">
        <v>2564</v>
      </c>
      <c r="I722" s="8" t="s">
        <v>2565</v>
      </c>
      <c r="J722" s="8" t="s">
        <v>2563</v>
      </c>
    </row>
    <row r="723" spans="7:10" ht="12.75" x14ac:dyDescent="0.2">
      <c r="G723" s="8" t="s">
        <v>2566</v>
      </c>
      <c r="H723" s="8" t="s">
        <v>2567</v>
      </c>
      <c r="I723" s="8" t="s">
        <v>2568</v>
      </c>
      <c r="J723" s="8" t="s">
        <v>2566</v>
      </c>
    </row>
    <row r="724" spans="7:10" ht="12.75" x14ac:dyDescent="0.2">
      <c r="G724" s="8" t="s">
        <v>398</v>
      </c>
      <c r="H724" s="8" t="s">
        <v>2569</v>
      </c>
      <c r="I724" s="8" t="s">
        <v>2570</v>
      </c>
      <c r="J724" s="8" t="s">
        <v>398</v>
      </c>
    </row>
    <row r="725" spans="7:10" ht="12.75" x14ac:dyDescent="0.2">
      <c r="G725" s="8" t="s">
        <v>2571</v>
      </c>
      <c r="H725" s="8" t="s">
        <v>2572</v>
      </c>
      <c r="I725" s="8" t="s">
        <v>2573</v>
      </c>
      <c r="J725" s="8" t="s">
        <v>2571</v>
      </c>
    </row>
    <row r="726" spans="7:10" ht="12.75" x14ac:dyDescent="0.2">
      <c r="G726" s="8" t="s">
        <v>2574</v>
      </c>
      <c r="H726" s="8" t="s">
        <v>2575</v>
      </c>
      <c r="I726" s="8" t="s">
        <v>2576</v>
      </c>
      <c r="J726" s="8" t="s">
        <v>2574</v>
      </c>
    </row>
    <row r="727" spans="7:10" ht="12.75" x14ac:dyDescent="0.2">
      <c r="G727" s="8" t="s">
        <v>2577</v>
      </c>
      <c r="H727" s="8" t="s">
        <v>2578</v>
      </c>
      <c r="I727" s="8" t="s">
        <v>2579</v>
      </c>
      <c r="J727" s="8" t="s">
        <v>2577</v>
      </c>
    </row>
    <row r="728" spans="7:10" ht="12.75" x14ac:dyDescent="0.2">
      <c r="G728" s="8" t="s">
        <v>2580</v>
      </c>
      <c r="H728" s="8" t="s">
        <v>2581</v>
      </c>
      <c r="I728" s="8" t="s">
        <v>2582</v>
      </c>
      <c r="J728" s="8" t="s">
        <v>2580</v>
      </c>
    </row>
    <row r="729" spans="7:10" ht="12.75" x14ac:dyDescent="0.2">
      <c r="G729" s="8" t="s">
        <v>2583</v>
      </c>
      <c r="H729" s="8" t="s">
        <v>2584</v>
      </c>
      <c r="I729" s="8" t="s">
        <v>2585</v>
      </c>
      <c r="J729" s="8" t="s">
        <v>2583</v>
      </c>
    </row>
    <row r="730" spans="7:10" ht="12.75" x14ac:dyDescent="0.2">
      <c r="G730" s="8" t="s">
        <v>171</v>
      </c>
      <c r="H730" s="8" t="s">
        <v>2586</v>
      </c>
      <c r="I730" s="8" t="s">
        <v>2587</v>
      </c>
      <c r="J730" s="8" t="s">
        <v>171</v>
      </c>
    </row>
    <row r="731" spans="7:10" ht="12.75" x14ac:dyDescent="0.2">
      <c r="G731" s="8" t="s">
        <v>172</v>
      </c>
      <c r="H731" s="8" t="s">
        <v>2588</v>
      </c>
      <c r="I731" s="8" t="s">
        <v>2589</v>
      </c>
      <c r="J731" s="8" t="s">
        <v>172</v>
      </c>
    </row>
    <row r="732" spans="7:10" ht="12.75" x14ac:dyDescent="0.2">
      <c r="G732" s="8" t="s">
        <v>2590</v>
      </c>
      <c r="H732" s="8" t="s">
        <v>2591</v>
      </c>
      <c r="I732" s="8" t="s">
        <v>2592</v>
      </c>
      <c r="J732" s="8" t="s">
        <v>2590</v>
      </c>
    </row>
    <row r="733" spans="7:10" ht="12.75" x14ac:dyDescent="0.2">
      <c r="G733" s="8" t="s">
        <v>2593</v>
      </c>
      <c r="H733" s="8" t="s">
        <v>2594</v>
      </c>
      <c r="I733" s="8" t="s">
        <v>2595</v>
      </c>
      <c r="J733" s="8" t="s">
        <v>2593</v>
      </c>
    </row>
    <row r="734" spans="7:10" ht="12.75" x14ac:dyDescent="0.2">
      <c r="G734" s="8" t="s">
        <v>2596</v>
      </c>
      <c r="H734" s="8" t="s">
        <v>2597</v>
      </c>
      <c r="I734" s="8" t="s">
        <v>2598</v>
      </c>
      <c r="J734" s="8" t="s">
        <v>2596</v>
      </c>
    </row>
    <row r="735" spans="7:10" ht="12.75" x14ac:dyDescent="0.2">
      <c r="G735" s="8" t="s">
        <v>399</v>
      </c>
      <c r="H735" s="8" t="s">
        <v>2599</v>
      </c>
      <c r="I735" s="8" t="s">
        <v>2600</v>
      </c>
      <c r="J735" s="8" t="s">
        <v>399</v>
      </c>
    </row>
    <row r="736" spans="7:10" ht="12.75" x14ac:dyDescent="0.2">
      <c r="G736" s="8" t="s">
        <v>2601</v>
      </c>
      <c r="H736" s="8" t="s">
        <v>2602</v>
      </c>
      <c r="I736" s="8" t="s">
        <v>2603</v>
      </c>
      <c r="J736" s="8" t="s">
        <v>2601</v>
      </c>
    </row>
    <row r="737" spans="7:10" ht="12.75" x14ac:dyDescent="0.2">
      <c r="G737" s="8" t="s">
        <v>2604</v>
      </c>
      <c r="H737" s="8" t="s">
        <v>2605</v>
      </c>
      <c r="I737" s="8" t="s">
        <v>2606</v>
      </c>
      <c r="J737" s="8" t="s">
        <v>2604</v>
      </c>
    </row>
    <row r="738" spans="7:10" ht="12.75" x14ac:dyDescent="0.2">
      <c r="G738" s="8" t="s">
        <v>2607</v>
      </c>
      <c r="H738" s="8" t="s">
        <v>2608</v>
      </c>
      <c r="I738" s="8" t="s">
        <v>2609</v>
      </c>
      <c r="J738" s="8" t="s">
        <v>2607</v>
      </c>
    </row>
    <row r="739" spans="7:10" ht="12.75" x14ac:dyDescent="0.2">
      <c r="G739" s="8" t="s">
        <v>2610</v>
      </c>
      <c r="H739" s="8" t="s">
        <v>2611</v>
      </c>
      <c r="I739" s="8" t="s">
        <v>2612</v>
      </c>
      <c r="J739" s="8" t="s">
        <v>2610</v>
      </c>
    </row>
    <row r="740" spans="7:10" ht="12.75" x14ac:dyDescent="0.2">
      <c r="G740" s="8" t="s">
        <v>173</v>
      </c>
      <c r="H740" s="8" t="s">
        <v>2613</v>
      </c>
      <c r="I740" s="8" t="s">
        <v>2614</v>
      </c>
      <c r="J740" s="8" t="s">
        <v>173</v>
      </c>
    </row>
    <row r="741" spans="7:10" ht="12.75" x14ac:dyDescent="0.2">
      <c r="G741" s="8" t="s">
        <v>2615</v>
      </c>
      <c r="H741" s="8" t="s">
        <v>2611</v>
      </c>
      <c r="I741" s="8" t="s">
        <v>2616</v>
      </c>
      <c r="J741" s="8" t="s">
        <v>2615</v>
      </c>
    </row>
    <row r="742" spans="7:10" ht="12.75" x14ac:dyDescent="0.2">
      <c r="G742" s="8" t="s">
        <v>2617</v>
      </c>
      <c r="H742" s="8" t="s">
        <v>2618</v>
      </c>
      <c r="I742" s="8" t="s">
        <v>2619</v>
      </c>
      <c r="J742" s="8" t="s">
        <v>2617</v>
      </c>
    </row>
    <row r="743" spans="7:10" ht="12.75" x14ac:dyDescent="0.2">
      <c r="G743" s="8" t="s">
        <v>174</v>
      </c>
      <c r="H743" s="8" t="s">
        <v>2620</v>
      </c>
      <c r="I743" s="8" t="s">
        <v>852</v>
      </c>
      <c r="J743" s="8" t="s">
        <v>174</v>
      </c>
    </row>
    <row r="744" spans="7:10" ht="12.75" x14ac:dyDescent="0.2">
      <c r="G744" s="8" t="s">
        <v>2621</v>
      </c>
      <c r="H744" s="8" t="s">
        <v>2622</v>
      </c>
      <c r="I744" s="8" t="s">
        <v>2623</v>
      </c>
      <c r="J744" s="8" t="s">
        <v>2621</v>
      </c>
    </row>
    <row r="745" spans="7:10" ht="12.75" x14ac:dyDescent="0.2">
      <c r="G745" s="8" t="s">
        <v>2624</v>
      </c>
      <c r="H745" s="8" t="s">
        <v>2625</v>
      </c>
      <c r="I745" s="8" t="s">
        <v>2626</v>
      </c>
      <c r="J745" s="8" t="s">
        <v>2624</v>
      </c>
    </row>
    <row r="746" spans="7:10" ht="12.75" x14ac:dyDescent="0.2">
      <c r="G746" s="8" t="s">
        <v>2627</v>
      </c>
      <c r="H746" s="8" t="s">
        <v>2628</v>
      </c>
      <c r="I746" s="8" t="s">
        <v>2629</v>
      </c>
      <c r="J746" s="8" t="s">
        <v>2627</v>
      </c>
    </row>
    <row r="747" spans="7:10" ht="12.75" x14ac:dyDescent="0.2">
      <c r="G747" s="8" t="s">
        <v>2630</v>
      </c>
      <c r="H747" s="8" t="s">
        <v>2631</v>
      </c>
      <c r="I747" s="8" t="s">
        <v>2632</v>
      </c>
      <c r="J747" s="8" t="s">
        <v>2630</v>
      </c>
    </row>
    <row r="748" spans="7:10" ht="12.75" x14ac:dyDescent="0.2">
      <c r="G748" s="8" t="s">
        <v>175</v>
      </c>
      <c r="H748" s="8" t="s">
        <v>2633</v>
      </c>
      <c r="I748" s="8" t="s">
        <v>2634</v>
      </c>
      <c r="J748" s="8" t="s">
        <v>175</v>
      </c>
    </row>
    <row r="749" spans="7:10" ht="12.75" x14ac:dyDescent="0.2">
      <c r="G749" s="8" t="s">
        <v>2635</v>
      </c>
      <c r="H749" s="8" t="s">
        <v>2636</v>
      </c>
      <c r="I749" s="8" t="s">
        <v>2637</v>
      </c>
      <c r="J749" s="8" t="s">
        <v>2635</v>
      </c>
    </row>
    <row r="750" spans="7:10" ht="12.75" x14ac:dyDescent="0.2">
      <c r="G750" s="8" t="s">
        <v>2638</v>
      </c>
      <c r="H750" s="8" t="s">
        <v>2639</v>
      </c>
      <c r="I750" s="8" t="s">
        <v>2640</v>
      </c>
      <c r="J750" s="8" t="s">
        <v>2638</v>
      </c>
    </row>
    <row r="751" spans="7:10" ht="12.75" x14ac:dyDescent="0.2">
      <c r="G751" s="8" t="s">
        <v>2641</v>
      </c>
      <c r="H751" s="8" t="s">
        <v>2642</v>
      </c>
      <c r="I751" s="8" t="s">
        <v>2643</v>
      </c>
      <c r="J751" s="8" t="s">
        <v>2641</v>
      </c>
    </row>
    <row r="752" spans="7:10" ht="12.75" x14ac:dyDescent="0.2">
      <c r="G752" s="8" t="s">
        <v>2644</v>
      </c>
      <c r="H752" s="8" t="s">
        <v>2645</v>
      </c>
      <c r="I752" s="8" t="s">
        <v>2646</v>
      </c>
      <c r="J752" s="8" t="s">
        <v>2644</v>
      </c>
    </row>
    <row r="753" spans="7:10" ht="12.75" x14ac:dyDescent="0.2">
      <c r="G753" s="8" t="s">
        <v>2647</v>
      </c>
      <c r="H753" s="8" t="s">
        <v>2648</v>
      </c>
      <c r="I753" s="8" t="s">
        <v>2649</v>
      </c>
      <c r="J753" s="8" t="s">
        <v>2647</v>
      </c>
    </row>
    <row r="754" spans="7:10" ht="12.75" x14ac:dyDescent="0.2">
      <c r="G754" s="8" t="s">
        <v>2650</v>
      </c>
      <c r="H754" s="8" t="s">
        <v>2651</v>
      </c>
      <c r="I754" s="8" t="s">
        <v>2652</v>
      </c>
      <c r="J754" s="8" t="s">
        <v>2650</v>
      </c>
    </row>
    <row r="755" spans="7:10" ht="12.75" x14ac:dyDescent="0.2">
      <c r="G755" s="8" t="s">
        <v>2653</v>
      </c>
      <c r="H755" s="8" t="s">
        <v>2654</v>
      </c>
      <c r="I755" s="8" t="s">
        <v>2655</v>
      </c>
      <c r="J755" s="8" t="s">
        <v>2653</v>
      </c>
    </row>
    <row r="756" spans="7:10" ht="12.75" x14ac:dyDescent="0.2">
      <c r="G756" s="8" t="s">
        <v>2656</v>
      </c>
      <c r="H756" s="8" t="s">
        <v>2657</v>
      </c>
      <c r="I756" s="8" t="s">
        <v>2658</v>
      </c>
      <c r="J756" s="8" t="s">
        <v>2656</v>
      </c>
    </row>
    <row r="757" spans="7:10" ht="12.75" x14ac:dyDescent="0.2">
      <c r="G757" s="8" t="s">
        <v>2659</v>
      </c>
      <c r="H757" s="8" t="s">
        <v>2660</v>
      </c>
      <c r="I757" s="8" t="s">
        <v>2661</v>
      </c>
      <c r="J757" s="8" t="s">
        <v>2659</v>
      </c>
    </row>
    <row r="758" spans="7:10" ht="12.75" x14ac:dyDescent="0.2">
      <c r="G758" s="8" t="s">
        <v>176</v>
      </c>
      <c r="H758" s="8" t="s">
        <v>2662</v>
      </c>
      <c r="I758" s="8" t="s">
        <v>2663</v>
      </c>
      <c r="J758" s="8" t="s">
        <v>176</v>
      </c>
    </row>
    <row r="759" spans="7:10" ht="12.75" x14ac:dyDescent="0.2">
      <c r="G759" s="8" t="s">
        <v>2664</v>
      </c>
      <c r="H759" s="8" t="s">
        <v>2651</v>
      </c>
      <c r="I759" s="8" t="s">
        <v>2665</v>
      </c>
      <c r="J759" s="8" t="s">
        <v>2664</v>
      </c>
    </row>
    <row r="760" spans="7:10" ht="12.75" x14ac:dyDescent="0.2">
      <c r="G760" s="8" t="s">
        <v>2666</v>
      </c>
      <c r="H760" s="8" t="s">
        <v>2667</v>
      </c>
      <c r="I760" s="8" t="s">
        <v>2668</v>
      </c>
      <c r="J760" s="8" t="s">
        <v>2666</v>
      </c>
    </row>
    <row r="761" spans="7:10" ht="12.75" x14ac:dyDescent="0.2">
      <c r="G761" s="8" t="s">
        <v>2669</v>
      </c>
      <c r="H761" s="8" t="s">
        <v>2670</v>
      </c>
      <c r="I761" s="8" t="s">
        <v>2671</v>
      </c>
      <c r="J761" s="8" t="s">
        <v>2669</v>
      </c>
    </row>
    <row r="762" spans="7:10" ht="12.75" x14ac:dyDescent="0.2">
      <c r="G762" s="8" t="s">
        <v>2672</v>
      </c>
      <c r="H762" s="8" t="s">
        <v>2673</v>
      </c>
      <c r="I762" s="8" t="s">
        <v>2674</v>
      </c>
      <c r="J762" s="8" t="s">
        <v>2672</v>
      </c>
    </row>
    <row r="763" spans="7:10" ht="12.75" x14ac:dyDescent="0.2">
      <c r="G763" s="8" t="s">
        <v>2675</v>
      </c>
      <c r="H763" s="8" t="s">
        <v>2676</v>
      </c>
      <c r="I763" s="8" t="s">
        <v>2677</v>
      </c>
      <c r="J763" s="8" t="s">
        <v>2675</v>
      </c>
    </row>
    <row r="764" spans="7:10" ht="12.75" x14ac:dyDescent="0.2">
      <c r="G764" s="8" t="s">
        <v>2678</v>
      </c>
      <c r="H764" s="8" t="s">
        <v>2679</v>
      </c>
      <c r="I764" s="8" t="s">
        <v>2680</v>
      </c>
      <c r="J764" s="8" t="s">
        <v>2678</v>
      </c>
    </row>
    <row r="765" spans="7:10" ht="12.75" x14ac:dyDescent="0.2">
      <c r="G765" s="8" t="s">
        <v>2681</v>
      </c>
      <c r="H765" s="8" t="s">
        <v>2682</v>
      </c>
      <c r="I765" s="8" t="s">
        <v>2683</v>
      </c>
      <c r="J765" s="8" t="s">
        <v>2681</v>
      </c>
    </row>
    <row r="766" spans="7:10" ht="12.75" x14ac:dyDescent="0.2">
      <c r="G766" s="8" t="s">
        <v>2684</v>
      </c>
      <c r="H766" s="8" t="s">
        <v>2685</v>
      </c>
      <c r="I766" s="8" t="s">
        <v>2686</v>
      </c>
      <c r="J766" s="8" t="s">
        <v>2684</v>
      </c>
    </row>
    <row r="767" spans="7:10" ht="12.75" x14ac:dyDescent="0.2">
      <c r="G767" s="8" t="s">
        <v>2687</v>
      </c>
      <c r="H767" s="8" t="s">
        <v>2688</v>
      </c>
      <c r="I767" s="8" t="s">
        <v>2689</v>
      </c>
      <c r="J767" s="8" t="s">
        <v>2687</v>
      </c>
    </row>
    <row r="768" spans="7:10" ht="12.75" x14ac:dyDescent="0.2">
      <c r="G768" s="8" t="s">
        <v>2690</v>
      </c>
      <c r="H768" s="8" t="s">
        <v>2691</v>
      </c>
      <c r="I768" s="8" t="s">
        <v>2692</v>
      </c>
      <c r="J768" s="8" t="s">
        <v>2690</v>
      </c>
    </row>
    <row r="769" spans="7:10" ht="12.75" x14ac:dyDescent="0.2">
      <c r="G769" s="8" t="s">
        <v>2693</v>
      </c>
      <c r="H769" s="8" t="s">
        <v>2694</v>
      </c>
      <c r="I769" s="8" t="s">
        <v>2695</v>
      </c>
      <c r="J769" s="8" t="s">
        <v>2693</v>
      </c>
    </row>
    <row r="770" spans="7:10" ht="12.75" x14ac:dyDescent="0.2">
      <c r="G770" s="8" t="s">
        <v>177</v>
      </c>
      <c r="H770" s="8" t="s">
        <v>2688</v>
      </c>
      <c r="I770" s="8" t="s">
        <v>2696</v>
      </c>
      <c r="J770" s="8" t="s">
        <v>177</v>
      </c>
    </row>
    <row r="771" spans="7:10" ht="12.75" x14ac:dyDescent="0.2">
      <c r="G771" s="8" t="s">
        <v>2697</v>
      </c>
      <c r="H771" s="8" t="s">
        <v>2698</v>
      </c>
      <c r="I771" s="8" t="s">
        <v>2699</v>
      </c>
      <c r="J771" s="8" t="s">
        <v>2697</v>
      </c>
    </row>
    <row r="772" spans="7:10" ht="12.75" x14ac:dyDescent="0.2">
      <c r="G772" s="8" t="s">
        <v>2700</v>
      </c>
      <c r="H772" s="8" t="s">
        <v>2701</v>
      </c>
      <c r="I772" s="8" t="s">
        <v>2702</v>
      </c>
      <c r="J772" s="8" t="s">
        <v>2700</v>
      </c>
    </row>
    <row r="773" spans="7:10" ht="12.75" x14ac:dyDescent="0.2">
      <c r="G773" s="8" t="s">
        <v>2703</v>
      </c>
      <c r="H773" s="8" t="s">
        <v>2704</v>
      </c>
      <c r="I773" s="8" t="s">
        <v>2705</v>
      </c>
      <c r="J773" s="8" t="s">
        <v>2703</v>
      </c>
    </row>
    <row r="774" spans="7:10" ht="12.75" x14ac:dyDescent="0.2">
      <c r="G774" s="8" t="s">
        <v>2706</v>
      </c>
      <c r="H774" s="8" t="s">
        <v>2707</v>
      </c>
      <c r="I774" s="8" t="s">
        <v>2708</v>
      </c>
      <c r="J774" s="8" t="s">
        <v>2706</v>
      </c>
    </row>
    <row r="775" spans="7:10" ht="12.75" x14ac:dyDescent="0.2">
      <c r="G775" s="8" t="s">
        <v>2709</v>
      </c>
      <c r="H775" s="8" t="s">
        <v>2710</v>
      </c>
      <c r="I775" s="8" t="s">
        <v>2711</v>
      </c>
      <c r="J775" s="8" t="s">
        <v>2709</v>
      </c>
    </row>
    <row r="776" spans="7:10" ht="12.75" x14ac:dyDescent="0.2">
      <c r="G776" s="8" t="s">
        <v>2712</v>
      </c>
      <c r="H776" s="8" t="s">
        <v>2713</v>
      </c>
      <c r="I776" s="8" t="s">
        <v>2714</v>
      </c>
      <c r="J776" s="8" t="s">
        <v>2712</v>
      </c>
    </row>
    <row r="777" spans="7:10" ht="12.75" x14ac:dyDescent="0.2">
      <c r="G777" s="8" t="s">
        <v>178</v>
      </c>
      <c r="H777" s="8" t="s">
        <v>2715</v>
      </c>
      <c r="I777" s="8" t="s">
        <v>856</v>
      </c>
      <c r="J777" s="8" t="s">
        <v>178</v>
      </c>
    </row>
    <row r="778" spans="7:10" ht="12.75" x14ac:dyDescent="0.2">
      <c r="G778" s="8" t="s">
        <v>2716</v>
      </c>
      <c r="H778" s="8" t="s">
        <v>2717</v>
      </c>
      <c r="I778" s="8" t="s">
        <v>2718</v>
      </c>
      <c r="J778" s="8" t="s">
        <v>2716</v>
      </c>
    </row>
    <row r="779" spans="7:10" ht="12.75" x14ac:dyDescent="0.2">
      <c r="G779" s="8" t="s">
        <v>2719</v>
      </c>
      <c r="H779" s="8" t="s">
        <v>2720</v>
      </c>
      <c r="I779" s="8" t="s">
        <v>2721</v>
      </c>
      <c r="J779" s="8" t="s">
        <v>2719</v>
      </c>
    </row>
    <row r="780" spans="7:10" ht="12.75" x14ac:dyDescent="0.2">
      <c r="G780" s="8" t="s">
        <v>179</v>
      </c>
      <c r="H780" s="8" t="s">
        <v>2722</v>
      </c>
      <c r="I780" s="8" t="s">
        <v>2723</v>
      </c>
      <c r="J780" s="8" t="s">
        <v>179</v>
      </c>
    </row>
    <row r="781" spans="7:10" ht="12.75" x14ac:dyDescent="0.2">
      <c r="G781" s="8" t="s">
        <v>2724</v>
      </c>
      <c r="H781" s="8" t="s">
        <v>2725</v>
      </c>
      <c r="I781" s="8" t="s">
        <v>2726</v>
      </c>
      <c r="J781" s="8" t="s">
        <v>2724</v>
      </c>
    </row>
    <row r="782" spans="7:10" ht="12.75" x14ac:dyDescent="0.2">
      <c r="G782" s="8" t="s">
        <v>2727</v>
      </c>
      <c r="H782" s="8" t="s">
        <v>2728</v>
      </c>
      <c r="I782" s="8" t="s">
        <v>2729</v>
      </c>
      <c r="J782" s="8" t="s">
        <v>2727</v>
      </c>
    </row>
    <row r="783" spans="7:10" ht="12.75" x14ac:dyDescent="0.2">
      <c r="G783" s="8" t="s">
        <v>2730</v>
      </c>
      <c r="H783" s="8" t="s">
        <v>2731</v>
      </c>
      <c r="I783" s="8" t="s">
        <v>2732</v>
      </c>
      <c r="J783" s="8" t="s">
        <v>2730</v>
      </c>
    </row>
    <row r="784" spans="7:10" ht="12.75" x14ac:dyDescent="0.2">
      <c r="G784" s="8" t="s">
        <v>2733</v>
      </c>
      <c r="H784" s="8" t="s">
        <v>2734</v>
      </c>
      <c r="I784" s="8" t="s">
        <v>2735</v>
      </c>
      <c r="J784" s="8" t="s">
        <v>2733</v>
      </c>
    </row>
    <row r="785" spans="7:10" ht="12.75" x14ac:dyDescent="0.2">
      <c r="G785" s="8" t="s">
        <v>2736</v>
      </c>
      <c r="H785" s="8" t="s">
        <v>2737</v>
      </c>
      <c r="I785" s="8" t="s">
        <v>2738</v>
      </c>
      <c r="J785" s="8" t="s">
        <v>2736</v>
      </c>
    </row>
    <row r="786" spans="7:10" ht="12.75" x14ac:dyDescent="0.2">
      <c r="G786" s="8" t="s">
        <v>400</v>
      </c>
      <c r="H786" s="8" t="s">
        <v>2739</v>
      </c>
      <c r="I786" s="8" t="s">
        <v>2740</v>
      </c>
      <c r="J786" s="8" t="s">
        <v>400</v>
      </c>
    </row>
    <row r="787" spans="7:10" ht="12.75" x14ac:dyDescent="0.2">
      <c r="G787" s="8" t="s">
        <v>2741</v>
      </c>
      <c r="H787" s="8" t="s">
        <v>2742</v>
      </c>
      <c r="I787" s="8" t="s">
        <v>2743</v>
      </c>
      <c r="J787" s="8" t="s">
        <v>2741</v>
      </c>
    </row>
    <row r="788" spans="7:10" ht="12.75" x14ac:dyDescent="0.2">
      <c r="G788" s="8" t="s">
        <v>2744</v>
      </c>
      <c r="H788" s="8" t="s">
        <v>2745</v>
      </c>
      <c r="I788" s="8" t="s">
        <v>2746</v>
      </c>
      <c r="J788" s="8" t="s">
        <v>2744</v>
      </c>
    </row>
    <row r="789" spans="7:10" ht="12.75" x14ac:dyDescent="0.2">
      <c r="G789" s="8" t="s">
        <v>2747</v>
      </c>
      <c r="H789" s="8" t="s">
        <v>2748</v>
      </c>
      <c r="I789" s="8" t="s">
        <v>2749</v>
      </c>
      <c r="J789" s="8" t="s">
        <v>2747</v>
      </c>
    </row>
    <row r="790" spans="7:10" ht="12.75" x14ac:dyDescent="0.2">
      <c r="G790" s="8" t="s">
        <v>401</v>
      </c>
      <c r="H790" s="8" t="s">
        <v>2750</v>
      </c>
      <c r="I790" s="8" t="s">
        <v>2751</v>
      </c>
      <c r="J790" s="8" t="s">
        <v>401</v>
      </c>
    </row>
    <row r="791" spans="7:10" ht="12.75" x14ac:dyDescent="0.2">
      <c r="G791" s="8" t="s">
        <v>2752</v>
      </c>
      <c r="H791" s="8" t="s">
        <v>2753</v>
      </c>
      <c r="I791" s="8" t="s">
        <v>2754</v>
      </c>
      <c r="J791" s="8" t="s">
        <v>2752</v>
      </c>
    </row>
    <row r="792" spans="7:10" ht="12.75" x14ac:dyDescent="0.2">
      <c r="G792" s="8" t="s">
        <v>180</v>
      </c>
      <c r="H792" s="8" t="s">
        <v>2755</v>
      </c>
      <c r="I792" s="8" t="s">
        <v>2756</v>
      </c>
      <c r="J792" s="8" t="s">
        <v>180</v>
      </c>
    </row>
    <row r="793" spans="7:10" ht="12.75" x14ac:dyDescent="0.2">
      <c r="G793" s="8" t="s">
        <v>181</v>
      </c>
      <c r="H793" s="8" t="s">
        <v>2757</v>
      </c>
      <c r="I793" s="8" t="s">
        <v>860</v>
      </c>
      <c r="J793" s="8" t="s">
        <v>181</v>
      </c>
    </row>
    <row r="794" spans="7:10" ht="12.75" x14ac:dyDescent="0.2">
      <c r="G794" s="8" t="s">
        <v>2758</v>
      </c>
      <c r="H794" s="8" t="s">
        <v>2759</v>
      </c>
      <c r="I794" s="8" t="s">
        <v>2760</v>
      </c>
      <c r="J794" s="8" t="s">
        <v>2758</v>
      </c>
    </row>
    <row r="795" spans="7:10" ht="12.75" x14ac:dyDescent="0.2">
      <c r="G795" s="8" t="s">
        <v>2761</v>
      </c>
      <c r="H795" s="8" t="s">
        <v>2762</v>
      </c>
      <c r="I795" s="8" t="s">
        <v>2763</v>
      </c>
      <c r="J795" s="8" t="s">
        <v>2761</v>
      </c>
    </row>
    <row r="796" spans="7:10" ht="12.75" x14ac:dyDescent="0.2">
      <c r="G796" s="8" t="s">
        <v>2764</v>
      </c>
      <c r="H796" s="8" t="s">
        <v>2765</v>
      </c>
      <c r="I796" s="8" t="s">
        <v>2766</v>
      </c>
      <c r="J796" s="8" t="s">
        <v>2764</v>
      </c>
    </row>
    <row r="797" spans="7:10" ht="12.75" x14ac:dyDescent="0.2">
      <c r="G797" s="8" t="s">
        <v>2767</v>
      </c>
      <c r="H797" s="8" t="s">
        <v>2768</v>
      </c>
      <c r="I797" s="8" t="s">
        <v>2769</v>
      </c>
      <c r="J797" s="8" t="s">
        <v>2767</v>
      </c>
    </row>
    <row r="798" spans="7:10" ht="12.75" x14ac:dyDescent="0.2">
      <c r="G798" s="8" t="s">
        <v>182</v>
      </c>
      <c r="H798" s="8" t="s">
        <v>2770</v>
      </c>
      <c r="I798" s="8" t="s">
        <v>2771</v>
      </c>
      <c r="J798" s="8" t="s">
        <v>182</v>
      </c>
    </row>
    <row r="799" spans="7:10" ht="12.75" x14ac:dyDescent="0.2">
      <c r="G799" s="8" t="s">
        <v>2772</v>
      </c>
      <c r="H799" s="8" t="s">
        <v>2773</v>
      </c>
      <c r="I799" s="8" t="s">
        <v>2774</v>
      </c>
      <c r="J799" s="8" t="s">
        <v>2772</v>
      </c>
    </row>
    <row r="800" spans="7:10" ht="12.75" x14ac:dyDescent="0.2">
      <c r="G800" s="8" t="s">
        <v>2775</v>
      </c>
      <c r="H800" s="8" t="s">
        <v>2776</v>
      </c>
      <c r="I800" s="8" t="s">
        <v>2777</v>
      </c>
      <c r="J800" s="8" t="s">
        <v>2775</v>
      </c>
    </row>
    <row r="801" spans="7:10" ht="12.75" x14ac:dyDescent="0.2">
      <c r="G801" s="8" t="s">
        <v>2778</v>
      </c>
      <c r="H801" s="8" t="s">
        <v>2779</v>
      </c>
      <c r="I801" s="8" t="s">
        <v>2780</v>
      </c>
      <c r="J801" s="8" t="s">
        <v>2778</v>
      </c>
    </row>
    <row r="802" spans="7:10" ht="12.75" x14ac:dyDescent="0.2">
      <c r="G802" s="8" t="s">
        <v>2781</v>
      </c>
      <c r="H802" s="8" t="s">
        <v>2782</v>
      </c>
      <c r="I802" s="8" t="s">
        <v>2783</v>
      </c>
      <c r="J802" s="8" t="s">
        <v>2781</v>
      </c>
    </row>
    <row r="803" spans="7:10" ht="12.75" x14ac:dyDescent="0.2">
      <c r="G803" s="8" t="s">
        <v>2784</v>
      </c>
      <c r="H803" s="8" t="s">
        <v>2785</v>
      </c>
      <c r="I803" s="8" t="s">
        <v>2786</v>
      </c>
      <c r="J803" s="8" t="s">
        <v>2784</v>
      </c>
    </row>
    <row r="804" spans="7:10" ht="12.75" x14ac:dyDescent="0.2">
      <c r="G804" s="8" t="s">
        <v>183</v>
      </c>
      <c r="H804" s="8" t="s">
        <v>2787</v>
      </c>
      <c r="I804" s="8" t="s">
        <v>2788</v>
      </c>
      <c r="J804" s="8" t="s">
        <v>183</v>
      </c>
    </row>
    <row r="805" spans="7:10" ht="12.75" x14ac:dyDescent="0.2">
      <c r="G805" s="8" t="s">
        <v>2789</v>
      </c>
      <c r="H805" s="8" t="s">
        <v>2790</v>
      </c>
      <c r="I805" s="8" t="s">
        <v>2791</v>
      </c>
      <c r="J805" s="8" t="s">
        <v>2789</v>
      </c>
    </row>
    <row r="806" spans="7:10" ht="12.75" x14ac:dyDescent="0.2">
      <c r="G806" s="8" t="s">
        <v>2792</v>
      </c>
      <c r="H806" s="8" t="s">
        <v>2793</v>
      </c>
      <c r="I806" s="8" t="s">
        <v>2794</v>
      </c>
      <c r="J806" s="8" t="s">
        <v>2792</v>
      </c>
    </row>
    <row r="807" spans="7:10" ht="12.75" x14ac:dyDescent="0.2">
      <c r="G807" s="8" t="s">
        <v>184</v>
      </c>
      <c r="H807" s="8" t="s">
        <v>2795</v>
      </c>
      <c r="I807" s="8" t="s">
        <v>2796</v>
      </c>
      <c r="J807" s="8" t="s">
        <v>184</v>
      </c>
    </row>
    <row r="808" spans="7:10" ht="12.75" x14ac:dyDescent="0.2">
      <c r="G808" s="8" t="s">
        <v>2797</v>
      </c>
      <c r="H808" s="8" t="s">
        <v>2798</v>
      </c>
      <c r="I808" s="8" t="s">
        <v>2799</v>
      </c>
      <c r="J808" s="8" t="s">
        <v>2797</v>
      </c>
    </row>
    <row r="809" spans="7:10" ht="12.75" x14ac:dyDescent="0.2">
      <c r="G809" s="8" t="s">
        <v>2800</v>
      </c>
      <c r="H809" s="8" t="s">
        <v>2801</v>
      </c>
      <c r="I809" s="8" t="s">
        <v>2802</v>
      </c>
      <c r="J809" s="8" t="s">
        <v>2800</v>
      </c>
    </row>
    <row r="810" spans="7:10" ht="12.75" x14ac:dyDescent="0.2">
      <c r="G810" s="8" t="s">
        <v>2803</v>
      </c>
      <c r="H810" s="8" t="s">
        <v>2804</v>
      </c>
      <c r="I810" s="8" t="s">
        <v>2805</v>
      </c>
      <c r="J810" s="8" t="s">
        <v>2803</v>
      </c>
    </row>
    <row r="811" spans="7:10" ht="12.75" x14ac:dyDescent="0.2">
      <c r="G811" s="8" t="s">
        <v>2806</v>
      </c>
      <c r="H811" s="8" t="s">
        <v>2807</v>
      </c>
      <c r="I811" s="8" t="s">
        <v>2808</v>
      </c>
      <c r="J811" s="8" t="s">
        <v>2806</v>
      </c>
    </row>
    <row r="812" spans="7:10" ht="12.75" x14ac:dyDescent="0.2">
      <c r="G812" s="8" t="s">
        <v>185</v>
      </c>
      <c r="H812" s="8" t="s">
        <v>2809</v>
      </c>
      <c r="I812" s="8" t="s">
        <v>864</v>
      </c>
      <c r="J812" s="8" t="s">
        <v>185</v>
      </c>
    </row>
    <row r="813" spans="7:10" ht="12.75" x14ac:dyDescent="0.2">
      <c r="G813" s="8" t="s">
        <v>186</v>
      </c>
      <c r="H813" s="8" t="s">
        <v>2810</v>
      </c>
      <c r="I813" s="8" t="s">
        <v>2811</v>
      </c>
      <c r="J813" s="8" t="s">
        <v>186</v>
      </c>
    </row>
    <row r="814" spans="7:10" ht="12.75" x14ac:dyDescent="0.2">
      <c r="G814" s="8" t="s">
        <v>2812</v>
      </c>
      <c r="H814" s="8" t="s">
        <v>2813</v>
      </c>
      <c r="I814" s="8" t="s">
        <v>2814</v>
      </c>
      <c r="J814" s="8" t="s">
        <v>2812</v>
      </c>
    </row>
    <row r="815" spans="7:10" ht="12.75" x14ac:dyDescent="0.2">
      <c r="G815" s="8" t="s">
        <v>2815</v>
      </c>
      <c r="H815" s="8" t="s">
        <v>2816</v>
      </c>
      <c r="I815" s="8" t="s">
        <v>2817</v>
      </c>
      <c r="J815" s="8" t="s">
        <v>2815</v>
      </c>
    </row>
    <row r="816" spans="7:10" ht="12.75" x14ac:dyDescent="0.2">
      <c r="G816" s="8" t="s">
        <v>2818</v>
      </c>
      <c r="H816" s="8" t="s">
        <v>2819</v>
      </c>
      <c r="I816" s="8" t="s">
        <v>2820</v>
      </c>
      <c r="J816" s="8" t="s">
        <v>2818</v>
      </c>
    </row>
    <row r="817" spans="7:10" ht="12.75" x14ac:dyDescent="0.2">
      <c r="G817" s="8" t="s">
        <v>2821</v>
      </c>
      <c r="H817" s="8" t="s">
        <v>2822</v>
      </c>
      <c r="I817" s="8" t="s">
        <v>2823</v>
      </c>
      <c r="J817" s="8" t="s">
        <v>2821</v>
      </c>
    </row>
    <row r="818" spans="7:10" ht="12.75" x14ac:dyDescent="0.2">
      <c r="G818" s="8" t="s">
        <v>187</v>
      </c>
      <c r="H818" s="8" t="s">
        <v>2824</v>
      </c>
      <c r="I818" s="8" t="s">
        <v>868</v>
      </c>
      <c r="J818" s="8" t="s">
        <v>187</v>
      </c>
    </row>
    <row r="819" spans="7:10" ht="12.75" x14ac:dyDescent="0.2">
      <c r="G819" s="8" t="s">
        <v>2825</v>
      </c>
      <c r="H819" s="8" t="s">
        <v>2826</v>
      </c>
      <c r="I819" s="8" t="s">
        <v>2827</v>
      </c>
      <c r="J819" s="8" t="s">
        <v>2825</v>
      </c>
    </row>
    <row r="820" spans="7:10" ht="12.75" x14ac:dyDescent="0.2">
      <c r="G820" s="8" t="s">
        <v>2828</v>
      </c>
      <c r="H820" s="8" t="s">
        <v>2829</v>
      </c>
      <c r="I820" s="8" t="s">
        <v>2830</v>
      </c>
      <c r="J820" s="8" t="s">
        <v>2828</v>
      </c>
    </row>
    <row r="821" spans="7:10" ht="12.75" x14ac:dyDescent="0.2">
      <c r="G821" s="8" t="s">
        <v>2831</v>
      </c>
      <c r="H821" s="8" t="s">
        <v>2832</v>
      </c>
      <c r="I821" s="8" t="s">
        <v>2833</v>
      </c>
      <c r="J821" s="8" t="s">
        <v>2831</v>
      </c>
    </row>
    <row r="822" spans="7:10" ht="12.75" x14ac:dyDescent="0.2">
      <c r="G822" s="8" t="s">
        <v>2834</v>
      </c>
      <c r="H822" s="8" t="s">
        <v>2835</v>
      </c>
      <c r="I822" s="8" t="s">
        <v>2836</v>
      </c>
      <c r="J822" s="8" t="s">
        <v>2834</v>
      </c>
    </row>
    <row r="823" spans="7:10" ht="12.75" x14ac:dyDescent="0.2">
      <c r="G823" s="8" t="s">
        <v>188</v>
      </c>
      <c r="H823" s="8" t="s">
        <v>2837</v>
      </c>
      <c r="I823" s="8" t="s">
        <v>2838</v>
      </c>
      <c r="J823" s="8" t="s">
        <v>188</v>
      </c>
    </row>
    <row r="824" spans="7:10" ht="12.75" x14ac:dyDescent="0.2">
      <c r="G824" s="8" t="s">
        <v>2839</v>
      </c>
      <c r="H824" s="8" t="s">
        <v>2840</v>
      </c>
      <c r="I824" s="8" t="s">
        <v>2841</v>
      </c>
      <c r="J824" s="8" t="s">
        <v>2839</v>
      </c>
    </row>
    <row r="825" spans="7:10" ht="12.75" x14ac:dyDescent="0.2">
      <c r="G825" s="8" t="s">
        <v>2842</v>
      </c>
      <c r="H825" s="8" t="s">
        <v>2843</v>
      </c>
      <c r="I825" s="8" t="s">
        <v>2844</v>
      </c>
      <c r="J825" s="8" t="s">
        <v>2842</v>
      </c>
    </row>
    <row r="826" spans="7:10" ht="12.75" x14ac:dyDescent="0.2">
      <c r="G826" s="8" t="s">
        <v>2845</v>
      </c>
      <c r="H826" s="8" t="s">
        <v>2846</v>
      </c>
      <c r="I826" s="8" t="s">
        <v>2847</v>
      </c>
      <c r="J826" s="8" t="s">
        <v>2845</v>
      </c>
    </row>
    <row r="827" spans="7:10" ht="12.75" x14ac:dyDescent="0.2">
      <c r="G827" s="8" t="s">
        <v>2848</v>
      </c>
      <c r="H827" s="8" t="s">
        <v>2849</v>
      </c>
      <c r="I827" s="8" t="s">
        <v>2850</v>
      </c>
      <c r="J827" s="8" t="s">
        <v>2848</v>
      </c>
    </row>
    <row r="828" spans="7:10" ht="12.75" x14ac:dyDescent="0.2">
      <c r="G828" s="8" t="s">
        <v>2851</v>
      </c>
      <c r="H828" s="8" t="s">
        <v>2852</v>
      </c>
      <c r="I828" s="8" t="s">
        <v>2853</v>
      </c>
      <c r="J828" s="8" t="s">
        <v>2851</v>
      </c>
    </row>
    <row r="829" spans="7:10" ht="12.75" x14ac:dyDescent="0.2">
      <c r="G829" s="8" t="s">
        <v>189</v>
      </c>
      <c r="H829" s="8" t="s">
        <v>2854</v>
      </c>
      <c r="I829" s="8" t="s">
        <v>2855</v>
      </c>
      <c r="J829" s="8" t="s">
        <v>189</v>
      </c>
    </row>
    <row r="830" spans="7:10" ht="12.75" x14ac:dyDescent="0.2">
      <c r="G830" s="8" t="s">
        <v>2856</v>
      </c>
      <c r="H830" s="8" t="s">
        <v>2857</v>
      </c>
      <c r="I830" s="8" t="s">
        <v>2858</v>
      </c>
      <c r="J830" s="8" t="s">
        <v>2856</v>
      </c>
    </row>
    <row r="831" spans="7:10" ht="12.75" x14ac:dyDescent="0.2">
      <c r="G831" s="8" t="s">
        <v>2859</v>
      </c>
      <c r="H831" s="8" t="s">
        <v>2860</v>
      </c>
      <c r="I831" s="8" t="s">
        <v>2861</v>
      </c>
      <c r="J831" s="8" t="s">
        <v>2859</v>
      </c>
    </row>
    <row r="832" spans="7:10" ht="12.75" x14ac:dyDescent="0.2">
      <c r="G832" s="8" t="s">
        <v>2862</v>
      </c>
      <c r="H832" s="8" t="s">
        <v>2863</v>
      </c>
      <c r="I832" s="8" t="s">
        <v>2864</v>
      </c>
      <c r="J832" s="8" t="s">
        <v>2862</v>
      </c>
    </row>
    <row r="833" spans="7:10" ht="12.75" x14ac:dyDescent="0.2">
      <c r="G833" s="8" t="s">
        <v>2865</v>
      </c>
      <c r="H833" s="8" t="s">
        <v>2866</v>
      </c>
      <c r="I833" s="8" t="s">
        <v>2867</v>
      </c>
      <c r="J833" s="8" t="s">
        <v>2865</v>
      </c>
    </row>
    <row r="834" spans="7:10" ht="12.75" x14ac:dyDescent="0.2">
      <c r="G834" s="8" t="s">
        <v>2868</v>
      </c>
      <c r="H834" s="8" t="s">
        <v>2869</v>
      </c>
      <c r="I834" s="8" t="s">
        <v>2870</v>
      </c>
      <c r="J834" s="8" t="s">
        <v>2868</v>
      </c>
    </row>
    <row r="835" spans="7:10" ht="12.75" x14ac:dyDescent="0.2">
      <c r="G835" s="8" t="s">
        <v>190</v>
      </c>
      <c r="H835" s="8" t="s">
        <v>2871</v>
      </c>
      <c r="I835" s="8" t="s">
        <v>2872</v>
      </c>
      <c r="J835" s="8" t="s">
        <v>190</v>
      </c>
    </row>
    <row r="836" spans="7:10" ht="12.75" x14ac:dyDescent="0.2">
      <c r="G836" s="8" t="s">
        <v>191</v>
      </c>
      <c r="H836" s="8" t="s">
        <v>2873</v>
      </c>
      <c r="I836" s="8" t="s">
        <v>872</v>
      </c>
      <c r="J836" s="8" t="s">
        <v>191</v>
      </c>
    </row>
    <row r="837" spans="7:10" ht="12.75" x14ac:dyDescent="0.2">
      <c r="G837" s="8" t="s">
        <v>2874</v>
      </c>
      <c r="H837" s="8" t="s">
        <v>2875</v>
      </c>
      <c r="I837" s="8" t="s">
        <v>2876</v>
      </c>
      <c r="J837" s="8" t="s">
        <v>2874</v>
      </c>
    </row>
    <row r="838" spans="7:10" ht="12.75" x14ac:dyDescent="0.2">
      <c r="G838" s="8" t="s">
        <v>2877</v>
      </c>
      <c r="H838" s="8" t="s">
        <v>2878</v>
      </c>
      <c r="I838" s="8" t="s">
        <v>2879</v>
      </c>
      <c r="J838" s="8" t="s">
        <v>2877</v>
      </c>
    </row>
    <row r="839" spans="7:10" ht="12.75" x14ac:dyDescent="0.2">
      <c r="G839" s="8" t="s">
        <v>2880</v>
      </c>
      <c r="H839" s="8" t="s">
        <v>2881</v>
      </c>
      <c r="I839" s="8" t="s">
        <v>2882</v>
      </c>
      <c r="J839" s="8" t="s">
        <v>2880</v>
      </c>
    </row>
    <row r="840" spans="7:10" ht="12.75" x14ac:dyDescent="0.2">
      <c r="G840" s="8" t="s">
        <v>2883</v>
      </c>
      <c r="H840" s="8" t="s">
        <v>2884</v>
      </c>
      <c r="I840" s="8" t="s">
        <v>2885</v>
      </c>
      <c r="J840" s="8" t="s">
        <v>2883</v>
      </c>
    </row>
    <row r="841" spans="7:10" ht="12.75" x14ac:dyDescent="0.2">
      <c r="G841" s="8" t="s">
        <v>192</v>
      </c>
      <c r="H841" s="8" t="s">
        <v>2886</v>
      </c>
      <c r="I841" s="8" t="s">
        <v>2887</v>
      </c>
      <c r="J841" s="8" t="s">
        <v>192</v>
      </c>
    </row>
    <row r="842" spans="7:10" ht="12.75" x14ac:dyDescent="0.2">
      <c r="G842" s="8" t="s">
        <v>2888</v>
      </c>
      <c r="H842" s="8" t="s">
        <v>2889</v>
      </c>
      <c r="I842" s="8" t="s">
        <v>2890</v>
      </c>
      <c r="J842" s="8" t="s">
        <v>2888</v>
      </c>
    </row>
    <row r="843" spans="7:10" ht="12.75" x14ac:dyDescent="0.2">
      <c r="G843" s="8" t="s">
        <v>2891</v>
      </c>
      <c r="H843" s="8" t="s">
        <v>2892</v>
      </c>
      <c r="I843" s="8" t="s">
        <v>2893</v>
      </c>
      <c r="J843" s="8" t="s">
        <v>2891</v>
      </c>
    </row>
    <row r="844" spans="7:10" ht="12.75" x14ac:dyDescent="0.2">
      <c r="G844" s="8" t="s">
        <v>2894</v>
      </c>
      <c r="H844" s="8" t="s">
        <v>2846</v>
      </c>
      <c r="I844" s="8" t="s">
        <v>2895</v>
      </c>
      <c r="J844" s="8" t="s">
        <v>2894</v>
      </c>
    </row>
    <row r="845" spans="7:10" ht="12.75" x14ac:dyDescent="0.2">
      <c r="G845" s="8" t="s">
        <v>193</v>
      </c>
      <c r="H845" s="8" t="s">
        <v>2896</v>
      </c>
      <c r="I845" s="8" t="s">
        <v>2897</v>
      </c>
      <c r="J845" s="8" t="s">
        <v>193</v>
      </c>
    </row>
    <row r="846" spans="7:10" ht="12.75" x14ac:dyDescent="0.2">
      <c r="G846" s="8" t="s">
        <v>2898</v>
      </c>
      <c r="H846" s="8" t="s">
        <v>2899</v>
      </c>
      <c r="I846" s="8" t="s">
        <v>2900</v>
      </c>
      <c r="J846" s="8" t="s">
        <v>2898</v>
      </c>
    </row>
    <row r="847" spans="7:10" ht="12.75" x14ac:dyDescent="0.2">
      <c r="G847" s="8" t="s">
        <v>2901</v>
      </c>
      <c r="H847" s="8" t="s">
        <v>2902</v>
      </c>
      <c r="I847" s="8" t="s">
        <v>2903</v>
      </c>
      <c r="J847" s="8" t="s">
        <v>2901</v>
      </c>
    </row>
    <row r="848" spans="7:10" ht="12.75" x14ac:dyDescent="0.2">
      <c r="G848" s="8" t="s">
        <v>2904</v>
      </c>
      <c r="H848" s="8" t="s">
        <v>2905</v>
      </c>
      <c r="I848" s="8" t="s">
        <v>2906</v>
      </c>
      <c r="J848" s="8" t="s">
        <v>2904</v>
      </c>
    </row>
    <row r="849" spans="7:10" ht="12.75" x14ac:dyDescent="0.2">
      <c r="G849" s="8" t="s">
        <v>194</v>
      </c>
      <c r="H849" s="8" t="s">
        <v>2907</v>
      </c>
      <c r="I849" s="8" t="s">
        <v>874</v>
      </c>
      <c r="J849" s="8" t="s">
        <v>194</v>
      </c>
    </row>
    <row r="850" spans="7:10" ht="12.75" x14ac:dyDescent="0.2">
      <c r="G850" s="8" t="s">
        <v>2908</v>
      </c>
      <c r="H850" s="8" t="s">
        <v>2909</v>
      </c>
      <c r="I850" s="8" t="s">
        <v>2910</v>
      </c>
      <c r="J850" s="8" t="s">
        <v>2908</v>
      </c>
    </row>
    <row r="851" spans="7:10" ht="12.75" x14ac:dyDescent="0.2">
      <c r="G851" s="8" t="s">
        <v>2911</v>
      </c>
      <c r="H851" s="8" t="s">
        <v>2912</v>
      </c>
      <c r="I851" s="8" t="s">
        <v>2913</v>
      </c>
      <c r="J851" s="8" t="s">
        <v>2911</v>
      </c>
    </row>
    <row r="852" spans="7:10" ht="12.75" x14ac:dyDescent="0.2">
      <c r="G852" s="8" t="s">
        <v>195</v>
      </c>
      <c r="H852" s="8" t="s">
        <v>2914</v>
      </c>
      <c r="I852" s="8" t="s">
        <v>2915</v>
      </c>
      <c r="J852" s="8" t="s">
        <v>195</v>
      </c>
    </row>
    <row r="853" spans="7:10" ht="12.75" x14ac:dyDescent="0.2">
      <c r="G853" s="8" t="s">
        <v>2916</v>
      </c>
      <c r="H853" s="8" t="s">
        <v>2917</v>
      </c>
      <c r="I853" s="8" t="s">
        <v>2918</v>
      </c>
      <c r="J853" s="8" t="s">
        <v>2916</v>
      </c>
    </row>
    <row r="854" spans="7:10" ht="12.75" x14ac:dyDescent="0.2">
      <c r="G854" s="8" t="s">
        <v>2919</v>
      </c>
      <c r="H854" s="8" t="s">
        <v>2920</v>
      </c>
      <c r="I854" s="8" t="s">
        <v>2921</v>
      </c>
      <c r="J854" s="8" t="s">
        <v>2919</v>
      </c>
    </row>
    <row r="855" spans="7:10" ht="12.75" x14ac:dyDescent="0.2">
      <c r="G855" s="8" t="s">
        <v>2922</v>
      </c>
      <c r="H855" s="8" t="s">
        <v>2923</v>
      </c>
      <c r="I855" s="8" t="s">
        <v>2924</v>
      </c>
      <c r="J855" s="8" t="s">
        <v>2922</v>
      </c>
    </row>
    <row r="856" spans="7:10" ht="12.75" x14ac:dyDescent="0.2">
      <c r="G856" s="8" t="s">
        <v>2925</v>
      </c>
      <c r="H856" s="8" t="s">
        <v>2926</v>
      </c>
      <c r="I856" s="8" t="s">
        <v>2927</v>
      </c>
      <c r="J856" s="8" t="s">
        <v>2925</v>
      </c>
    </row>
    <row r="857" spans="7:10" ht="12.75" x14ac:dyDescent="0.2">
      <c r="G857" s="8" t="s">
        <v>2928</v>
      </c>
      <c r="H857" s="8" t="s">
        <v>2929</v>
      </c>
      <c r="I857" s="8" t="s">
        <v>2930</v>
      </c>
      <c r="J857" s="8" t="s">
        <v>2928</v>
      </c>
    </row>
    <row r="858" spans="7:10" ht="12.75" x14ac:dyDescent="0.2">
      <c r="G858" s="8" t="s">
        <v>196</v>
      </c>
      <c r="H858" s="8" t="s">
        <v>2931</v>
      </c>
      <c r="I858" s="8" t="s">
        <v>2932</v>
      </c>
      <c r="J858" s="8" t="s">
        <v>196</v>
      </c>
    </row>
    <row r="859" spans="7:10" ht="12.75" x14ac:dyDescent="0.2">
      <c r="G859" s="8" t="s">
        <v>2933</v>
      </c>
      <c r="H859" s="8" t="s">
        <v>2934</v>
      </c>
      <c r="I859" s="8" t="s">
        <v>2935</v>
      </c>
      <c r="J859" s="8" t="s">
        <v>2933</v>
      </c>
    </row>
    <row r="860" spans="7:10" ht="12.75" x14ac:dyDescent="0.2">
      <c r="G860" s="8" t="s">
        <v>402</v>
      </c>
      <c r="H860" s="8" t="s">
        <v>2936</v>
      </c>
      <c r="I860" s="8" t="s">
        <v>878</v>
      </c>
      <c r="J860" s="8" t="s">
        <v>402</v>
      </c>
    </row>
    <row r="861" spans="7:10" ht="12.75" x14ac:dyDescent="0.2">
      <c r="G861" s="8" t="s">
        <v>403</v>
      </c>
      <c r="H861" s="8" t="s">
        <v>2937</v>
      </c>
      <c r="I861" s="8" t="s">
        <v>2938</v>
      </c>
      <c r="J861" s="8" t="s">
        <v>403</v>
      </c>
    </row>
    <row r="862" spans="7:10" ht="12.75" x14ac:dyDescent="0.2">
      <c r="G862" s="8" t="s">
        <v>2939</v>
      </c>
      <c r="H862" s="8" t="s">
        <v>2940</v>
      </c>
      <c r="I862" s="8" t="s">
        <v>2941</v>
      </c>
      <c r="J862" s="8" t="s">
        <v>2939</v>
      </c>
    </row>
    <row r="863" spans="7:10" ht="12.75" x14ac:dyDescent="0.2">
      <c r="G863" s="8" t="s">
        <v>2942</v>
      </c>
      <c r="H863" s="8" t="s">
        <v>2943</v>
      </c>
      <c r="I863" s="8" t="s">
        <v>2944</v>
      </c>
      <c r="J863" s="8" t="s">
        <v>2942</v>
      </c>
    </row>
    <row r="864" spans="7:10" ht="12.75" x14ac:dyDescent="0.2">
      <c r="G864" s="8" t="s">
        <v>197</v>
      </c>
      <c r="H864" s="8" t="s">
        <v>2945</v>
      </c>
      <c r="I864" s="8" t="s">
        <v>882</v>
      </c>
      <c r="J864" s="8" t="s">
        <v>197</v>
      </c>
    </row>
    <row r="865" spans="7:10" ht="12.75" x14ac:dyDescent="0.2">
      <c r="G865" s="8" t="s">
        <v>2946</v>
      </c>
      <c r="H865" s="8" t="s">
        <v>2947</v>
      </c>
      <c r="I865" s="8" t="s">
        <v>2948</v>
      </c>
      <c r="J865" s="8" t="s">
        <v>2946</v>
      </c>
    </row>
    <row r="866" spans="7:10" ht="12.75" x14ac:dyDescent="0.2">
      <c r="G866" s="8" t="s">
        <v>2949</v>
      </c>
      <c r="H866" s="8" t="s">
        <v>2950</v>
      </c>
      <c r="I866" s="8" t="s">
        <v>2951</v>
      </c>
      <c r="J866" s="8" t="s">
        <v>2949</v>
      </c>
    </row>
    <row r="867" spans="7:10" ht="12.75" x14ac:dyDescent="0.2">
      <c r="G867" s="8" t="s">
        <v>2952</v>
      </c>
      <c r="H867" s="8" t="s">
        <v>2953</v>
      </c>
      <c r="I867" s="8" t="s">
        <v>2954</v>
      </c>
      <c r="J867" s="8" t="s">
        <v>2952</v>
      </c>
    </row>
    <row r="868" spans="7:10" ht="12.75" x14ac:dyDescent="0.2">
      <c r="G868" s="8" t="s">
        <v>2955</v>
      </c>
      <c r="H868" s="8" t="s">
        <v>2956</v>
      </c>
      <c r="I868" s="8" t="s">
        <v>2957</v>
      </c>
      <c r="J868" s="8" t="s">
        <v>2955</v>
      </c>
    </row>
    <row r="869" spans="7:10" ht="12.75" x14ac:dyDescent="0.2">
      <c r="G869" s="8" t="s">
        <v>2958</v>
      </c>
      <c r="H869" s="8" t="s">
        <v>2959</v>
      </c>
      <c r="I869" s="8" t="s">
        <v>2960</v>
      </c>
      <c r="J869" s="8" t="s">
        <v>2958</v>
      </c>
    </row>
    <row r="870" spans="7:10" ht="12.75" x14ac:dyDescent="0.2">
      <c r="G870" s="8" t="s">
        <v>2961</v>
      </c>
      <c r="H870" s="8" t="s">
        <v>2962</v>
      </c>
      <c r="I870" s="8" t="s">
        <v>2963</v>
      </c>
      <c r="J870" s="8" t="s">
        <v>2961</v>
      </c>
    </row>
    <row r="871" spans="7:10" ht="12.75" x14ac:dyDescent="0.2">
      <c r="G871" s="8" t="s">
        <v>198</v>
      </c>
      <c r="H871" s="8" t="s">
        <v>2964</v>
      </c>
      <c r="I871" s="8" t="s">
        <v>2965</v>
      </c>
      <c r="J871" s="8" t="s">
        <v>198</v>
      </c>
    </row>
    <row r="872" spans="7:10" ht="12.75" x14ac:dyDescent="0.2">
      <c r="G872" s="8" t="s">
        <v>2966</v>
      </c>
      <c r="H872" s="8" t="s">
        <v>2967</v>
      </c>
      <c r="I872" s="8" t="s">
        <v>2968</v>
      </c>
      <c r="J872" s="8" t="s">
        <v>2966</v>
      </c>
    </row>
    <row r="873" spans="7:10" ht="12.75" x14ac:dyDescent="0.2">
      <c r="G873" s="8" t="s">
        <v>2969</v>
      </c>
      <c r="H873" s="8" t="s">
        <v>2970</v>
      </c>
      <c r="I873" s="8" t="s">
        <v>2971</v>
      </c>
      <c r="J873" s="8" t="s">
        <v>2969</v>
      </c>
    </row>
    <row r="874" spans="7:10" ht="12.75" x14ac:dyDescent="0.2">
      <c r="G874" s="8" t="s">
        <v>2972</v>
      </c>
      <c r="H874" s="8" t="s">
        <v>2973</v>
      </c>
      <c r="I874" s="8" t="s">
        <v>2974</v>
      </c>
      <c r="J874" s="8" t="s">
        <v>2972</v>
      </c>
    </row>
    <row r="875" spans="7:10" ht="12.75" x14ac:dyDescent="0.2">
      <c r="G875" s="8" t="s">
        <v>2975</v>
      </c>
      <c r="H875" s="8" t="s">
        <v>2976</v>
      </c>
      <c r="I875" s="8" t="s">
        <v>2977</v>
      </c>
      <c r="J875" s="8" t="s">
        <v>2975</v>
      </c>
    </row>
    <row r="876" spans="7:10" ht="12.75" x14ac:dyDescent="0.2">
      <c r="G876" s="8" t="s">
        <v>2978</v>
      </c>
      <c r="H876" s="8" t="s">
        <v>2979</v>
      </c>
      <c r="I876" s="8" t="s">
        <v>2980</v>
      </c>
      <c r="J876" s="8" t="s">
        <v>2978</v>
      </c>
    </row>
    <row r="877" spans="7:10" ht="12.75" x14ac:dyDescent="0.2">
      <c r="G877" s="8" t="s">
        <v>199</v>
      </c>
      <c r="H877" s="8" t="s">
        <v>2981</v>
      </c>
      <c r="I877" s="8" t="s">
        <v>886</v>
      </c>
      <c r="J877" s="8" t="s">
        <v>199</v>
      </c>
    </row>
    <row r="878" spans="7:10" ht="12.75" x14ac:dyDescent="0.2">
      <c r="G878" s="8" t="s">
        <v>2982</v>
      </c>
      <c r="H878" s="8" t="s">
        <v>2983</v>
      </c>
      <c r="I878" s="8" t="s">
        <v>2984</v>
      </c>
      <c r="J878" s="8" t="s">
        <v>2982</v>
      </c>
    </row>
    <row r="879" spans="7:10" ht="12.75" x14ac:dyDescent="0.2">
      <c r="G879" s="8" t="s">
        <v>2985</v>
      </c>
      <c r="H879" s="8" t="s">
        <v>2986</v>
      </c>
      <c r="I879" s="8" t="s">
        <v>2987</v>
      </c>
      <c r="J879" s="8" t="s">
        <v>2985</v>
      </c>
    </row>
    <row r="880" spans="7:10" ht="12.75" x14ac:dyDescent="0.2">
      <c r="G880" s="8" t="s">
        <v>2988</v>
      </c>
      <c r="H880" s="8" t="s">
        <v>2989</v>
      </c>
      <c r="I880" s="8" t="s">
        <v>2990</v>
      </c>
      <c r="J880" s="8" t="s">
        <v>2988</v>
      </c>
    </row>
    <row r="881" spans="7:10" ht="12.75" x14ac:dyDescent="0.2">
      <c r="G881" s="8" t="s">
        <v>2991</v>
      </c>
      <c r="H881" s="8" t="s">
        <v>2992</v>
      </c>
      <c r="I881" s="8" t="s">
        <v>2993</v>
      </c>
      <c r="J881" s="8" t="s">
        <v>2991</v>
      </c>
    </row>
    <row r="882" spans="7:10" ht="12.75" x14ac:dyDescent="0.2">
      <c r="G882" s="8" t="s">
        <v>2994</v>
      </c>
      <c r="H882" s="8" t="s">
        <v>2995</v>
      </c>
      <c r="I882" s="8" t="s">
        <v>2996</v>
      </c>
      <c r="J882" s="8" t="s">
        <v>2994</v>
      </c>
    </row>
    <row r="883" spans="7:10" ht="12.75" x14ac:dyDescent="0.2">
      <c r="G883" s="8" t="s">
        <v>200</v>
      </c>
      <c r="H883" s="8" t="s">
        <v>2997</v>
      </c>
      <c r="I883" s="8" t="s">
        <v>2998</v>
      </c>
      <c r="J883" s="8" t="s">
        <v>200</v>
      </c>
    </row>
    <row r="884" spans="7:10" ht="12.75" x14ac:dyDescent="0.2">
      <c r="G884" s="8" t="s">
        <v>2999</v>
      </c>
      <c r="H884" s="8" t="s">
        <v>3000</v>
      </c>
      <c r="I884" s="8" t="s">
        <v>3001</v>
      </c>
      <c r="J884" s="8" t="s">
        <v>2999</v>
      </c>
    </row>
    <row r="885" spans="7:10" ht="12.75" x14ac:dyDescent="0.2">
      <c r="G885" s="8" t="s">
        <v>3002</v>
      </c>
      <c r="H885" s="8" t="s">
        <v>3003</v>
      </c>
      <c r="I885" s="8" t="s">
        <v>3004</v>
      </c>
      <c r="J885" s="8" t="s">
        <v>3002</v>
      </c>
    </row>
    <row r="886" spans="7:10" ht="12.75" x14ac:dyDescent="0.2">
      <c r="G886" s="8" t="s">
        <v>3005</v>
      </c>
      <c r="H886" s="8" t="s">
        <v>3006</v>
      </c>
      <c r="I886" s="8" t="s">
        <v>3007</v>
      </c>
      <c r="J886" s="8" t="s">
        <v>3005</v>
      </c>
    </row>
    <row r="887" spans="7:10" ht="12.75" x14ac:dyDescent="0.2">
      <c r="G887" s="8" t="s">
        <v>3008</v>
      </c>
      <c r="H887" s="8" t="s">
        <v>3009</v>
      </c>
      <c r="I887" s="8" t="s">
        <v>3010</v>
      </c>
      <c r="J887" s="8" t="s">
        <v>3008</v>
      </c>
    </row>
    <row r="888" spans="7:10" ht="12.75" x14ac:dyDescent="0.2">
      <c r="G888" s="8" t="s">
        <v>3011</v>
      </c>
      <c r="H888" s="8" t="s">
        <v>3012</v>
      </c>
      <c r="I888" s="8" t="s">
        <v>3013</v>
      </c>
      <c r="J888" s="8" t="s">
        <v>3011</v>
      </c>
    </row>
    <row r="889" spans="7:10" ht="12.75" x14ac:dyDescent="0.2">
      <c r="G889" s="8" t="s">
        <v>3014</v>
      </c>
      <c r="H889" s="8" t="s">
        <v>3015</v>
      </c>
      <c r="I889" s="8" t="s">
        <v>3016</v>
      </c>
      <c r="J889" s="8" t="s">
        <v>3014</v>
      </c>
    </row>
    <row r="890" spans="7:10" ht="12.75" x14ac:dyDescent="0.2">
      <c r="G890" s="8" t="s">
        <v>3017</v>
      </c>
      <c r="H890" s="8" t="s">
        <v>3018</v>
      </c>
      <c r="I890" s="8" t="s">
        <v>3019</v>
      </c>
      <c r="J890" s="8" t="s">
        <v>3017</v>
      </c>
    </row>
    <row r="891" spans="7:10" ht="12.75" x14ac:dyDescent="0.2">
      <c r="G891" s="8" t="s">
        <v>3020</v>
      </c>
      <c r="H891" s="8" t="s">
        <v>3021</v>
      </c>
      <c r="I891" s="8" t="s">
        <v>3022</v>
      </c>
      <c r="J891" s="8" t="s">
        <v>3020</v>
      </c>
    </row>
    <row r="892" spans="7:10" ht="12.75" x14ac:dyDescent="0.2">
      <c r="G892" s="8" t="s">
        <v>404</v>
      </c>
      <c r="H892" s="8" t="s">
        <v>3023</v>
      </c>
      <c r="I892" s="8" t="s">
        <v>890</v>
      </c>
      <c r="J892" s="8" t="s">
        <v>404</v>
      </c>
    </row>
    <row r="893" spans="7:10" ht="12.75" x14ac:dyDescent="0.2">
      <c r="G893" s="8" t="s">
        <v>405</v>
      </c>
      <c r="H893" s="8" t="s">
        <v>3024</v>
      </c>
      <c r="I893" s="8" t="s">
        <v>3025</v>
      </c>
      <c r="J893" s="8" t="s">
        <v>405</v>
      </c>
    </row>
    <row r="894" spans="7:10" ht="12.75" x14ac:dyDescent="0.2">
      <c r="G894" s="8" t="s">
        <v>406</v>
      </c>
      <c r="H894" s="8" t="s">
        <v>3026</v>
      </c>
      <c r="I894" s="8" t="s">
        <v>892</v>
      </c>
      <c r="J894" s="8" t="s">
        <v>406</v>
      </c>
    </row>
    <row r="895" spans="7:10" ht="12.75" x14ac:dyDescent="0.2">
      <c r="G895" s="8" t="s">
        <v>407</v>
      </c>
      <c r="H895" s="8" t="s">
        <v>3027</v>
      </c>
      <c r="I895" s="8" t="s">
        <v>3028</v>
      </c>
      <c r="J895" s="8" t="s">
        <v>407</v>
      </c>
    </row>
    <row r="896" spans="7:10" ht="12.75" x14ac:dyDescent="0.2">
      <c r="G896" s="8" t="s">
        <v>3029</v>
      </c>
      <c r="H896" s="8" t="s">
        <v>3030</v>
      </c>
      <c r="I896" s="8" t="s">
        <v>3031</v>
      </c>
      <c r="J896" s="8" t="s">
        <v>3029</v>
      </c>
    </row>
    <row r="897" spans="7:10" ht="12.75" x14ac:dyDescent="0.2">
      <c r="G897" s="8" t="s">
        <v>3032</v>
      </c>
      <c r="H897" s="8" t="s">
        <v>3033</v>
      </c>
      <c r="I897" s="8" t="s">
        <v>3034</v>
      </c>
      <c r="J897" s="8" t="s">
        <v>3032</v>
      </c>
    </row>
    <row r="898" spans="7:10" ht="12.75" x14ac:dyDescent="0.2">
      <c r="G898" s="8" t="s">
        <v>3035</v>
      </c>
      <c r="H898" s="8" t="s">
        <v>3036</v>
      </c>
      <c r="I898" s="8" t="s">
        <v>3037</v>
      </c>
      <c r="J898" s="8" t="s">
        <v>3035</v>
      </c>
    </row>
    <row r="899" spans="7:10" ht="12.75" x14ac:dyDescent="0.2">
      <c r="G899" s="8" t="s">
        <v>3038</v>
      </c>
      <c r="H899" s="8" t="s">
        <v>3039</v>
      </c>
      <c r="I899" s="8" t="s">
        <v>3040</v>
      </c>
      <c r="J899" s="8" t="s">
        <v>3038</v>
      </c>
    </row>
    <row r="900" spans="7:10" ht="12.75" x14ac:dyDescent="0.2">
      <c r="G900" s="8" t="s">
        <v>3041</v>
      </c>
      <c r="H900" s="8" t="s">
        <v>3042</v>
      </c>
      <c r="I900" s="8" t="s">
        <v>3043</v>
      </c>
      <c r="J900" s="8" t="s">
        <v>3041</v>
      </c>
    </row>
    <row r="901" spans="7:10" ht="12.75" x14ac:dyDescent="0.2">
      <c r="G901" s="8" t="s">
        <v>3044</v>
      </c>
      <c r="H901" s="8" t="s">
        <v>3045</v>
      </c>
      <c r="I901" s="8" t="s">
        <v>3046</v>
      </c>
      <c r="J901" s="8" t="s">
        <v>3044</v>
      </c>
    </row>
    <row r="902" spans="7:10" ht="12.75" x14ac:dyDescent="0.2">
      <c r="G902" s="8" t="s">
        <v>201</v>
      </c>
      <c r="H902" s="8" t="s">
        <v>3047</v>
      </c>
      <c r="I902" s="8" t="s">
        <v>895</v>
      </c>
      <c r="J902" s="8" t="s">
        <v>201</v>
      </c>
    </row>
    <row r="903" spans="7:10" ht="12.75" x14ac:dyDescent="0.2">
      <c r="G903" s="8" t="s">
        <v>202</v>
      </c>
      <c r="H903" s="8" t="s">
        <v>3048</v>
      </c>
      <c r="I903" s="8" t="s">
        <v>897</v>
      </c>
      <c r="J903" s="8" t="s">
        <v>202</v>
      </c>
    </row>
    <row r="904" spans="7:10" ht="12.75" x14ac:dyDescent="0.2">
      <c r="G904" s="8" t="s">
        <v>3049</v>
      </c>
      <c r="H904" s="8" t="s">
        <v>3050</v>
      </c>
      <c r="I904" s="8" t="s">
        <v>3051</v>
      </c>
      <c r="J904" s="8" t="s">
        <v>3049</v>
      </c>
    </row>
    <row r="905" spans="7:10" ht="12.75" x14ac:dyDescent="0.2">
      <c r="G905" s="8" t="s">
        <v>203</v>
      </c>
      <c r="H905" s="8" t="s">
        <v>3052</v>
      </c>
      <c r="I905" s="8" t="s">
        <v>899</v>
      </c>
      <c r="J905" s="8" t="s">
        <v>203</v>
      </c>
    </row>
    <row r="906" spans="7:10" ht="12.75" x14ac:dyDescent="0.2">
      <c r="G906" s="8" t="s">
        <v>3053</v>
      </c>
      <c r="H906" s="8" t="s">
        <v>3054</v>
      </c>
      <c r="I906" s="8" t="s">
        <v>3055</v>
      </c>
      <c r="J906" s="8" t="s">
        <v>3053</v>
      </c>
    </row>
    <row r="907" spans="7:10" ht="12.75" x14ac:dyDescent="0.2">
      <c r="G907" s="8" t="s">
        <v>204</v>
      </c>
      <c r="H907" s="8" t="s">
        <v>3056</v>
      </c>
      <c r="I907" s="8" t="s">
        <v>902</v>
      </c>
      <c r="J907" s="8" t="s">
        <v>204</v>
      </c>
    </row>
    <row r="908" spans="7:10" ht="12.75" x14ac:dyDescent="0.2">
      <c r="G908" s="8" t="s">
        <v>205</v>
      </c>
      <c r="H908" s="8" t="s">
        <v>3057</v>
      </c>
      <c r="I908" s="8" t="s">
        <v>3058</v>
      </c>
      <c r="J908" s="8" t="s">
        <v>205</v>
      </c>
    </row>
    <row r="909" spans="7:10" ht="12.75" x14ac:dyDescent="0.2">
      <c r="G909" s="8" t="s">
        <v>3059</v>
      </c>
      <c r="H909" s="8" t="s">
        <v>3060</v>
      </c>
      <c r="I909" s="8" t="s">
        <v>3061</v>
      </c>
      <c r="J909" s="8" t="s">
        <v>3059</v>
      </c>
    </row>
    <row r="910" spans="7:10" ht="12.75" x14ac:dyDescent="0.2">
      <c r="G910" s="8" t="s">
        <v>3062</v>
      </c>
      <c r="H910" s="8" t="s">
        <v>3063</v>
      </c>
      <c r="I910" s="8" t="s">
        <v>3064</v>
      </c>
      <c r="J910" s="8" t="s">
        <v>3062</v>
      </c>
    </row>
    <row r="911" spans="7:10" ht="12.75" x14ac:dyDescent="0.2">
      <c r="G911" s="8" t="s">
        <v>3065</v>
      </c>
      <c r="H911" s="8" t="s">
        <v>3066</v>
      </c>
      <c r="I911" s="8" t="s">
        <v>3067</v>
      </c>
      <c r="J911" s="8" t="s">
        <v>3065</v>
      </c>
    </row>
    <row r="912" spans="7:10" ht="12.75" x14ac:dyDescent="0.2">
      <c r="G912" s="8" t="s">
        <v>3068</v>
      </c>
      <c r="H912" s="8" t="s">
        <v>3069</v>
      </c>
      <c r="I912" s="8" t="s">
        <v>3070</v>
      </c>
      <c r="J912" s="8" t="s">
        <v>3068</v>
      </c>
    </row>
    <row r="913" spans="7:10" ht="12.75" x14ac:dyDescent="0.2">
      <c r="G913" s="8" t="s">
        <v>3071</v>
      </c>
      <c r="H913" s="8" t="s">
        <v>3072</v>
      </c>
      <c r="I913" s="8" t="s">
        <v>3073</v>
      </c>
      <c r="J913" s="8" t="s">
        <v>3071</v>
      </c>
    </row>
    <row r="914" spans="7:10" ht="12.75" x14ac:dyDescent="0.2">
      <c r="G914" s="8" t="s">
        <v>206</v>
      </c>
      <c r="H914" s="8" t="s">
        <v>3074</v>
      </c>
      <c r="I914" s="8" t="s">
        <v>3075</v>
      </c>
      <c r="J914" s="8" t="s">
        <v>206</v>
      </c>
    </row>
    <row r="915" spans="7:10" ht="12.75" x14ac:dyDescent="0.2">
      <c r="G915" s="8" t="s">
        <v>3076</v>
      </c>
      <c r="H915" s="8" t="s">
        <v>3077</v>
      </c>
      <c r="I915" s="8" t="s">
        <v>3078</v>
      </c>
      <c r="J915" s="8" t="s">
        <v>3076</v>
      </c>
    </row>
    <row r="916" spans="7:10" ht="12.75" x14ac:dyDescent="0.2">
      <c r="G916" s="8" t="s">
        <v>207</v>
      </c>
      <c r="H916" s="8" t="s">
        <v>3079</v>
      </c>
      <c r="I916" s="8" t="s">
        <v>906</v>
      </c>
      <c r="J916" s="8" t="s">
        <v>207</v>
      </c>
    </row>
    <row r="917" spans="7:10" ht="12.75" x14ac:dyDescent="0.2">
      <c r="G917" s="8" t="s">
        <v>408</v>
      </c>
      <c r="H917" s="8" t="s">
        <v>3080</v>
      </c>
      <c r="I917" s="8" t="s">
        <v>322</v>
      </c>
      <c r="J917" s="8" t="s">
        <v>408</v>
      </c>
    </row>
    <row r="918" spans="7:10" ht="12.75" x14ac:dyDescent="0.2">
      <c r="G918" s="8" t="s">
        <v>3081</v>
      </c>
      <c r="H918" s="8" t="s">
        <v>3080</v>
      </c>
      <c r="I918" s="8" t="s">
        <v>3082</v>
      </c>
      <c r="J918" s="8" t="s">
        <v>3081</v>
      </c>
    </row>
    <row r="919" spans="7:10" ht="12.75" x14ac:dyDescent="0.2">
      <c r="G919" s="8" t="s">
        <v>409</v>
      </c>
      <c r="H919" s="8" t="s">
        <v>3083</v>
      </c>
      <c r="I919" s="8" t="s">
        <v>319</v>
      </c>
      <c r="J919" s="8" t="s">
        <v>409</v>
      </c>
    </row>
    <row r="920" spans="7:10" ht="12.75" x14ac:dyDescent="0.2">
      <c r="G920" s="8" t="s">
        <v>3084</v>
      </c>
      <c r="H920" s="8" t="s">
        <v>3083</v>
      </c>
      <c r="I920" s="8" t="s">
        <v>3085</v>
      </c>
      <c r="J920" s="8" t="s">
        <v>3084</v>
      </c>
    </row>
    <row r="921" spans="7:10" ht="12.75" x14ac:dyDescent="0.2">
      <c r="G921" s="8" t="s">
        <v>410</v>
      </c>
      <c r="H921" s="8" t="s">
        <v>3086</v>
      </c>
      <c r="I921" s="8" t="s">
        <v>323</v>
      </c>
      <c r="J921" s="8" t="s">
        <v>410</v>
      </c>
    </row>
    <row r="922" spans="7:10" ht="12.75" x14ac:dyDescent="0.2">
      <c r="G922" s="8" t="s">
        <v>411</v>
      </c>
      <c r="H922" s="8" t="s">
        <v>3087</v>
      </c>
      <c r="I922" s="8" t="s">
        <v>320</v>
      </c>
      <c r="J922" s="8" t="s">
        <v>411</v>
      </c>
    </row>
    <row r="923" spans="7:10" ht="12.75" x14ac:dyDescent="0.2">
      <c r="G923" s="8" t="s">
        <v>3088</v>
      </c>
      <c r="H923" s="8" t="s">
        <v>3089</v>
      </c>
      <c r="I923" s="8" t="s">
        <v>3090</v>
      </c>
      <c r="J923" s="8" t="s">
        <v>3088</v>
      </c>
    </row>
    <row r="924" spans="7:10" ht="12.75" x14ac:dyDescent="0.2">
      <c r="G924" s="8" t="s">
        <v>3091</v>
      </c>
      <c r="H924" s="8" t="s">
        <v>3092</v>
      </c>
      <c r="I924" s="8" t="s">
        <v>3093</v>
      </c>
      <c r="J924" s="8" t="s">
        <v>3091</v>
      </c>
    </row>
    <row r="925" spans="7:10" ht="12.75" x14ac:dyDescent="0.2">
      <c r="G925" s="8" t="s">
        <v>3094</v>
      </c>
      <c r="H925" s="8" t="s">
        <v>3095</v>
      </c>
      <c r="I925" s="8" t="s">
        <v>3096</v>
      </c>
      <c r="J925" s="8" t="s">
        <v>3094</v>
      </c>
    </row>
    <row r="926" spans="7:10" ht="12.75" x14ac:dyDescent="0.2">
      <c r="G926" s="8" t="s">
        <v>3097</v>
      </c>
      <c r="H926" s="8" t="s">
        <v>3098</v>
      </c>
      <c r="I926" s="8" t="s">
        <v>3099</v>
      </c>
      <c r="J926" s="8" t="s">
        <v>3097</v>
      </c>
    </row>
    <row r="927" spans="7:10" ht="12.75" x14ac:dyDescent="0.2">
      <c r="G927" s="8" t="s">
        <v>3100</v>
      </c>
      <c r="H927" s="8" t="s">
        <v>3101</v>
      </c>
      <c r="I927" s="8" t="s">
        <v>3102</v>
      </c>
      <c r="J927" s="8" t="s">
        <v>3100</v>
      </c>
    </row>
    <row r="928" spans="7:10" ht="12.75" x14ac:dyDescent="0.2">
      <c r="G928" s="8" t="s">
        <v>3103</v>
      </c>
      <c r="H928" s="8" t="s">
        <v>3104</v>
      </c>
      <c r="I928" s="8" t="s">
        <v>3105</v>
      </c>
      <c r="J928" s="8" t="s">
        <v>3103</v>
      </c>
    </row>
    <row r="929" spans="7:10" ht="12.75" x14ac:dyDescent="0.2">
      <c r="G929" s="8" t="s">
        <v>3106</v>
      </c>
      <c r="H929" s="8" t="s">
        <v>3107</v>
      </c>
      <c r="I929" s="8" t="s">
        <v>3108</v>
      </c>
      <c r="J929" s="8" t="s">
        <v>3106</v>
      </c>
    </row>
    <row r="930" spans="7:10" ht="12.75" x14ac:dyDescent="0.2">
      <c r="G930" s="8" t="s">
        <v>3109</v>
      </c>
      <c r="H930" s="8" t="s">
        <v>3110</v>
      </c>
      <c r="I930" s="8" t="s">
        <v>3111</v>
      </c>
      <c r="J930" s="8" t="s">
        <v>3109</v>
      </c>
    </row>
    <row r="931" spans="7:10" ht="12.75" x14ac:dyDescent="0.2">
      <c r="G931" s="8" t="s">
        <v>3112</v>
      </c>
      <c r="H931" s="8" t="s">
        <v>3113</v>
      </c>
      <c r="I931" s="8" t="s">
        <v>3114</v>
      </c>
      <c r="J931" s="8" t="s">
        <v>3112</v>
      </c>
    </row>
    <row r="932" spans="7:10" ht="12.75" x14ac:dyDescent="0.2">
      <c r="G932" s="8" t="s">
        <v>3115</v>
      </c>
      <c r="H932" s="8" t="s">
        <v>3116</v>
      </c>
      <c r="I932" s="8" t="s">
        <v>3117</v>
      </c>
      <c r="J932" s="8" t="s">
        <v>3115</v>
      </c>
    </row>
    <row r="933" spans="7:10" ht="12.75" x14ac:dyDescent="0.2">
      <c r="G933" s="8" t="s">
        <v>3118</v>
      </c>
      <c r="H933" s="8" t="s">
        <v>3119</v>
      </c>
      <c r="I933" s="8" t="s">
        <v>3120</v>
      </c>
      <c r="J933" s="8" t="s">
        <v>3118</v>
      </c>
    </row>
    <row r="934" spans="7:10" ht="12.75" x14ac:dyDescent="0.2">
      <c r="G934" s="8" t="s">
        <v>3121</v>
      </c>
      <c r="H934" s="8" t="s">
        <v>3122</v>
      </c>
      <c r="I934" s="8" t="s">
        <v>3123</v>
      </c>
      <c r="J934" s="8" t="s">
        <v>3121</v>
      </c>
    </row>
    <row r="935" spans="7:10" ht="12.75" x14ac:dyDescent="0.2">
      <c r="G935" s="8" t="s">
        <v>208</v>
      </c>
      <c r="H935" s="8" t="s">
        <v>3124</v>
      </c>
      <c r="I935" s="8" t="s">
        <v>916</v>
      </c>
      <c r="J935" s="8" t="s">
        <v>208</v>
      </c>
    </row>
    <row r="936" spans="7:10" ht="12.75" x14ac:dyDescent="0.2">
      <c r="G936" s="8" t="s">
        <v>3125</v>
      </c>
      <c r="H936" s="8" t="s">
        <v>3124</v>
      </c>
      <c r="I936" s="8" t="s">
        <v>3126</v>
      </c>
      <c r="J936" s="8" t="s">
        <v>3125</v>
      </c>
    </row>
    <row r="937" spans="7:10" ht="12.75" x14ac:dyDescent="0.2">
      <c r="G937" s="8" t="s">
        <v>209</v>
      </c>
      <c r="H937" s="8" t="s">
        <v>3127</v>
      </c>
      <c r="I937" s="8" t="s">
        <v>920</v>
      </c>
      <c r="J937" s="8" t="s">
        <v>209</v>
      </c>
    </row>
    <row r="938" spans="7:10" ht="12.75" x14ac:dyDescent="0.2">
      <c r="G938" s="8" t="s">
        <v>3128</v>
      </c>
      <c r="H938" s="8" t="s">
        <v>3129</v>
      </c>
      <c r="I938" s="8" t="s">
        <v>3130</v>
      </c>
      <c r="J938" s="8" t="s">
        <v>3128</v>
      </c>
    </row>
    <row r="939" spans="7:10" ht="12.75" x14ac:dyDescent="0.2">
      <c r="G939" s="8" t="s">
        <v>210</v>
      </c>
      <c r="H939" s="8" t="s">
        <v>3131</v>
      </c>
      <c r="I939" s="8" t="s">
        <v>3132</v>
      </c>
      <c r="J939" s="8" t="s">
        <v>210</v>
      </c>
    </row>
    <row r="940" spans="7:10" ht="12.75" x14ac:dyDescent="0.2">
      <c r="G940" s="8" t="s">
        <v>211</v>
      </c>
      <c r="H940" s="8" t="s">
        <v>3133</v>
      </c>
      <c r="I940" s="8" t="s">
        <v>3134</v>
      </c>
      <c r="J940" s="8" t="s">
        <v>211</v>
      </c>
    </row>
    <row r="941" spans="7:10" ht="12.75" x14ac:dyDescent="0.2">
      <c r="G941" s="8" t="s">
        <v>3135</v>
      </c>
      <c r="H941" s="8" t="s">
        <v>3133</v>
      </c>
      <c r="I941" s="8" t="s">
        <v>3136</v>
      </c>
      <c r="J941" s="8" t="s">
        <v>3135</v>
      </c>
    </row>
    <row r="942" spans="7:10" ht="12.75" x14ac:dyDescent="0.2">
      <c r="G942" s="8" t="s">
        <v>212</v>
      </c>
      <c r="H942" s="8" t="s">
        <v>3137</v>
      </c>
      <c r="I942" s="8" t="s">
        <v>922</v>
      </c>
      <c r="J942" s="8" t="s">
        <v>212</v>
      </c>
    </row>
    <row r="943" spans="7:10" ht="12.75" x14ac:dyDescent="0.2">
      <c r="G943" s="8" t="s">
        <v>3138</v>
      </c>
      <c r="H943" s="8" t="s">
        <v>3137</v>
      </c>
      <c r="I943" s="8" t="s">
        <v>3139</v>
      </c>
      <c r="J943" s="8" t="s">
        <v>3138</v>
      </c>
    </row>
    <row r="944" spans="7:10" ht="12.75" x14ac:dyDescent="0.2">
      <c r="G944" s="8" t="s">
        <v>213</v>
      </c>
      <c r="H944" s="8" t="s">
        <v>3140</v>
      </c>
      <c r="I944" s="8" t="s">
        <v>926</v>
      </c>
      <c r="J944" s="8" t="s">
        <v>213</v>
      </c>
    </row>
    <row r="945" spans="7:10" ht="12.75" x14ac:dyDescent="0.2">
      <c r="G945" s="8" t="s">
        <v>3141</v>
      </c>
      <c r="H945" s="8" t="s">
        <v>3140</v>
      </c>
      <c r="I945" s="8" t="s">
        <v>3142</v>
      </c>
      <c r="J945" s="8" t="s">
        <v>3141</v>
      </c>
    </row>
    <row r="946" spans="7:10" ht="12.75" x14ac:dyDescent="0.2">
      <c r="G946" s="8" t="s">
        <v>214</v>
      </c>
      <c r="H946" s="8" t="s">
        <v>3143</v>
      </c>
      <c r="I946" s="8" t="s">
        <v>929</v>
      </c>
      <c r="J946" s="8" t="s">
        <v>214</v>
      </c>
    </row>
    <row r="947" spans="7:10" ht="12.75" x14ac:dyDescent="0.2">
      <c r="G947" s="8" t="s">
        <v>215</v>
      </c>
      <c r="H947" s="8" t="s">
        <v>3144</v>
      </c>
      <c r="I947" s="8" t="s">
        <v>3145</v>
      </c>
      <c r="J947" s="8" t="s">
        <v>215</v>
      </c>
    </row>
    <row r="948" spans="7:10" ht="12.75" x14ac:dyDescent="0.2">
      <c r="G948" s="8" t="s">
        <v>216</v>
      </c>
      <c r="H948" s="8" t="s">
        <v>3146</v>
      </c>
      <c r="I948" s="8" t="s">
        <v>933</v>
      </c>
      <c r="J948" s="8" t="s">
        <v>216</v>
      </c>
    </row>
    <row r="949" spans="7:10" ht="12.75" x14ac:dyDescent="0.2">
      <c r="G949" s="8" t="s">
        <v>3147</v>
      </c>
      <c r="H949" s="8" t="s">
        <v>3146</v>
      </c>
      <c r="I949" s="8" t="s">
        <v>3148</v>
      </c>
      <c r="J949" s="8" t="s">
        <v>3147</v>
      </c>
    </row>
    <row r="950" spans="7:10" ht="12.75" x14ac:dyDescent="0.2">
      <c r="G950" s="8" t="s">
        <v>217</v>
      </c>
      <c r="H950" s="8" t="s">
        <v>3149</v>
      </c>
      <c r="I950" s="8" t="s">
        <v>937</v>
      </c>
      <c r="J950" s="8" t="s">
        <v>217</v>
      </c>
    </row>
    <row r="951" spans="7:10" ht="12.75" x14ac:dyDescent="0.2">
      <c r="G951" s="8" t="s">
        <v>3150</v>
      </c>
      <c r="H951" s="8" t="s">
        <v>3151</v>
      </c>
      <c r="I951" s="8" t="s">
        <v>3152</v>
      </c>
      <c r="J951" s="8" t="s">
        <v>3150</v>
      </c>
    </row>
    <row r="952" spans="7:10" ht="12.75" x14ac:dyDescent="0.2">
      <c r="G952" s="8" t="s">
        <v>218</v>
      </c>
      <c r="H952" s="8" t="s">
        <v>3153</v>
      </c>
      <c r="I952" s="8" t="s">
        <v>3154</v>
      </c>
      <c r="J952" s="8" t="s">
        <v>218</v>
      </c>
    </row>
    <row r="953" spans="7:10" ht="12.75" x14ac:dyDescent="0.2">
      <c r="G953" s="8" t="s">
        <v>219</v>
      </c>
      <c r="H953" s="8" t="s">
        <v>3155</v>
      </c>
      <c r="I953" s="8" t="s">
        <v>3156</v>
      </c>
      <c r="J953" s="8" t="s">
        <v>219</v>
      </c>
    </row>
    <row r="954" spans="7:10" ht="12.75" x14ac:dyDescent="0.2">
      <c r="G954" s="8" t="s">
        <v>3157</v>
      </c>
      <c r="H954" s="8" t="s">
        <v>3155</v>
      </c>
      <c r="I954" s="8" t="s">
        <v>3158</v>
      </c>
      <c r="J954" s="8" t="s">
        <v>3157</v>
      </c>
    </row>
    <row r="955" spans="7:10" ht="12.75" x14ac:dyDescent="0.2">
      <c r="G955" s="8" t="s">
        <v>220</v>
      </c>
      <c r="H955" s="8" t="s">
        <v>3159</v>
      </c>
      <c r="I955" s="8" t="s">
        <v>941</v>
      </c>
      <c r="J955" s="8" t="s">
        <v>220</v>
      </c>
    </row>
    <row r="956" spans="7:10" ht="12.75" x14ac:dyDescent="0.2">
      <c r="G956" s="8" t="s">
        <v>3160</v>
      </c>
      <c r="H956" s="8" t="s">
        <v>3159</v>
      </c>
      <c r="I956" s="8" t="s">
        <v>3161</v>
      </c>
      <c r="J956" s="8" t="s">
        <v>3160</v>
      </c>
    </row>
    <row r="957" spans="7:10" ht="12.75" x14ac:dyDescent="0.2">
      <c r="G957" s="8" t="s">
        <v>412</v>
      </c>
      <c r="H957" s="8" t="s">
        <v>3162</v>
      </c>
      <c r="I957" s="8" t="s">
        <v>3163</v>
      </c>
      <c r="J957" s="8" t="s">
        <v>412</v>
      </c>
    </row>
    <row r="958" spans="7:10" ht="12.75" x14ac:dyDescent="0.2">
      <c r="G958" s="8" t="s">
        <v>413</v>
      </c>
      <c r="H958" s="8" t="s">
        <v>3162</v>
      </c>
      <c r="I958" s="8" t="s">
        <v>3164</v>
      </c>
      <c r="J958" s="8" t="s">
        <v>413</v>
      </c>
    </row>
    <row r="959" spans="7:10" ht="12.75" x14ac:dyDescent="0.2">
      <c r="G959" s="8" t="s">
        <v>221</v>
      </c>
      <c r="H959" s="8" t="s">
        <v>3165</v>
      </c>
      <c r="I959" s="8" t="s">
        <v>3166</v>
      </c>
      <c r="J959" s="8" t="s">
        <v>221</v>
      </c>
    </row>
    <row r="960" spans="7:10" ht="12.75" x14ac:dyDescent="0.2">
      <c r="G960" s="8" t="s">
        <v>3167</v>
      </c>
      <c r="H960" s="8" t="s">
        <v>3165</v>
      </c>
      <c r="I960" s="8" t="s">
        <v>3168</v>
      </c>
      <c r="J960" s="8" t="s">
        <v>3167</v>
      </c>
    </row>
    <row r="961" spans="7:10" ht="12.75" x14ac:dyDescent="0.2">
      <c r="G961" s="8" t="s">
        <v>414</v>
      </c>
      <c r="H961" s="8" t="s">
        <v>3169</v>
      </c>
      <c r="I961" s="8" t="s">
        <v>3170</v>
      </c>
      <c r="J961" s="8" t="s">
        <v>414</v>
      </c>
    </row>
    <row r="962" spans="7:10" ht="12.75" x14ac:dyDescent="0.2">
      <c r="G962" s="8" t="s">
        <v>3171</v>
      </c>
      <c r="H962" s="8" t="s">
        <v>3169</v>
      </c>
      <c r="I962" s="8" t="s">
        <v>3172</v>
      </c>
      <c r="J962" s="8" t="s">
        <v>3171</v>
      </c>
    </row>
    <row r="963" spans="7:10" ht="12.75" x14ac:dyDescent="0.2">
      <c r="G963" s="8" t="s">
        <v>222</v>
      </c>
      <c r="H963" s="8" t="s">
        <v>3173</v>
      </c>
      <c r="I963" s="8" t="s">
        <v>944</v>
      </c>
      <c r="J963" s="8" t="s">
        <v>222</v>
      </c>
    </row>
    <row r="964" spans="7:10" ht="12.75" x14ac:dyDescent="0.2">
      <c r="G964" s="8" t="s">
        <v>3174</v>
      </c>
      <c r="H964" s="8" t="s">
        <v>3173</v>
      </c>
      <c r="I964" s="8" t="s">
        <v>3175</v>
      </c>
      <c r="J964" s="8" t="s">
        <v>3174</v>
      </c>
    </row>
    <row r="965" spans="7:10" ht="12.75" x14ac:dyDescent="0.2">
      <c r="G965" s="8" t="s">
        <v>223</v>
      </c>
      <c r="H965" s="8" t="s">
        <v>3176</v>
      </c>
      <c r="I965" s="8" t="s">
        <v>947</v>
      </c>
      <c r="J965" s="8" t="s">
        <v>223</v>
      </c>
    </row>
    <row r="966" spans="7:10" ht="12.75" x14ac:dyDescent="0.2">
      <c r="G966" s="8" t="s">
        <v>224</v>
      </c>
      <c r="H966" s="8" t="s">
        <v>3177</v>
      </c>
      <c r="I966" s="8" t="s">
        <v>3178</v>
      </c>
      <c r="J966" s="8" t="s">
        <v>224</v>
      </c>
    </row>
    <row r="967" spans="7:10" ht="12.75" x14ac:dyDescent="0.2">
      <c r="G967" s="8" t="s">
        <v>3179</v>
      </c>
      <c r="H967" s="8" t="s">
        <v>3177</v>
      </c>
      <c r="I967" s="8" t="s">
        <v>3180</v>
      </c>
      <c r="J967" s="8" t="s">
        <v>3179</v>
      </c>
    </row>
    <row r="968" spans="7:10" ht="12.75" x14ac:dyDescent="0.2">
      <c r="G968" s="8" t="s">
        <v>225</v>
      </c>
      <c r="H968" s="8" t="s">
        <v>3181</v>
      </c>
      <c r="I968" s="8" t="s">
        <v>3182</v>
      </c>
      <c r="J968" s="8" t="s">
        <v>225</v>
      </c>
    </row>
    <row r="969" spans="7:10" ht="12.75" x14ac:dyDescent="0.2">
      <c r="G969" s="8" t="s">
        <v>3183</v>
      </c>
      <c r="H969" s="8" t="s">
        <v>3181</v>
      </c>
      <c r="I969" s="8" t="s">
        <v>3184</v>
      </c>
      <c r="J969" s="8" t="s">
        <v>3183</v>
      </c>
    </row>
    <row r="970" spans="7:10" ht="12.75" x14ac:dyDescent="0.2">
      <c r="G970" s="8" t="s">
        <v>226</v>
      </c>
      <c r="H970" s="8" t="s">
        <v>3185</v>
      </c>
      <c r="I970" s="8" t="s">
        <v>949</v>
      </c>
      <c r="J970" s="8" t="s">
        <v>226</v>
      </c>
    </row>
    <row r="971" spans="7:10" ht="12.75" x14ac:dyDescent="0.2">
      <c r="G971" s="8" t="s">
        <v>3186</v>
      </c>
      <c r="H971" s="8" t="s">
        <v>3185</v>
      </c>
      <c r="I971" s="8" t="s">
        <v>3187</v>
      </c>
      <c r="J971" s="8" t="s">
        <v>3186</v>
      </c>
    </row>
    <row r="972" spans="7:10" ht="12.75" x14ac:dyDescent="0.2">
      <c r="G972" s="8" t="s">
        <v>227</v>
      </c>
      <c r="H972" s="8" t="s">
        <v>3188</v>
      </c>
      <c r="I972" s="8" t="s">
        <v>3189</v>
      </c>
      <c r="J972" s="8" t="s">
        <v>227</v>
      </c>
    </row>
    <row r="973" spans="7:10" ht="12.75" x14ac:dyDescent="0.2">
      <c r="G973" s="8" t="s">
        <v>228</v>
      </c>
      <c r="H973" s="8" t="s">
        <v>3190</v>
      </c>
      <c r="I973" s="8" t="s">
        <v>952</v>
      </c>
      <c r="J973" s="8" t="s">
        <v>228</v>
      </c>
    </row>
    <row r="974" spans="7:10" ht="12.75" x14ac:dyDescent="0.2">
      <c r="G974" s="8" t="s">
        <v>3191</v>
      </c>
      <c r="H974" s="8" t="s">
        <v>3192</v>
      </c>
      <c r="I974" s="8" t="s">
        <v>3193</v>
      </c>
      <c r="J974" s="8" t="s">
        <v>3191</v>
      </c>
    </row>
    <row r="975" spans="7:10" ht="12.75" x14ac:dyDescent="0.2">
      <c r="G975" s="8" t="s">
        <v>3194</v>
      </c>
      <c r="H975" s="8" t="s">
        <v>3195</v>
      </c>
      <c r="I975" s="8" t="s">
        <v>3196</v>
      </c>
      <c r="J975" s="8" t="s">
        <v>3194</v>
      </c>
    </row>
    <row r="976" spans="7:10" ht="12.75" x14ac:dyDescent="0.2">
      <c r="G976" s="8" t="s">
        <v>229</v>
      </c>
      <c r="H976" s="8" t="s">
        <v>3197</v>
      </c>
      <c r="I976" s="8" t="s">
        <v>3198</v>
      </c>
      <c r="J976" s="8" t="s">
        <v>229</v>
      </c>
    </row>
    <row r="977" spans="7:10" ht="12.75" x14ac:dyDescent="0.2">
      <c r="G977" s="8" t="s">
        <v>3199</v>
      </c>
      <c r="H977" s="8" t="s">
        <v>3197</v>
      </c>
      <c r="I977" s="8" t="s">
        <v>3200</v>
      </c>
      <c r="J977" s="8" t="s">
        <v>3199</v>
      </c>
    </row>
    <row r="978" spans="7:10" ht="12.75" x14ac:dyDescent="0.2">
      <c r="G978" s="8" t="s">
        <v>230</v>
      </c>
      <c r="H978" s="8" t="s">
        <v>3201</v>
      </c>
      <c r="I978" s="8" t="s">
        <v>954</v>
      </c>
      <c r="J978" s="8" t="s">
        <v>230</v>
      </c>
    </row>
    <row r="979" spans="7:10" ht="12.75" x14ac:dyDescent="0.2">
      <c r="G979" s="8" t="s">
        <v>3202</v>
      </c>
      <c r="H979" s="8" t="s">
        <v>3201</v>
      </c>
      <c r="I979" s="8" t="s">
        <v>3203</v>
      </c>
      <c r="J979" s="8" t="s">
        <v>3202</v>
      </c>
    </row>
    <row r="980" spans="7:10" ht="12.75" x14ac:dyDescent="0.2">
      <c r="G980" s="8" t="s">
        <v>24</v>
      </c>
      <c r="H980" s="8" t="s">
        <v>3204</v>
      </c>
      <c r="I980" s="8" t="s">
        <v>958</v>
      </c>
      <c r="J980" s="8" t="s">
        <v>24</v>
      </c>
    </row>
    <row r="981" spans="7:10" ht="12.75" x14ac:dyDescent="0.2">
      <c r="G981" s="8" t="s">
        <v>3205</v>
      </c>
      <c r="H981" s="8" t="s">
        <v>3206</v>
      </c>
      <c r="I981" s="8" t="s">
        <v>3207</v>
      </c>
      <c r="J981" s="8" t="s">
        <v>3205</v>
      </c>
    </row>
    <row r="982" spans="7:10" ht="12.75" x14ac:dyDescent="0.2">
      <c r="G982" s="8" t="s">
        <v>231</v>
      </c>
      <c r="H982" s="8" t="s">
        <v>3208</v>
      </c>
      <c r="I982" s="8" t="s">
        <v>3209</v>
      </c>
      <c r="J982" s="8" t="s">
        <v>231</v>
      </c>
    </row>
    <row r="983" spans="7:10" ht="12.75" x14ac:dyDescent="0.2">
      <c r="G983" s="8" t="s">
        <v>3210</v>
      </c>
      <c r="H983" s="8" t="s">
        <v>3208</v>
      </c>
      <c r="I983" s="8" t="s">
        <v>3211</v>
      </c>
      <c r="J983" s="8" t="s">
        <v>3210</v>
      </c>
    </row>
    <row r="984" spans="7:10" ht="12.75" x14ac:dyDescent="0.2">
      <c r="G984" s="8" t="s">
        <v>232</v>
      </c>
      <c r="H984" s="8" t="s">
        <v>3212</v>
      </c>
      <c r="I984" s="8" t="s">
        <v>962</v>
      </c>
      <c r="J984" s="8" t="s">
        <v>232</v>
      </c>
    </row>
    <row r="985" spans="7:10" ht="12.75" x14ac:dyDescent="0.2">
      <c r="G985" s="8" t="s">
        <v>3213</v>
      </c>
      <c r="H985" s="8" t="s">
        <v>3212</v>
      </c>
      <c r="I985" s="8" t="s">
        <v>3214</v>
      </c>
      <c r="J985" s="8" t="s">
        <v>3213</v>
      </c>
    </row>
    <row r="986" spans="7:10" ht="12.75" x14ac:dyDescent="0.2">
      <c r="G986" s="8" t="s">
        <v>233</v>
      </c>
      <c r="H986" s="8" t="s">
        <v>3215</v>
      </c>
      <c r="I986" s="8" t="s">
        <v>967</v>
      </c>
      <c r="J986" s="8" t="s">
        <v>233</v>
      </c>
    </row>
    <row r="987" spans="7:10" ht="12.75" x14ac:dyDescent="0.2">
      <c r="G987" s="8" t="s">
        <v>415</v>
      </c>
      <c r="H987" s="8" t="s">
        <v>3216</v>
      </c>
      <c r="I987" s="8" t="s">
        <v>3217</v>
      </c>
      <c r="J987" s="8" t="s">
        <v>415</v>
      </c>
    </row>
    <row r="988" spans="7:10" ht="12.75" x14ac:dyDescent="0.2">
      <c r="G988" s="8" t="s">
        <v>234</v>
      </c>
      <c r="H988" s="8" t="s">
        <v>3218</v>
      </c>
      <c r="I988" s="8" t="s">
        <v>3219</v>
      </c>
      <c r="J988" s="8" t="s">
        <v>234</v>
      </c>
    </row>
    <row r="989" spans="7:10" ht="12.75" x14ac:dyDescent="0.2">
      <c r="G989" s="8" t="s">
        <v>3220</v>
      </c>
      <c r="H989" s="8" t="s">
        <v>3218</v>
      </c>
      <c r="I989" s="8" t="s">
        <v>3221</v>
      </c>
      <c r="J989" s="8" t="s">
        <v>3220</v>
      </c>
    </row>
    <row r="990" spans="7:10" ht="12.75" x14ac:dyDescent="0.2">
      <c r="G990" s="8" t="s">
        <v>235</v>
      </c>
      <c r="H990" s="8" t="s">
        <v>3222</v>
      </c>
      <c r="I990" s="8" t="s">
        <v>976</v>
      </c>
      <c r="J990" s="8" t="s">
        <v>235</v>
      </c>
    </row>
    <row r="991" spans="7:10" ht="12.75" x14ac:dyDescent="0.2">
      <c r="G991" s="8" t="s">
        <v>3223</v>
      </c>
      <c r="H991" s="8" t="s">
        <v>3224</v>
      </c>
      <c r="I991" s="8" t="s">
        <v>3225</v>
      </c>
      <c r="J991" s="8" t="s">
        <v>3223</v>
      </c>
    </row>
    <row r="992" spans="7:10" ht="12.75" x14ac:dyDescent="0.2">
      <c r="G992" s="8" t="s">
        <v>3226</v>
      </c>
      <c r="H992" s="8" t="s">
        <v>3222</v>
      </c>
      <c r="I992" s="8" t="s">
        <v>3227</v>
      </c>
      <c r="J992" s="8" t="s">
        <v>3226</v>
      </c>
    </row>
    <row r="993" spans="7:10" ht="12.75" x14ac:dyDescent="0.2">
      <c r="G993" s="8" t="s">
        <v>236</v>
      </c>
      <c r="H993" s="8" t="s">
        <v>3228</v>
      </c>
      <c r="I993" s="8" t="s">
        <v>980</v>
      </c>
      <c r="J993" s="8" t="s">
        <v>236</v>
      </c>
    </row>
    <row r="994" spans="7:10" ht="12.75" x14ac:dyDescent="0.2">
      <c r="G994" s="8" t="s">
        <v>3229</v>
      </c>
      <c r="H994" s="8" t="s">
        <v>3230</v>
      </c>
      <c r="I994" s="8" t="s">
        <v>3231</v>
      </c>
      <c r="J994" s="8" t="s">
        <v>3229</v>
      </c>
    </row>
    <row r="995" spans="7:10" ht="12.75" x14ac:dyDescent="0.2">
      <c r="G995" s="8" t="s">
        <v>3232</v>
      </c>
      <c r="H995" s="8" t="s">
        <v>3233</v>
      </c>
      <c r="I995" s="8" t="s">
        <v>3234</v>
      </c>
      <c r="J995" s="8" t="s">
        <v>3232</v>
      </c>
    </row>
    <row r="996" spans="7:10" ht="12.75" x14ac:dyDescent="0.2">
      <c r="G996" s="8" t="s">
        <v>418</v>
      </c>
      <c r="H996" s="8" t="s">
        <v>3235</v>
      </c>
      <c r="I996" s="8" t="s">
        <v>3236</v>
      </c>
      <c r="J996" s="8" t="s">
        <v>418</v>
      </c>
    </row>
    <row r="997" spans="7:10" ht="12.75" x14ac:dyDescent="0.2">
      <c r="G997" s="8" t="s">
        <v>237</v>
      </c>
      <c r="H997" s="8" t="s">
        <v>3237</v>
      </c>
      <c r="I997" s="8" t="s">
        <v>3238</v>
      </c>
      <c r="J997" s="8" t="s">
        <v>237</v>
      </c>
    </row>
    <row r="998" spans="7:10" ht="12.75" x14ac:dyDescent="0.2">
      <c r="G998" s="8" t="s">
        <v>3239</v>
      </c>
      <c r="H998" s="8" t="s">
        <v>3237</v>
      </c>
      <c r="I998" s="8" t="s">
        <v>3240</v>
      </c>
      <c r="J998" s="8" t="s">
        <v>3239</v>
      </c>
    </row>
    <row r="999" spans="7:10" ht="12.75" x14ac:dyDescent="0.2">
      <c r="G999" s="8" t="s">
        <v>238</v>
      </c>
      <c r="H999" s="8" t="s">
        <v>3241</v>
      </c>
      <c r="I999" s="8" t="s">
        <v>984</v>
      </c>
      <c r="J999" s="8" t="s">
        <v>238</v>
      </c>
    </row>
    <row r="1000" spans="7:10" ht="12.75" x14ac:dyDescent="0.2">
      <c r="G1000" s="8" t="s">
        <v>3242</v>
      </c>
      <c r="H1000" s="8" t="s">
        <v>3241</v>
      </c>
      <c r="I1000" s="8" t="s">
        <v>3243</v>
      </c>
      <c r="J1000" s="8" t="s">
        <v>3242</v>
      </c>
    </row>
    <row r="1001" spans="7:10" ht="12.75" x14ac:dyDescent="0.2">
      <c r="G1001" s="8" t="s">
        <v>239</v>
      </c>
      <c r="H1001" s="8" t="s">
        <v>3244</v>
      </c>
      <c r="I1001" s="8" t="s">
        <v>3245</v>
      </c>
      <c r="J1001" s="8" t="s">
        <v>239</v>
      </c>
    </row>
    <row r="1002" spans="7:10" ht="12.75" x14ac:dyDescent="0.2">
      <c r="G1002" s="8" t="s">
        <v>3246</v>
      </c>
      <c r="H1002" s="8" t="s">
        <v>3244</v>
      </c>
      <c r="I1002" s="8" t="s">
        <v>3247</v>
      </c>
      <c r="J1002" s="8" t="s">
        <v>3246</v>
      </c>
    </row>
    <row r="1003" spans="7:10" ht="12.75" x14ac:dyDescent="0.2">
      <c r="G1003" s="8" t="s">
        <v>240</v>
      </c>
      <c r="H1003" s="8" t="s">
        <v>3248</v>
      </c>
      <c r="I1003" s="8" t="s">
        <v>988</v>
      </c>
      <c r="J1003" s="8" t="s">
        <v>240</v>
      </c>
    </row>
    <row r="1004" spans="7:10" ht="12.75" x14ac:dyDescent="0.2">
      <c r="G1004" s="8" t="s">
        <v>3249</v>
      </c>
      <c r="H1004" s="8" t="s">
        <v>3248</v>
      </c>
      <c r="I1004" s="8" t="s">
        <v>3250</v>
      </c>
      <c r="J1004" s="8" t="s">
        <v>3249</v>
      </c>
    </row>
    <row r="1005" spans="7:10" ht="12.75" x14ac:dyDescent="0.2">
      <c r="G1005" s="8" t="s">
        <v>241</v>
      </c>
      <c r="H1005" s="8" t="s">
        <v>3251</v>
      </c>
      <c r="I1005" s="8" t="s">
        <v>992</v>
      </c>
      <c r="J1005" s="8" t="s">
        <v>241</v>
      </c>
    </row>
    <row r="1006" spans="7:10" ht="12.75" x14ac:dyDescent="0.2">
      <c r="G1006" s="8" t="s">
        <v>242</v>
      </c>
      <c r="H1006" s="8" t="s">
        <v>3252</v>
      </c>
      <c r="I1006" s="8" t="s">
        <v>1001</v>
      </c>
      <c r="J1006" s="8" t="s">
        <v>242</v>
      </c>
    </row>
    <row r="1007" spans="7:10" ht="12.75" x14ac:dyDescent="0.2">
      <c r="G1007" s="8" t="s">
        <v>243</v>
      </c>
      <c r="H1007" s="8" t="s">
        <v>3253</v>
      </c>
      <c r="I1007" s="8" t="s">
        <v>3254</v>
      </c>
      <c r="J1007" s="8" t="s">
        <v>243</v>
      </c>
    </row>
    <row r="1008" spans="7:10" ht="12.75" x14ac:dyDescent="0.2">
      <c r="G1008" s="8" t="s">
        <v>3255</v>
      </c>
      <c r="H1008" s="8" t="s">
        <v>3256</v>
      </c>
      <c r="I1008" s="8" t="s">
        <v>3257</v>
      </c>
      <c r="J1008" s="8" t="s">
        <v>3255</v>
      </c>
    </row>
    <row r="1009" spans="7:10" ht="12.75" x14ac:dyDescent="0.2">
      <c r="G1009" s="8" t="s">
        <v>244</v>
      </c>
      <c r="H1009" s="8" t="s">
        <v>3258</v>
      </c>
      <c r="I1009" s="8" t="s">
        <v>1005</v>
      </c>
      <c r="J1009" s="8" t="s">
        <v>244</v>
      </c>
    </row>
    <row r="1010" spans="7:10" ht="12.75" x14ac:dyDescent="0.2">
      <c r="G1010" s="8" t="s">
        <v>422</v>
      </c>
      <c r="H1010" s="8" t="s">
        <v>3259</v>
      </c>
      <c r="I1010" s="8" t="s">
        <v>325</v>
      </c>
      <c r="J1010" s="8" t="s">
        <v>422</v>
      </c>
    </row>
    <row r="1011" spans="7:10" ht="12.75" x14ac:dyDescent="0.2">
      <c r="G1011" s="8" t="s">
        <v>423</v>
      </c>
      <c r="H1011" s="8" t="s">
        <v>3260</v>
      </c>
      <c r="I1011" s="8" t="s">
        <v>1009</v>
      </c>
      <c r="J1011" s="8" t="s">
        <v>423</v>
      </c>
    </row>
    <row r="1012" spans="7:10" ht="12.75" x14ac:dyDescent="0.2">
      <c r="G1012" s="8" t="s">
        <v>424</v>
      </c>
      <c r="H1012" s="8" t="s">
        <v>3261</v>
      </c>
      <c r="I1012" s="8" t="s">
        <v>326</v>
      </c>
      <c r="J1012" s="8" t="s">
        <v>424</v>
      </c>
    </row>
    <row r="1013" spans="7:10" ht="12.75" x14ac:dyDescent="0.2">
      <c r="G1013" s="8" t="s">
        <v>245</v>
      </c>
      <c r="H1013" s="8" t="s">
        <v>3262</v>
      </c>
      <c r="I1013" s="8" t="s">
        <v>3263</v>
      </c>
      <c r="J1013" s="8" t="s">
        <v>245</v>
      </c>
    </row>
    <row r="1014" spans="7:10" ht="12.75" x14ac:dyDescent="0.2">
      <c r="G1014" s="8" t="s">
        <v>425</v>
      </c>
      <c r="H1014" s="8" t="s">
        <v>3264</v>
      </c>
      <c r="I1014" s="8" t="s">
        <v>3265</v>
      </c>
      <c r="J1014" s="8" t="s">
        <v>425</v>
      </c>
    </row>
    <row r="1015" spans="7:10" ht="12.75" x14ac:dyDescent="0.2">
      <c r="G1015" s="8" t="s">
        <v>426</v>
      </c>
      <c r="H1015" s="8" t="s">
        <v>3266</v>
      </c>
      <c r="I1015" s="8" t="s">
        <v>3267</v>
      </c>
      <c r="J1015" s="8" t="s">
        <v>426</v>
      </c>
    </row>
    <row r="1016" spans="7:10" ht="12.75" x14ac:dyDescent="0.2">
      <c r="G1016" s="8" t="s">
        <v>246</v>
      </c>
      <c r="H1016" s="8" t="s">
        <v>3268</v>
      </c>
      <c r="I1016" s="8" t="s">
        <v>1013</v>
      </c>
      <c r="J1016" s="8" t="s">
        <v>246</v>
      </c>
    </row>
    <row r="1017" spans="7:10" ht="12.75" x14ac:dyDescent="0.2">
      <c r="G1017" s="8" t="s">
        <v>3269</v>
      </c>
      <c r="H1017" s="8" t="s">
        <v>3270</v>
      </c>
      <c r="I1017" s="8" t="s">
        <v>3271</v>
      </c>
      <c r="J1017" s="8" t="s">
        <v>3269</v>
      </c>
    </row>
    <row r="1018" spans="7:10" ht="12.75" x14ac:dyDescent="0.2">
      <c r="G1018" s="8" t="s">
        <v>247</v>
      </c>
      <c r="H1018" s="8" t="s">
        <v>3272</v>
      </c>
      <c r="I1018" s="8" t="s">
        <v>3273</v>
      </c>
      <c r="J1018" s="8" t="s">
        <v>247</v>
      </c>
    </row>
    <row r="1019" spans="7:10" ht="12.75" x14ac:dyDescent="0.2">
      <c r="G1019" s="8" t="s">
        <v>248</v>
      </c>
      <c r="H1019" s="8" t="s">
        <v>3274</v>
      </c>
      <c r="I1019" s="8" t="s">
        <v>1016</v>
      </c>
      <c r="J1019" s="8" t="s">
        <v>248</v>
      </c>
    </row>
    <row r="1020" spans="7:10" ht="12.75" x14ac:dyDescent="0.2">
      <c r="G1020" s="8" t="s">
        <v>3275</v>
      </c>
      <c r="H1020" s="8" t="s">
        <v>3276</v>
      </c>
      <c r="I1020" s="8" t="s">
        <v>3277</v>
      </c>
      <c r="J1020" s="8" t="s">
        <v>3275</v>
      </c>
    </row>
    <row r="1021" spans="7:10" ht="12.75" x14ac:dyDescent="0.2">
      <c r="G1021" s="8" t="s">
        <v>3278</v>
      </c>
      <c r="H1021" s="8" t="s">
        <v>3279</v>
      </c>
      <c r="I1021" s="8" t="s">
        <v>3280</v>
      </c>
      <c r="J1021" s="8" t="s">
        <v>3278</v>
      </c>
    </row>
    <row r="1022" spans="7:10" ht="12.75" x14ac:dyDescent="0.2">
      <c r="G1022" s="8" t="s">
        <v>3281</v>
      </c>
      <c r="H1022" s="8" t="s">
        <v>3282</v>
      </c>
      <c r="I1022" s="8" t="s">
        <v>3283</v>
      </c>
      <c r="J1022" s="8" t="s">
        <v>3281</v>
      </c>
    </row>
    <row r="1023" spans="7:10" ht="12.75" x14ac:dyDescent="0.2">
      <c r="G1023" s="8" t="s">
        <v>249</v>
      </c>
      <c r="H1023" s="8" t="s">
        <v>3284</v>
      </c>
      <c r="I1023" s="8" t="s">
        <v>3285</v>
      </c>
      <c r="J1023" s="8" t="s">
        <v>249</v>
      </c>
    </row>
    <row r="1024" spans="7:10" ht="12.75" x14ac:dyDescent="0.2">
      <c r="G1024" s="8" t="s">
        <v>428</v>
      </c>
      <c r="H1024" s="8" t="s">
        <v>3286</v>
      </c>
      <c r="I1024" s="8" t="s">
        <v>3287</v>
      </c>
      <c r="J1024" s="8" t="s">
        <v>428</v>
      </c>
    </row>
    <row r="1025" spans="7:10" ht="12.75" x14ac:dyDescent="0.2">
      <c r="G1025" s="8" t="s">
        <v>430</v>
      </c>
      <c r="H1025" s="8" t="s">
        <v>3288</v>
      </c>
      <c r="I1025" s="8" t="s">
        <v>3289</v>
      </c>
      <c r="J1025" s="8" t="s">
        <v>430</v>
      </c>
    </row>
    <row r="1026" spans="7:10" ht="12.75" x14ac:dyDescent="0.2">
      <c r="G1026" s="8" t="s">
        <v>3290</v>
      </c>
      <c r="H1026" s="8" t="s">
        <v>3288</v>
      </c>
      <c r="I1026" s="8" t="s">
        <v>3291</v>
      </c>
      <c r="J1026" s="8" t="s">
        <v>3290</v>
      </c>
    </row>
    <row r="1027" spans="7:10" ht="12.75" x14ac:dyDescent="0.2">
      <c r="G1027" s="8" t="s">
        <v>431</v>
      </c>
      <c r="H1027" s="8" t="s">
        <v>3292</v>
      </c>
      <c r="I1027" s="8" t="s">
        <v>3293</v>
      </c>
      <c r="J1027" s="8" t="s">
        <v>431</v>
      </c>
    </row>
    <row r="1028" spans="7:10" ht="12.75" x14ac:dyDescent="0.2">
      <c r="G1028" s="8" t="s">
        <v>433</v>
      </c>
      <c r="H1028" s="8" t="s">
        <v>3294</v>
      </c>
      <c r="I1028" s="8" t="s">
        <v>3295</v>
      </c>
      <c r="J1028" s="8" t="s">
        <v>433</v>
      </c>
    </row>
    <row r="1029" spans="7:10" ht="12.75" x14ac:dyDescent="0.2">
      <c r="G1029" s="8" t="s">
        <v>3296</v>
      </c>
      <c r="H1029" s="8" t="s">
        <v>3294</v>
      </c>
      <c r="I1029" s="8" t="s">
        <v>3297</v>
      </c>
      <c r="J1029" s="8" t="s">
        <v>3296</v>
      </c>
    </row>
    <row r="1030" spans="7:10" ht="12.75" x14ac:dyDescent="0.2">
      <c r="G1030" s="8" t="s">
        <v>434</v>
      </c>
      <c r="H1030" s="8" t="s">
        <v>3298</v>
      </c>
      <c r="I1030" s="8" t="s">
        <v>3299</v>
      </c>
      <c r="J1030" s="8" t="s">
        <v>434</v>
      </c>
    </row>
    <row r="1031" spans="7:10" ht="12.75" x14ac:dyDescent="0.2">
      <c r="G1031" s="8" t="s">
        <v>436</v>
      </c>
      <c r="H1031" s="8" t="s">
        <v>3300</v>
      </c>
      <c r="I1031" s="8" t="s">
        <v>3301</v>
      </c>
      <c r="J1031" s="8" t="s">
        <v>436</v>
      </c>
    </row>
    <row r="1032" spans="7:10" ht="12.75" x14ac:dyDescent="0.2">
      <c r="G1032" s="8" t="s">
        <v>3302</v>
      </c>
      <c r="H1032" s="8" t="s">
        <v>3300</v>
      </c>
      <c r="I1032" s="8" t="s">
        <v>3303</v>
      </c>
      <c r="J1032" s="8" t="s">
        <v>3302</v>
      </c>
    </row>
    <row r="1033" spans="7:10" ht="12.75" x14ac:dyDescent="0.2">
      <c r="G1033" s="8" t="s">
        <v>258</v>
      </c>
      <c r="H1033" s="8" t="s">
        <v>3304</v>
      </c>
      <c r="I1033" s="8" t="s">
        <v>1042</v>
      </c>
      <c r="J1033" s="8" t="s">
        <v>258</v>
      </c>
    </row>
    <row r="1034" spans="7:10" ht="12.75" x14ac:dyDescent="0.2">
      <c r="G1034" s="8" t="s">
        <v>437</v>
      </c>
      <c r="H1034" s="8" t="s">
        <v>3304</v>
      </c>
      <c r="I1034" s="8" t="s">
        <v>3305</v>
      </c>
      <c r="J1034" s="8" t="s">
        <v>437</v>
      </c>
    </row>
    <row r="1035" spans="7:10" ht="12.75" x14ac:dyDescent="0.2">
      <c r="G1035" s="8" t="s">
        <v>259</v>
      </c>
      <c r="H1035" s="8" t="s">
        <v>3306</v>
      </c>
      <c r="I1035" s="8" t="s">
        <v>3307</v>
      </c>
      <c r="J1035" s="8" t="s">
        <v>259</v>
      </c>
    </row>
    <row r="1036" spans="7:10" ht="12.75" x14ac:dyDescent="0.2">
      <c r="G1036" s="8" t="s">
        <v>3308</v>
      </c>
      <c r="H1036" s="8" t="s">
        <v>3309</v>
      </c>
      <c r="I1036" s="8" t="s">
        <v>3310</v>
      </c>
      <c r="J1036" s="8" t="s">
        <v>3308</v>
      </c>
    </row>
    <row r="1037" spans="7:10" ht="12.75" x14ac:dyDescent="0.2">
      <c r="G1037" s="8" t="s">
        <v>260</v>
      </c>
      <c r="H1037" s="8" t="s">
        <v>3311</v>
      </c>
      <c r="I1037" s="8" t="s">
        <v>1046</v>
      </c>
      <c r="J1037" s="8" t="s">
        <v>260</v>
      </c>
    </row>
    <row r="1038" spans="7:10" ht="12.75" x14ac:dyDescent="0.2">
      <c r="G1038" s="8" t="s">
        <v>438</v>
      </c>
      <c r="H1038" s="8" t="s">
        <v>3312</v>
      </c>
      <c r="I1038" s="8" t="s">
        <v>3313</v>
      </c>
      <c r="J1038" s="8" t="s">
        <v>438</v>
      </c>
    </row>
    <row r="1039" spans="7:10" ht="12.75" x14ac:dyDescent="0.2">
      <c r="G1039" s="8" t="s">
        <v>261</v>
      </c>
      <c r="H1039" s="8" t="s">
        <v>3314</v>
      </c>
      <c r="I1039" s="8" t="s">
        <v>1050</v>
      </c>
      <c r="J1039" s="8" t="s">
        <v>261</v>
      </c>
    </row>
    <row r="1040" spans="7:10" ht="12.75" x14ac:dyDescent="0.2">
      <c r="G1040" s="8" t="s">
        <v>439</v>
      </c>
      <c r="H1040" s="8" t="s">
        <v>3315</v>
      </c>
      <c r="I1040" s="8" t="s">
        <v>3316</v>
      </c>
      <c r="J1040" s="8" t="s">
        <v>439</v>
      </c>
    </row>
    <row r="1041" spans="7:10" ht="12.75" x14ac:dyDescent="0.2">
      <c r="G1041" s="8" t="s">
        <v>440</v>
      </c>
      <c r="H1041" s="8" t="s">
        <v>3317</v>
      </c>
      <c r="I1041" s="8" t="s">
        <v>3318</v>
      </c>
      <c r="J1041" s="8" t="s">
        <v>440</v>
      </c>
    </row>
    <row r="1042" spans="7:10" ht="12.75" x14ac:dyDescent="0.2">
      <c r="G1042" s="8" t="s">
        <v>441</v>
      </c>
      <c r="H1042" s="8" t="s">
        <v>3319</v>
      </c>
      <c r="I1042" s="8" t="s">
        <v>1057</v>
      </c>
      <c r="J1042" s="8" t="s">
        <v>441</v>
      </c>
    </row>
    <row r="1043" spans="7:10" ht="12.75" x14ac:dyDescent="0.2">
      <c r="G1043" s="8" t="s">
        <v>442</v>
      </c>
      <c r="H1043" s="8" t="s">
        <v>3319</v>
      </c>
      <c r="I1043" s="8" t="s">
        <v>3320</v>
      </c>
      <c r="J1043" s="8" t="s">
        <v>442</v>
      </c>
    </row>
    <row r="1044" spans="7:10" ht="12.75" x14ac:dyDescent="0.2">
      <c r="G1044" s="8" t="s">
        <v>262</v>
      </c>
      <c r="H1044" s="8" t="s">
        <v>3321</v>
      </c>
      <c r="I1044" s="8" t="s">
        <v>3322</v>
      </c>
      <c r="J1044" s="8" t="s">
        <v>262</v>
      </c>
    </row>
    <row r="1045" spans="7:10" ht="12.75" x14ac:dyDescent="0.2">
      <c r="G1045" s="8" t="s">
        <v>3323</v>
      </c>
      <c r="H1045" s="8" t="s">
        <v>3321</v>
      </c>
      <c r="I1045" s="8" t="s">
        <v>3324</v>
      </c>
      <c r="J1045" s="8" t="s">
        <v>3323</v>
      </c>
    </row>
    <row r="1046" spans="7:10" ht="12.75" x14ac:dyDescent="0.2">
      <c r="G1046" s="8" t="s">
        <v>263</v>
      </c>
      <c r="H1046" s="8" t="s">
        <v>3325</v>
      </c>
      <c r="I1046" s="8" t="s">
        <v>1063</v>
      </c>
      <c r="J1046" s="8" t="s">
        <v>263</v>
      </c>
    </row>
    <row r="1047" spans="7:10" ht="12.75" x14ac:dyDescent="0.2">
      <c r="G1047" s="8" t="s">
        <v>443</v>
      </c>
      <c r="H1047" s="8" t="s">
        <v>3325</v>
      </c>
      <c r="I1047" s="8" t="s">
        <v>3326</v>
      </c>
      <c r="J1047" s="8" t="s">
        <v>443</v>
      </c>
    </row>
    <row r="1048" spans="7:10" ht="12.75" x14ac:dyDescent="0.2">
      <c r="G1048" s="8" t="s">
        <v>264</v>
      </c>
      <c r="H1048" s="8" t="s">
        <v>3327</v>
      </c>
      <c r="I1048" s="8" t="s">
        <v>3328</v>
      </c>
      <c r="J1048" s="8" t="s">
        <v>264</v>
      </c>
    </row>
    <row r="1049" spans="7:10" ht="12.75" x14ac:dyDescent="0.2">
      <c r="G1049" s="8" t="s">
        <v>3329</v>
      </c>
      <c r="H1049" s="8" t="s">
        <v>3330</v>
      </c>
      <c r="I1049" s="8" t="s">
        <v>3331</v>
      </c>
      <c r="J1049" s="8" t="s">
        <v>3329</v>
      </c>
    </row>
    <row r="1050" spans="7:10" ht="12.75" x14ac:dyDescent="0.2">
      <c r="G1050" s="8" t="s">
        <v>265</v>
      </c>
      <c r="H1050" s="8" t="s">
        <v>3332</v>
      </c>
      <c r="I1050" s="8" t="s">
        <v>1067</v>
      </c>
      <c r="J1050" s="8" t="s">
        <v>265</v>
      </c>
    </row>
    <row r="1051" spans="7:10" ht="12.75" x14ac:dyDescent="0.2">
      <c r="G1051" s="8" t="s">
        <v>3333</v>
      </c>
      <c r="H1051" s="8" t="s">
        <v>3332</v>
      </c>
      <c r="I1051" s="8" t="s">
        <v>3334</v>
      </c>
      <c r="J1051" s="8" t="s">
        <v>3333</v>
      </c>
    </row>
    <row r="1052" spans="7:10" ht="12.75" x14ac:dyDescent="0.2">
      <c r="G1052" s="8" t="s">
        <v>444</v>
      </c>
      <c r="H1052" s="8" t="s">
        <v>3335</v>
      </c>
      <c r="I1052" s="8" t="s">
        <v>3336</v>
      </c>
      <c r="J1052" s="8" t="s">
        <v>444</v>
      </c>
    </row>
    <row r="1053" spans="7:10" ht="12.75" x14ac:dyDescent="0.2">
      <c r="G1053" s="8" t="s">
        <v>3337</v>
      </c>
      <c r="H1053" s="8" t="s">
        <v>3335</v>
      </c>
      <c r="I1053" s="8" t="s">
        <v>3338</v>
      </c>
      <c r="J1053" s="8" t="s">
        <v>3337</v>
      </c>
    </row>
    <row r="1054" spans="7:10" ht="12.75" x14ac:dyDescent="0.2">
      <c r="G1054" s="8" t="s">
        <v>445</v>
      </c>
      <c r="H1054" s="8" t="s">
        <v>3339</v>
      </c>
      <c r="I1054" s="8" t="s">
        <v>1074</v>
      </c>
      <c r="J1054" s="8" t="s">
        <v>445</v>
      </c>
    </row>
    <row r="1055" spans="7:10" ht="12.75" x14ac:dyDescent="0.2">
      <c r="G1055" s="8" t="s">
        <v>446</v>
      </c>
      <c r="H1055" s="8" t="s">
        <v>3340</v>
      </c>
      <c r="I1055" s="8" t="s">
        <v>3341</v>
      </c>
      <c r="J1055" s="8" t="s">
        <v>446</v>
      </c>
    </row>
    <row r="1056" spans="7:10" ht="12.75" x14ac:dyDescent="0.2">
      <c r="G1056" s="8" t="s">
        <v>447</v>
      </c>
      <c r="H1056" s="8" t="s">
        <v>3342</v>
      </c>
      <c r="I1056" s="8" t="s">
        <v>3343</v>
      </c>
      <c r="J1056" s="8" t="s">
        <v>447</v>
      </c>
    </row>
    <row r="1057" spans="7:10" ht="12.75" x14ac:dyDescent="0.2">
      <c r="G1057" s="8" t="s">
        <v>448</v>
      </c>
      <c r="H1057" s="8" t="s">
        <v>3344</v>
      </c>
      <c r="I1057" s="8" t="s">
        <v>335</v>
      </c>
      <c r="J1057" s="8" t="s">
        <v>448</v>
      </c>
    </row>
    <row r="1058" spans="7:10" ht="12.75" x14ac:dyDescent="0.2">
      <c r="G1058" s="8" t="s">
        <v>267</v>
      </c>
      <c r="H1058" s="8" t="s">
        <v>3345</v>
      </c>
      <c r="I1058" s="8" t="s">
        <v>1078</v>
      </c>
      <c r="J1058" s="8" t="s">
        <v>267</v>
      </c>
    </row>
    <row r="1059" spans="7:10" ht="12.75" x14ac:dyDescent="0.2">
      <c r="G1059" s="8" t="s">
        <v>449</v>
      </c>
      <c r="H1059" s="8" t="s">
        <v>3345</v>
      </c>
      <c r="I1059" s="8" t="s">
        <v>3346</v>
      </c>
      <c r="J1059" s="8" t="s">
        <v>449</v>
      </c>
    </row>
    <row r="1060" spans="7:10" ht="12.75" x14ac:dyDescent="0.2">
      <c r="G1060" s="8" t="s">
        <v>450</v>
      </c>
      <c r="H1060" s="8" t="s">
        <v>3347</v>
      </c>
      <c r="I1060" s="8" t="s">
        <v>3348</v>
      </c>
      <c r="J1060" s="8" t="s">
        <v>450</v>
      </c>
    </row>
    <row r="1061" spans="7:10" ht="12.75" x14ac:dyDescent="0.2">
      <c r="G1061" s="8" t="s">
        <v>3349</v>
      </c>
      <c r="H1061" s="8" t="s">
        <v>3347</v>
      </c>
      <c r="I1061" s="8" t="s">
        <v>3350</v>
      </c>
      <c r="J1061" s="8" t="s">
        <v>3349</v>
      </c>
    </row>
    <row r="1062" spans="7:10" ht="12.75" x14ac:dyDescent="0.2">
      <c r="G1062" s="8" t="s">
        <v>311</v>
      </c>
      <c r="H1062" s="8" t="s">
        <v>3351</v>
      </c>
      <c r="I1062" s="8" t="s">
        <v>1082</v>
      </c>
      <c r="J1062" s="8" t="s">
        <v>311</v>
      </c>
    </row>
    <row r="1063" spans="7:10" ht="12.75" x14ac:dyDescent="0.2">
      <c r="G1063" s="8" t="s">
        <v>451</v>
      </c>
      <c r="H1063" s="8" t="s">
        <v>3351</v>
      </c>
      <c r="I1063" s="8" t="s">
        <v>3352</v>
      </c>
      <c r="J1063" s="8" t="s">
        <v>451</v>
      </c>
    </row>
    <row r="1064" spans="7:10" ht="12.75" x14ac:dyDescent="0.2">
      <c r="G1064" s="8" t="s">
        <v>268</v>
      </c>
      <c r="H1064" s="8" t="s">
        <v>3353</v>
      </c>
      <c r="I1064" s="8" t="s">
        <v>331</v>
      </c>
      <c r="J1064" s="8" t="s">
        <v>268</v>
      </c>
    </row>
    <row r="1065" spans="7:10" ht="12.75" x14ac:dyDescent="0.2">
      <c r="G1065" s="8" t="s">
        <v>452</v>
      </c>
      <c r="H1065" s="8" t="s">
        <v>3353</v>
      </c>
      <c r="I1065" s="8" t="s">
        <v>3354</v>
      </c>
      <c r="J1065" s="8" t="s">
        <v>452</v>
      </c>
    </row>
    <row r="1066" spans="7:10" ht="12.75" x14ac:dyDescent="0.2">
      <c r="G1066" s="8" t="s">
        <v>453</v>
      </c>
      <c r="H1066" s="8" t="s">
        <v>3355</v>
      </c>
      <c r="I1066" s="8" t="s">
        <v>3356</v>
      </c>
      <c r="J1066" s="8" t="s">
        <v>453</v>
      </c>
    </row>
    <row r="1067" spans="7:10" ht="12.75" x14ac:dyDescent="0.2">
      <c r="G1067" s="8" t="s">
        <v>3357</v>
      </c>
      <c r="H1067" s="8" t="s">
        <v>3355</v>
      </c>
      <c r="I1067" s="8" t="s">
        <v>3358</v>
      </c>
      <c r="J1067" s="8" t="s">
        <v>3357</v>
      </c>
    </row>
    <row r="1068" spans="7:10" ht="12.75" x14ac:dyDescent="0.2">
      <c r="G1068" s="8" t="s">
        <v>269</v>
      </c>
      <c r="H1068" s="8" t="s">
        <v>3359</v>
      </c>
      <c r="I1068" s="8" t="s">
        <v>1089</v>
      </c>
      <c r="J1068" s="8" t="s">
        <v>269</v>
      </c>
    </row>
    <row r="1069" spans="7:10" ht="12.75" x14ac:dyDescent="0.2">
      <c r="G1069" s="8" t="s">
        <v>454</v>
      </c>
      <c r="H1069" s="8" t="s">
        <v>3359</v>
      </c>
      <c r="I1069" s="8" t="s">
        <v>3360</v>
      </c>
      <c r="J1069" s="8" t="s">
        <v>454</v>
      </c>
    </row>
    <row r="1070" spans="7:10" ht="12.75" x14ac:dyDescent="0.2">
      <c r="G1070" s="8" t="s">
        <v>270</v>
      </c>
      <c r="H1070" s="8" t="s">
        <v>3361</v>
      </c>
      <c r="I1070" s="8" t="s">
        <v>1093</v>
      </c>
      <c r="J1070" s="8" t="s">
        <v>270</v>
      </c>
    </row>
    <row r="1071" spans="7:10" ht="12.75" x14ac:dyDescent="0.2">
      <c r="G1071" s="8" t="s">
        <v>3362</v>
      </c>
      <c r="H1071" s="8" t="s">
        <v>3363</v>
      </c>
      <c r="I1071" s="8" t="s">
        <v>3364</v>
      </c>
      <c r="J1071" s="8" t="s">
        <v>3362</v>
      </c>
    </row>
    <row r="1072" spans="7:10" ht="12.75" x14ac:dyDescent="0.2">
      <c r="G1072" s="8" t="s">
        <v>271</v>
      </c>
      <c r="H1072" s="8" t="s">
        <v>3365</v>
      </c>
      <c r="I1072" s="8" t="s">
        <v>3366</v>
      </c>
      <c r="J1072" s="8" t="s">
        <v>271</v>
      </c>
    </row>
    <row r="1073" spans="7:10" ht="12.75" x14ac:dyDescent="0.2">
      <c r="G1073" s="8" t="s">
        <v>3367</v>
      </c>
      <c r="H1073" s="8" t="s">
        <v>3368</v>
      </c>
      <c r="I1073" s="8" t="s">
        <v>3369</v>
      </c>
      <c r="J1073" s="8" t="s">
        <v>3367</v>
      </c>
    </row>
    <row r="1074" spans="7:10" ht="12.75" x14ac:dyDescent="0.2">
      <c r="G1074" s="8" t="s">
        <v>455</v>
      </c>
      <c r="H1074" s="8" t="s">
        <v>3370</v>
      </c>
      <c r="I1074" s="8" t="s">
        <v>3371</v>
      </c>
      <c r="J1074" s="8" t="s">
        <v>455</v>
      </c>
    </row>
    <row r="1075" spans="7:10" ht="12.75" x14ac:dyDescent="0.2">
      <c r="G1075" s="8" t="s">
        <v>456</v>
      </c>
      <c r="H1075" s="8" t="s">
        <v>3372</v>
      </c>
      <c r="I1075" s="8" t="s">
        <v>3373</v>
      </c>
      <c r="J1075" s="8" t="s">
        <v>456</v>
      </c>
    </row>
    <row r="1076" spans="7:10" ht="12.75" x14ac:dyDescent="0.2">
      <c r="G1076" s="8" t="s">
        <v>457</v>
      </c>
      <c r="H1076" s="8" t="s">
        <v>3374</v>
      </c>
      <c r="I1076" s="8" t="s">
        <v>568</v>
      </c>
      <c r="J1076" s="8" t="s">
        <v>457</v>
      </c>
    </row>
    <row r="1077" spans="7:10" ht="12.75" x14ac:dyDescent="0.2">
      <c r="G1077" s="8" t="s">
        <v>459</v>
      </c>
      <c r="H1077" s="8" t="s">
        <v>3375</v>
      </c>
      <c r="I1077" s="8" t="s">
        <v>574</v>
      </c>
      <c r="J1077" s="8" t="s">
        <v>459</v>
      </c>
    </row>
    <row r="1078" spans="7:10" ht="12.75" x14ac:dyDescent="0.2">
      <c r="G1078" s="8" t="s">
        <v>460</v>
      </c>
      <c r="H1078" s="8" t="s">
        <v>3376</v>
      </c>
      <c r="I1078" s="8" t="s">
        <v>3377</v>
      </c>
      <c r="J1078" s="8" t="s">
        <v>460</v>
      </c>
    </row>
    <row r="1079" spans="7:10" ht="12.75" x14ac:dyDescent="0.2">
      <c r="G1079" s="8" t="s">
        <v>461</v>
      </c>
      <c r="H1079" s="8" t="s">
        <v>3378</v>
      </c>
      <c r="I1079" s="8" t="s">
        <v>3379</v>
      </c>
      <c r="J1079" s="8" t="s">
        <v>461</v>
      </c>
    </row>
    <row r="1080" spans="7:10" ht="12.75" x14ac:dyDescent="0.2">
      <c r="G1080" s="8" t="s">
        <v>462</v>
      </c>
      <c r="H1080" s="8" t="s">
        <v>3380</v>
      </c>
      <c r="I1080" s="8" t="s">
        <v>3381</v>
      </c>
      <c r="J1080" s="8" t="s">
        <v>462</v>
      </c>
    </row>
    <row r="1081" spans="7:10" ht="12.75" x14ac:dyDescent="0.2">
      <c r="G1081" s="8" t="s">
        <v>463</v>
      </c>
      <c r="H1081" s="8" t="s">
        <v>3382</v>
      </c>
      <c r="I1081" s="8" t="s">
        <v>3383</v>
      </c>
      <c r="J1081" s="8" t="s">
        <v>463</v>
      </c>
    </row>
    <row r="1082" spans="7:10" ht="12.75" x14ac:dyDescent="0.2">
      <c r="G1082" s="8" t="s">
        <v>464</v>
      </c>
      <c r="H1082" s="8" t="s">
        <v>3384</v>
      </c>
      <c r="I1082" s="8" t="s">
        <v>3385</v>
      </c>
      <c r="J1082" s="8" t="s">
        <v>464</v>
      </c>
    </row>
    <row r="1083" spans="7:10" ht="12.75" x14ac:dyDescent="0.2">
      <c r="G1083" s="8" t="s">
        <v>465</v>
      </c>
      <c r="H1083" s="8" t="s">
        <v>3386</v>
      </c>
      <c r="I1083" s="8" t="s">
        <v>3387</v>
      </c>
      <c r="J1083" s="8" t="s">
        <v>465</v>
      </c>
    </row>
    <row r="1084" spans="7:10" ht="12.75" x14ac:dyDescent="0.2">
      <c r="G1084" s="8" t="s">
        <v>466</v>
      </c>
      <c r="H1084" s="8" t="s">
        <v>3388</v>
      </c>
      <c r="I1084" s="8" t="s">
        <v>579</v>
      </c>
      <c r="J1084" s="8" t="s">
        <v>466</v>
      </c>
    </row>
    <row r="1085" spans="7:10" ht="12.75" x14ac:dyDescent="0.2">
      <c r="G1085" s="8" t="s">
        <v>3389</v>
      </c>
      <c r="H1085" s="8" t="s">
        <v>3390</v>
      </c>
      <c r="I1085" s="8" t="s">
        <v>3391</v>
      </c>
      <c r="J1085" s="8" t="s">
        <v>3389</v>
      </c>
    </row>
    <row r="1086" spans="7:10" ht="12.75" x14ac:dyDescent="0.2">
      <c r="G1086" s="8" t="s">
        <v>467</v>
      </c>
      <c r="H1086" s="8" t="s">
        <v>3392</v>
      </c>
      <c r="I1086" s="8" t="s">
        <v>584</v>
      </c>
      <c r="J1086" s="8" t="s">
        <v>467</v>
      </c>
    </row>
    <row r="1087" spans="7:10" ht="12.75" x14ac:dyDescent="0.2">
      <c r="G1087" s="8" t="s">
        <v>468</v>
      </c>
      <c r="H1087" s="8" t="s">
        <v>3393</v>
      </c>
      <c r="I1087" s="8" t="s">
        <v>588</v>
      </c>
      <c r="J1087" s="8" t="s">
        <v>468</v>
      </c>
    </row>
    <row r="1088" spans="7:10" ht="12.75" x14ac:dyDescent="0.2">
      <c r="G1088" s="8" t="s">
        <v>272</v>
      </c>
      <c r="H1088" s="8" t="s">
        <v>3394</v>
      </c>
      <c r="I1088" s="8" t="s">
        <v>3395</v>
      </c>
      <c r="J1088" s="8" t="s">
        <v>272</v>
      </c>
    </row>
    <row r="1089" spans="7:10" ht="12.75" x14ac:dyDescent="0.2">
      <c r="G1089" s="8" t="s">
        <v>469</v>
      </c>
      <c r="H1089" s="8" t="s">
        <v>3396</v>
      </c>
      <c r="I1089" s="8" t="s">
        <v>593</v>
      </c>
      <c r="J1089" s="8" t="s">
        <v>469</v>
      </c>
    </row>
    <row r="1090" spans="7:10" ht="12.75" x14ac:dyDescent="0.2">
      <c r="G1090" s="8" t="s">
        <v>470</v>
      </c>
      <c r="H1090" s="8" t="s">
        <v>3397</v>
      </c>
      <c r="I1090" s="8" t="s">
        <v>3398</v>
      </c>
      <c r="J1090" s="8" t="s">
        <v>470</v>
      </c>
    </row>
    <row r="1091" spans="7:10" ht="12.75" x14ac:dyDescent="0.2">
      <c r="G1091" s="8" t="s">
        <v>471</v>
      </c>
      <c r="H1091" s="8" t="s">
        <v>3399</v>
      </c>
      <c r="I1091" s="8" t="s">
        <v>1099</v>
      </c>
      <c r="J1091" s="8" t="s">
        <v>471</v>
      </c>
    </row>
    <row r="1092" spans="7:10" ht="12.75" x14ac:dyDescent="0.2">
      <c r="G1092" s="8" t="s">
        <v>472</v>
      </c>
      <c r="H1092" s="8" t="s">
        <v>3400</v>
      </c>
      <c r="I1092" s="8">
        <v>62333223</v>
      </c>
      <c r="J1092" s="8" t="s">
        <v>472</v>
      </c>
    </row>
    <row r="1093" spans="7:10" ht="12.75" x14ac:dyDescent="0.2">
      <c r="G1093" s="8" t="s">
        <v>473</v>
      </c>
      <c r="H1093" s="8" t="s">
        <v>3401</v>
      </c>
      <c r="I1093" s="8" t="s">
        <v>602</v>
      </c>
      <c r="J1093" s="8" t="s">
        <v>473</v>
      </c>
    </row>
    <row r="1094" spans="7:10" ht="12.75" x14ac:dyDescent="0.2">
      <c r="G1094" s="8" t="s">
        <v>474</v>
      </c>
      <c r="H1094" s="8" t="s">
        <v>3402</v>
      </c>
      <c r="I1094" s="8" t="s">
        <v>3403</v>
      </c>
      <c r="J1094" s="8" t="s">
        <v>474</v>
      </c>
    </row>
    <row r="1095" spans="7:10" ht="12.75" x14ac:dyDescent="0.2">
      <c r="G1095" s="8" t="s">
        <v>475</v>
      </c>
      <c r="H1095" s="8" t="s">
        <v>3404</v>
      </c>
      <c r="I1095" s="8" t="s">
        <v>607</v>
      </c>
      <c r="J1095" s="8" t="s">
        <v>475</v>
      </c>
    </row>
    <row r="1096" spans="7:10" ht="12.75" x14ac:dyDescent="0.2">
      <c r="G1096" s="8" t="s">
        <v>476</v>
      </c>
      <c r="H1096" s="8" t="s">
        <v>3405</v>
      </c>
      <c r="I1096" s="8" t="s">
        <v>3406</v>
      </c>
      <c r="J1096" s="8" t="s">
        <v>476</v>
      </c>
    </row>
    <row r="1097" spans="7:10" ht="12.75" x14ac:dyDescent="0.2">
      <c r="G1097" s="8" t="s">
        <v>477</v>
      </c>
      <c r="H1097" s="8" t="s">
        <v>3407</v>
      </c>
      <c r="I1097" s="8" t="s">
        <v>612</v>
      </c>
      <c r="J1097" s="8" t="s">
        <v>477</v>
      </c>
    </row>
    <row r="1098" spans="7:10" ht="12.75" x14ac:dyDescent="0.2">
      <c r="G1098" s="8" t="s">
        <v>478</v>
      </c>
      <c r="H1098" s="8" t="s">
        <v>3408</v>
      </c>
      <c r="I1098" s="8" t="s">
        <v>3409</v>
      </c>
      <c r="J1098" s="8" t="s">
        <v>478</v>
      </c>
    </row>
    <row r="1099" spans="7:10" ht="12.75" x14ac:dyDescent="0.2">
      <c r="G1099" s="8" t="s">
        <v>479</v>
      </c>
      <c r="H1099" s="8" t="s">
        <v>3410</v>
      </c>
      <c r="I1099" s="8" t="s">
        <v>1101</v>
      </c>
      <c r="J1099" s="8" t="s">
        <v>479</v>
      </c>
    </row>
    <row r="1100" spans="7:10" ht="12.75" x14ac:dyDescent="0.2">
      <c r="G1100" s="8" t="s">
        <v>480</v>
      </c>
      <c r="H1100" s="8" t="s">
        <v>3411</v>
      </c>
      <c r="I1100" s="8" t="s">
        <v>617</v>
      </c>
      <c r="J1100" s="8" t="s">
        <v>480</v>
      </c>
    </row>
    <row r="1101" spans="7:10" ht="12.75" x14ac:dyDescent="0.2">
      <c r="G1101" s="8" t="s">
        <v>481</v>
      </c>
      <c r="H1101" s="8" t="s">
        <v>3412</v>
      </c>
      <c r="I1101" s="8" t="s">
        <v>622</v>
      </c>
      <c r="J1101" s="8" t="s">
        <v>481</v>
      </c>
    </row>
    <row r="1102" spans="7:10" ht="12.75" x14ac:dyDescent="0.2">
      <c r="G1102" s="8" t="s">
        <v>273</v>
      </c>
      <c r="H1102" s="8" t="s">
        <v>3402</v>
      </c>
      <c r="I1102" s="8" t="s">
        <v>627</v>
      </c>
      <c r="J1102" s="8" t="s">
        <v>273</v>
      </c>
    </row>
    <row r="1103" spans="7:10" ht="12.75" x14ac:dyDescent="0.2">
      <c r="G1103" s="8" t="s">
        <v>482</v>
      </c>
      <c r="H1103" s="8" t="s">
        <v>3413</v>
      </c>
      <c r="I1103" s="8" t="s">
        <v>632</v>
      </c>
      <c r="J1103" s="8" t="s">
        <v>482</v>
      </c>
    </row>
    <row r="1104" spans="7:10" ht="12.75" x14ac:dyDescent="0.2">
      <c r="G1104" s="8" t="s">
        <v>274</v>
      </c>
      <c r="H1104" s="8" t="s">
        <v>3414</v>
      </c>
      <c r="I1104" s="8" t="s">
        <v>636</v>
      </c>
      <c r="J1104" s="8" t="s">
        <v>274</v>
      </c>
    </row>
    <row r="1105" spans="7:10" ht="12.75" x14ac:dyDescent="0.2">
      <c r="G1105" s="8" t="s">
        <v>3415</v>
      </c>
      <c r="H1105" s="8" t="s">
        <v>3416</v>
      </c>
      <c r="I1105" s="8" t="s">
        <v>3417</v>
      </c>
      <c r="J1105" s="8" t="s">
        <v>3415</v>
      </c>
    </row>
    <row r="1106" spans="7:10" ht="12.75" x14ac:dyDescent="0.2">
      <c r="G1106" s="8" t="s">
        <v>483</v>
      </c>
      <c r="H1106" s="8" t="s">
        <v>3418</v>
      </c>
      <c r="I1106" s="8" t="s">
        <v>640</v>
      </c>
      <c r="J1106" s="8" t="s">
        <v>483</v>
      </c>
    </row>
    <row r="1107" spans="7:10" ht="12.75" x14ac:dyDescent="0.2">
      <c r="G1107" s="8" t="s">
        <v>484</v>
      </c>
      <c r="H1107" s="8" t="s">
        <v>3408</v>
      </c>
      <c r="I1107" s="8" t="s">
        <v>3419</v>
      </c>
      <c r="J1107" s="8" t="s">
        <v>484</v>
      </c>
    </row>
    <row r="1108" spans="7:10" ht="12.75" x14ac:dyDescent="0.2">
      <c r="G1108" s="8" t="s">
        <v>485</v>
      </c>
      <c r="H1108" s="8" t="s">
        <v>3420</v>
      </c>
      <c r="I1108" s="8" t="s">
        <v>1105</v>
      </c>
      <c r="J1108" s="8" t="s">
        <v>485</v>
      </c>
    </row>
    <row r="1109" spans="7:10" ht="12.75" x14ac:dyDescent="0.2">
      <c r="G1109" s="8" t="s">
        <v>3421</v>
      </c>
      <c r="H1109" s="8" t="s">
        <v>3422</v>
      </c>
      <c r="I1109" s="8" t="s">
        <v>3423</v>
      </c>
      <c r="J1109" s="8" t="s">
        <v>3421</v>
      </c>
    </row>
    <row r="1110" spans="7:10" ht="12.75" x14ac:dyDescent="0.2">
      <c r="G1110" s="8" t="s">
        <v>3424</v>
      </c>
      <c r="H1110" s="8" t="s">
        <v>3425</v>
      </c>
      <c r="I1110" s="8" t="s">
        <v>3426</v>
      </c>
      <c r="J1110" s="8" t="s">
        <v>3424</v>
      </c>
    </row>
    <row r="1111" spans="7:10" ht="12.75" x14ac:dyDescent="0.2">
      <c r="G1111" s="8" t="s">
        <v>486</v>
      </c>
      <c r="H1111" s="8" t="s">
        <v>3427</v>
      </c>
      <c r="I1111" s="8" t="s">
        <v>1107</v>
      </c>
      <c r="J1111" s="8" t="s">
        <v>486</v>
      </c>
    </row>
    <row r="1112" spans="7:10" ht="12.75" x14ac:dyDescent="0.2">
      <c r="G1112" s="8" t="s">
        <v>3428</v>
      </c>
      <c r="H1112" s="8" t="s">
        <v>3429</v>
      </c>
      <c r="I1112" s="8" t="s">
        <v>3430</v>
      </c>
      <c r="J1112" s="8" t="s">
        <v>3428</v>
      </c>
    </row>
    <row r="1113" spans="7:10" ht="12.75" x14ac:dyDescent="0.2">
      <c r="G1113" s="8" t="s">
        <v>275</v>
      </c>
      <c r="H1113" s="8" t="s">
        <v>3431</v>
      </c>
      <c r="I1113" s="8" t="s">
        <v>3432</v>
      </c>
      <c r="J1113" s="8" t="s">
        <v>275</v>
      </c>
    </row>
    <row r="1114" spans="7:10" ht="12.75" x14ac:dyDescent="0.2">
      <c r="G1114" s="8" t="s">
        <v>276</v>
      </c>
      <c r="H1114" s="8" t="s">
        <v>3433</v>
      </c>
      <c r="I1114" s="8" t="s">
        <v>3434</v>
      </c>
      <c r="J1114" s="8" t="s">
        <v>276</v>
      </c>
    </row>
    <row r="1115" spans="7:10" ht="12.75" x14ac:dyDescent="0.2">
      <c r="G1115" s="8" t="s">
        <v>277</v>
      </c>
      <c r="H1115" s="8" t="s">
        <v>3435</v>
      </c>
      <c r="I1115" s="8" t="s">
        <v>1111</v>
      </c>
      <c r="J1115" s="8" t="s">
        <v>277</v>
      </c>
    </row>
    <row r="1116" spans="7:10" ht="12.75" x14ac:dyDescent="0.2">
      <c r="G1116" s="8" t="s">
        <v>278</v>
      </c>
      <c r="H1116" s="8" t="s">
        <v>3436</v>
      </c>
      <c r="I1116" s="8" t="s">
        <v>3437</v>
      </c>
      <c r="J1116" s="8" t="s">
        <v>278</v>
      </c>
    </row>
    <row r="1117" spans="7:10" ht="12.75" x14ac:dyDescent="0.2">
      <c r="G1117" s="8" t="s">
        <v>3438</v>
      </c>
      <c r="H1117" s="8" t="s">
        <v>3439</v>
      </c>
      <c r="I1117" s="8" t="s">
        <v>3440</v>
      </c>
      <c r="J1117" s="8" t="s">
        <v>3438</v>
      </c>
    </row>
    <row r="1118" spans="7:10" ht="12.75" x14ac:dyDescent="0.2">
      <c r="G1118" s="8" t="s">
        <v>487</v>
      </c>
      <c r="H1118" s="8" t="s">
        <v>3441</v>
      </c>
      <c r="I1118" s="8" t="s">
        <v>3442</v>
      </c>
      <c r="J1118" s="8" t="s">
        <v>487</v>
      </c>
    </row>
    <row r="1119" spans="7:10" ht="12.75" x14ac:dyDescent="0.2">
      <c r="G1119" s="8" t="s">
        <v>279</v>
      </c>
      <c r="H1119" s="8" t="s">
        <v>3443</v>
      </c>
      <c r="I1119" s="8" t="s">
        <v>3444</v>
      </c>
      <c r="J1119" s="8" t="s">
        <v>279</v>
      </c>
    </row>
    <row r="1120" spans="7:10" ht="12.75" x14ac:dyDescent="0.2">
      <c r="G1120" s="8" t="s">
        <v>3445</v>
      </c>
      <c r="H1120" s="8" t="s">
        <v>3446</v>
      </c>
      <c r="I1120" s="8" t="s">
        <v>3447</v>
      </c>
      <c r="J1120" s="8" t="s">
        <v>3445</v>
      </c>
    </row>
    <row r="1121" spans="7:10" ht="12.75" x14ac:dyDescent="0.2">
      <c r="G1121" s="8" t="s">
        <v>280</v>
      </c>
      <c r="H1121" s="8" t="s">
        <v>3448</v>
      </c>
      <c r="I1121" s="8" t="s">
        <v>3449</v>
      </c>
      <c r="J1121" s="8" t="s">
        <v>280</v>
      </c>
    </row>
    <row r="1122" spans="7:10" ht="12.75" x14ac:dyDescent="0.2">
      <c r="G1122" s="8" t="s">
        <v>3450</v>
      </c>
      <c r="H1122" s="8" t="s">
        <v>3451</v>
      </c>
      <c r="I1122" s="8" t="s">
        <v>3452</v>
      </c>
      <c r="J1122" s="8" t="s">
        <v>3450</v>
      </c>
    </row>
    <row r="1123" spans="7:10" ht="12.75" x14ac:dyDescent="0.2">
      <c r="G1123" s="8" t="s">
        <v>281</v>
      </c>
      <c r="H1123" s="8" t="s">
        <v>3453</v>
      </c>
      <c r="I1123" s="8" t="s">
        <v>1115</v>
      </c>
      <c r="J1123" s="8" t="s">
        <v>281</v>
      </c>
    </row>
    <row r="1124" spans="7:10" ht="12.75" x14ac:dyDescent="0.2">
      <c r="G1124" s="8" t="s">
        <v>282</v>
      </c>
      <c r="H1124" s="8" t="s">
        <v>3454</v>
      </c>
      <c r="I1124" s="8" t="s">
        <v>3455</v>
      </c>
      <c r="J1124" s="8" t="s">
        <v>282</v>
      </c>
    </row>
    <row r="1125" spans="7:10" ht="12.75" x14ac:dyDescent="0.2">
      <c r="G1125" s="8" t="s">
        <v>283</v>
      </c>
      <c r="H1125" s="8" t="s">
        <v>3456</v>
      </c>
      <c r="I1125" s="8" t="s">
        <v>3457</v>
      </c>
      <c r="J1125" s="8" t="s">
        <v>283</v>
      </c>
    </row>
    <row r="1126" spans="7:10" ht="12.75" x14ac:dyDescent="0.2">
      <c r="G1126" s="8" t="s">
        <v>3458</v>
      </c>
      <c r="H1126" s="8" t="s">
        <v>3459</v>
      </c>
      <c r="I1126" s="8" t="s">
        <v>3460</v>
      </c>
      <c r="J1126" s="8" t="s">
        <v>3458</v>
      </c>
    </row>
    <row r="1127" spans="7:10" ht="12.75" x14ac:dyDescent="0.2">
      <c r="G1127" s="8" t="s">
        <v>3461</v>
      </c>
      <c r="H1127" s="8" t="s">
        <v>3462</v>
      </c>
      <c r="I1127" s="8" t="s">
        <v>3463</v>
      </c>
      <c r="J1127" s="8" t="s">
        <v>3461</v>
      </c>
    </row>
    <row r="1128" spans="7:10" ht="12.75" x14ac:dyDescent="0.2">
      <c r="G1128" s="8" t="s">
        <v>284</v>
      </c>
      <c r="H1128" s="8" t="s">
        <v>3464</v>
      </c>
      <c r="I1128" s="8" t="s">
        <v>3465</v>
      </c>
      <c r="J1128" s="8" t="s">
        <v>284</v>
      </c>
    </row>
    <row r="1129" spans="7:10" ht="12.75" x14ac:dyDescent="0.2">
      <c r="G1129" s="8" t="s">
        <v>285</v>
      </c>
      <c r="H1129" s="8" t="s">
        <v>3466</v>
      </c>
      <c r="I1129" s="8" t="s">
        <v>1118</v>
      </c>
      <c r="J1129" s="8" t="s">
        <v>285</v>
      </c>
    </row>
    <row r="1130" spans="7:10" ht="12.75" x14ac:dyDescent="0.2">
      <c r="G1130" s="8" t="s">
        <v>307</v>
      </c>
      <c r="H1130" s="8" t="s">
        <v>3467</v>
      </c>
      <c r="I1130" s="8" t="s">
        <v>3468</v>
      </c>
      <c r="J1130" s="8" t="s">
        <v>307</v>
      </c>
    </row>
    <row r="1131" spans="7:10" ht="12.75" x14ac:dyDescent="0.2">
      <c r="G1131" s="8" t="s">
        <v>3469</v>
      </c>
      <c r="H1131" s="8" t="s">
        <v>3470</v>
      </c>
      <c r="I1131" s="8" t="s">
        <v>3471</v>
      </c>
      <c r="J1131" s="8" t="s">
        <v>3469</v>
      </c>
    </row>
    <row r="1132" spans="7:10" ht="12.75" x14ac:dyDescent="0.2">
      <c r="G1132" s="8" t="s">
        <v>286</v>
      </c>
      <c r="H1132" s="8" t="s">
        <v>3472</v>
      </c>
      <c r="I1132" s="8" t="s">
        <v>3473</v>
      </c>
      <c r="J1132" s="8" t="s">
        <v>286</v>
      </c>
    </row>
    <row r="1133" spans="7:10" ht="12.75" x14ac:dyDescent="0.2">
      <c r="G1133" s="8" t="s">
        <v>3474</v>
      </c>
      <c r="H1133" s="8" t="s">
        <v>3475</v>
      </c>
      <c r="I1133" s="8" t="s">
        <v>3476</v>
      </c>
      <c r="J1133" s="8" t="s">
        <v>3474</v>
      </c>
    </row>
    <row r="1134" spans="7:10" ht="12.75" x14ac:dyDescent="0.2">
      <c r="G1134" s="8" t="s">
        <v>3477</v>
      </c>
      <c r="H1134" s="8" t="s">
        <v>3478</v>
      </c>
      <c r="I1134" s="8" t="s">
        <v>3479</v>
      </c>
      <c r="J1134" s="8" t="s">
        <v>3477</v>
      </c>
    </row>
    <row r="1135" spans="7:10" ht="12.75" x14ac:dyDescent="0.2">
      <c r="G1135" s="8" t="s">
        <v>287</v>
      </c>
      <c r="H1135" s="8" t="s">
        <v>3480</v>
      </c>
      <c r="I1135" s="8" t="s">
        <v>3481</v>
      </c>
      <c r="J1135" s="8" t="s">
        <v>287</v>
      </c>
    </row>
    <row r="1136" spans="7:10" ht="12.75" x14ac:dyDescent="0.2">
      <c r="G1136" s="8" t="s">
        <v>3482</v>
      </c>
      <c r="H1136" s="8" t="s">
        <v>3483</v>
      </c>
      <c r="I1136" s="8" t="s">
        <v>3484</v>
      </c>
      <c r="J1136" s="8" t="s">
        <v>3482</v>
      </c>
    </row>
    <row r="1137" spans="7:10" ht="12.75" x14ac:dyDescent="0.2">
      <c r="G1137" s="8" t="s">
        <v>3485</v>
      </c>
      <c r="H1137" s="8" t="s">
        <v>3486</v>
      </c>
      <c r="I1137" s="8" t="s">
        <v>3487</v>
      </c>
      <c r="J1137" s="8" t="s">
        <v>3485</v>
      </c>
    </row>
    <row r="1138" spans="7:10" ht="12.75" x14ac:dyDescent="0.2">
      <c r="G1138" s="8" t="s">
        <v>288</v>
      </c>
      <c r="H1138" s="8" t="s">
        <v>3488</v>
      </c>
      <c r="I1138" s="8" t="s">
        <v>1122</v>
      </c>
      <c r="J1138" s="8" t="s">
        <v>288</v>
      </c>
    </row>
    <row r="1139" spans="7:10" ht="12.75" x14ac:dyDescent="0.2">
      <c r="G1139" s="8" t="s">
        <v>3489</v>
      </c>
      <c r="H1139" s="8" t="s">
        <v>3490</v>
      </c>
      <c r="I1139" s="8" t="s">
        <v>3491</v>
      </c>
      <c r="J1139" s="8" t="s">
        <v>3489</v>
      </c>
    </row>
    <row r="1140" spans="7:10" ht="12.75" x14ac:dyDescent="0.2">
      <c r="G1140" s="8" t="s">
        <v>3492</v>
      </c>
      <c r="H1140" s="8" t="s">
        <v>3493</v>
      </c>
      <c r="I1140" s="8" t="s">
        <v>3494</v>
      </c>
      <c r="J1140" s="8" t="s">
        <v>3492</v>
      </c>
    </row>
    <row r="1141" spans="7:10" ht="12.75" x14ac:dyDescent="0.2">
      <c r="G1141" s="8" t="s">
        <v>3495</v>
      </c>
      <c r="H1141" s="8" t="s">
        <v>3496</v>
      </c>
      <c r="I1141" s="8" t="s">
        <v>3497</v>
      </c>
      <c r="J1141" s="8" t="s">
        <v>3495</v>
      </c>
    </row>
    <row r="1142" spans="7:10" ht="12.75" x14ac:dyDescent="0.2">
      <c r="G1142" s="8" t="s">
        <v>289</v>
      </c>
      <c r="H1142" s="8" t="s">
        <v>3498</v>
      </c>
      <c r="I1142" s="8" t="s">
        <v>3499</v>
      </c>
      <c r="J1142" s="8" t="s">
        <v>289</v>
      </c>
    </row>
    <row r="1143" spans="7:10" ht="12.75" x14ac:dyDescent="0.2">
      <c r="G1143" s="8" t="s">
        <v>3500</v>
      </c>
      <c r="H1143" s="8" t="s">
        <v>3501</v>
      </c>
      <c r="I1143" s="8" t="s">
        <v>3502</v>
      </c>
      <c r="J1143" s="8" t="s">
        <v>3500</v>
      </c>
    </row>
    <row r="1144" spans="7:10" ht="12.75" x14ac:dyDescent="0.2">
      <c r="G1144" s="8" t="s">
        <v>308</v>
      </c>
      <c r="H1144" s="8" t="s">
        <v>3503</v>
      </c>
      <c r="I1144" s="8" t="s">
        <v>3504</v>
      </c>
      <c r="J1144" s="8" t="s">
        <v>308</v>
      </c>
    </row>
    <row r="1145" spans="7:10" ht="12.75" x14ac:dyDescent="0.2">
      <c r="G1145" s="8" t="s">
        <v>3505</v>
      </c>
      <c r="H1145" s="8" t="s">
        <v>3506</v>
      </c>
      <c r="I1145" s="8" t="s">
        <v>3507</v>
      </c>
      <c r="J1145" s="8" t="s">
        <v>3505</v>
      </c>
    </row>
    <row r="1146" spans="7:10" ht="12.75" x14ac:dyDescent="0.2">
      <c r="G1146" s="8" t="s">
        <v>3508</v>
      </c>
      <c r="H1146" s="8" t="s">
        <v>3509</v>
      </c>
      <c r="I1146" s="8" t="s">
        <v>3510</v>
      </c>
      <c r="J1146" s="8" t="s">
        <v>3508</v>
      </c>
    </row>
    <row r="1147" spans="7:10" ht="12.75" x14ac:dyDescent="0.2">
      <c r="G1147" s="8" t="s">
        <v>3511</v>
      </c>
      <c r="H1147" s="8" t="s">
        <v>3512</v>
      </c>
      <c r="I1147" s="8" t="s">
        <v>3513</v>
      </c>
      <c r="J1147" s="8" t="s">
        <v>3511</v>
      </c>
    </row>
    <row r="1148" spans="7:10" ht="12.75" x14ac:dyDescent="0.2">
      <c r="G1148" s="8" t="s">
        <v>290</v>
      </c>
      <c r="H1148" s="8" t="s">
        <v>3514</v>
      </c>
      <c r="I1148" s="8" t="s">
        <v>3515</v>
      </c>
      <c r="J1148" s="8" t="s">
        <v>290</v>
      </c>
    </row>
    <row r="1149" spans="7:10" ht="12.75" x14ac:dyDescent="0.2">
      <c r="G1149" s="8" t="s">
        <v>3516</v>
      </c>
      <c r="H1149" s="8" t="s">
        <v>3517</v>
      </c>
      <c r="I1149" s="8" t="s">
        <v>3518</v>
      </c>
      <c r="J1149" s="8" t="s">
        <v>3516</v>
      </c>
    </row>
    <row r="1150" spans="7:10" ht="12.75" x14ac:dyDescent="0.2">
      <c r="G1150" s="8" t="s">
        <v>488</v>
      </c>
      <c r="H1150" s="8" t="s">
        <v>3519</v>
      </c>
      <c r="I1150" s="8" t="s">
        <v>1126</v>
      </c>
      <c r="J1150" s="8" t="s">
        <v>488</v>
      </c>
    </row>
    <row r="1151" spans="7:10" ht="12.75" x14ac:dyDescent="0.2">
      <c r="G1151" s="8" t="s">
        <v>489</v>
      </c>
      <c r="H1151" s="8" t="s">
        <v>3520</v>
      </c>
      <c r="I1151" s="8" t="s">
        <v>1128</v>
      </c>
      <c r="J1151" s="8" t="s">
        <v>489</v>
      </c>
    </row>
    <row r="1152" spans="7:10" ht="12.75" x14ac:dyDescent="0.2">
      <c r="G1152" s="8" t="s">
        <v>3521</v>
      </c>
      <c r="H1152" s="8" t="s">
        <v>3522</v>
      </c>
      <c r="I1152" s="8" t="s">
        <v>3523</v>
      </c>
      <c r="J1152" s="8" t="s">
        <v>3521</v>
      </c>
    </row>
    <row r="1153" spans="7:10" ht="12.75" x14ac:dyDescent="0.2">
      <c r="G1153" s="8" t="s">
        <v>3524</v>
      </c>
      <c r="H1153" s="8" t="s">
        <v>3525</v>
      </c>
      <c r="I1153" s="8" t="s">
        <v>3526</v>
      </c>
      <c r="J1153" s="8" t="s">
        <v>3524</v>
      </c>
    </row>
    <row r="1154" spans="7:10" ht="12.75" x14ac:dyDescent="0.2">
      <c r="G1154" s="8" t="s">
        <v>3527</v>
      </c>
      <c r="H1154" s="8" t="s">
        <v>3528</v>
      </c>
      <c r="I1154" s="8" t="s">
        <v>3529</v>
      </c>
      <c r="J1154" s="8" t="s">
        <v>3527</v>
      </c>
    </row>
    <row r="1155" spans="7:10" ht="12.75" x14ac:dyDescent="0.2">
      <c r="G1155" s="8" t="s">
        <v>291</v>
      </c>
      <c r="H1155" s="8" t="s">
        <v>3530</v>
      </c>
      <c r="I1155" s="8" t="s">
        <v>3531</v>
      </c>
      <c r="J1155" s="8" t="s">
        <v>291</v>
      </c>
    </row>
    <row r="1156" spans="7:10" ht="12.75" x14ac:dyDescent="0.2">
      <c r="G1156" s="8" t="s">
        <v>3532</v>
      </c>
      <c r="H1156" s="8" t="s">
        <v>3533</v>
      </c>
      <c r="I1156" s="8" t="s">
        <v>3534</v>
      </c>
      <c r="J1156" s="8" t="s">
        <v>3532</v>
      </c>
    </row>
    <row r="1157" spans="7:10" ht="12.75" x14ac:dyDescent="0.2">
      <c r="G1157" s="8" t="s">
        <v>3535</v>
      </c>
      <c r="H1157" s="8" t="s">
        <v>3536</v>
      </c>
      <c r="I1157" s="8" t="s">
        <v>3537</v>
      </c>
      <c r="J1157" s="8" t="s">
        <v>3535</v>
      </c>
    </row>
    <row r="1158" spans="7:10" ht="12.75" x14ac:dyDescent="0.2">
      <c r="G1158" s="8" t="s">
        <v>3538</v>
      </c>
      <c r="H1158" s="8" t="s">
        <v>3539</v>
      </c>
      <c r="I1158" s="8" t="s">
        <v>3540</v>
      </c>
      <c r="J1158" s="8" t="s">
        <v>3538</v>
      </c>
    </row>
    <row r="1159" spans="7:10" ht="12.75" x14ac:dyDescent="0.2">
      <c r="G1159" s="8" t="s">
        <v>3541</v>
      </c>
      <c r="H1159" s="8" t="s">
        <v>3542</v>
      </c>
      <c r="I1159" s="8" t="s">
        <v>3543</v>
      </c>
      <c r="J1159" s="8" t="s">
        <v>3541</v>
      </c>
    </row>
    <row r="1160" spans="7:10" ht="12.75" x14ac:dyDescent="0.2">
      <c r="G1160" s="8" t="s">
        <v>292</v>
      </c>
      <c r="H1160" s="8" t="s">
        <v>3544</v>
      </c>
      <c r="I1160" s="8" t="s">
        <v>1132</v>
      </c>
      <c r="J1160" s="8" t="s">
        <v>292</v>
      </c>
    </row>
    <row r="1161" spans="7:10" ht="12.75" x14ac:dyDescent="0.2">
      <c r="G1161" s="8" t="s">
        <v>3545</v>
      </c>
      <c r="H1161" s="8" t="s">
        <v>3546</v>
      </c>
      <c r="I1161" s="8" t="s">
        <v>3547</v>
      </c>
      <c r="J1161" s="8" t="s">
        <v>3545</v>
      </c>
    </row>
    <row r="1162" spans="7:10" ht="12.75" x14ac:dyDescent="0.2">
      <c r="G1162" s="8" t="s">
        <v>3548</v>
      </c>
      <c r="H1162" s="8" t="s">
        <v>3549</v>
      </c>
      <c r="I1162" s="8" t="s">
        <v>3550</v>
      </c>
      <c r="J1162" s="8" t="s">
        <v>3548</v>
      </c>
    </row>
    <row r="1163" spans="7:10" ht="12.75" x14ac:dyDescent="0.2">
      <c r="G1163" s="8" t="s">
        <v>293</v>
      </c>
      <c r="H1163" s="8" t="s">
        <v>3551</v>
      </c>
      <c r="I1163" s="8" t="s">
        <v>3552</v>
      </c>
      <c r="J1163" s="8" t="s">
        <v>293</v>
      </c>
    </row>
    <row r="1164" spans="7:10" ht="12.75" x14ac:dyDescent="0.2">
      <c r="G1164" s="8" t="s">
        <v>294</v>
      </c>
      <c r="H1164" s="8" t="s">
        <v>3553</v>
      </c>
      <c r="I1164" s="8" t="s">
        <v>3554</v>
      </c>
      <c r="J1164" s="8" t="s">
        <v>294</v>
      </c>
    </row>
    <row r="1165" spans="7:10" ht="12.75" x14ac:dyDescent="0.2">
      <c r="G1165" s="8" t="s">
        <v>3555</v>
      </c>
      <c r="H1165" s="8" t="s">
        <v>3556</v>
      </c>
      <c r="I1165" s="8" t="s">
        <v>3557</v>
      </c>
      <c r="J1165" s="8" t="s">
        <v>3555</v>
      </c>
    </row>
    <row r="1166" spans="7:10" ht="12.75" x14ac:dyDescent="0.2">
      <c r="G1166" s="8" t="s">
        <v>3558</v>
      </c>
      <c r="H1166" s="8" t="s">
        <v>3556</v>
      </c>
      <c r="I1166" s="8" t="s">
        <v>3559</v>
      </c>
      <c r="J1166" s="8" t="s">
        <v>3558</v>
      </c>
    </row>
    <row r="1167" spans="7:10" ht="12.75" x14ac:dyDescent="0.2">
      <c r="G1167" s="8" t="s">
        <v>3560</v>
      </c>
      <c r="H1167" s="8" t="s">
        <v>3561</v>
      </c>
      <c r="I1167" s="8" t="s">
        <v>3562</v>
      </c>
      <c r="J1167" s="8" t="s">
        <v>3560</v>
      </c>
    </row>
    <row r="1168" spans="7:10" ht="12.75" x14ac:dyDescent="0.2">
      <c r="G1168" s="8" t="s">
        <v>295</v>
      </c>
      <c r="H1168" s="8" t="s">
        <v>3563</v>
      </c>
      <c r="I1168" s="8" t="s">
        <v>3564</v>
      </c>
      <c r="J1168" s="8" t="s">
        <v>295</v>
      </c>
    </row>
    <row r="1169" spans="7:10" ht="12.75" x14ac:dyDescent="0.2">
      <c r="G1169" s="8" t="s">
        <v>296</v>
      </c>
      <c r="H1169" s="8" t="s">
        <v>3565</v>
      </c>
      <c r="I1169" s="8" t="s">
        <v>1134</v>
      </c>
      <c r="J1169" s="8" t="s">
        <v>296</v>
      </c>
    </row>
    <row r="1170" spans="7:10" ht="12.75" x14ac:dyDescent="0.2">
      <c r="G1170" s="8" t="s">
        <v>297</v>
      </c>
      <c r="H1170" s="8" t="s">
        <v>3566</v>
      </c>
      <c r="I1170" s="8" t="s">
        <v>3567</v>
      </c>
      <c r="J1170" s="8" t="s">
        <v>297</v>
      </c>
    </row>
    <row r="1171" spans="7:10" ht="12.75" x14ac:dyDescent="0.2">
      <c r="G1171" s="8" t="s">
        <v>3568</v>
      </c>
      <c r="H1171" s="8" t="s">
        <v>3569</v>
      </c>
      <c r="I1171" s="8" t="s">
        <v>3570</v>
      </c>
      <c r="J1171" s="8" t="s">
        <v>3568</v>
      </c>
    </row>
    <row r="1172" spans="7:10" ht="12.75" x14ac:dyDescent="0.2">
      <c r="G1172" s="8" t="s">
        <v>298</v>
      </c>
      <c r="H1172" s="8" t="s">
        <v>3422</v>
      </c>
      <c r="I1172" s="8" t="s">
        <v>3571</v>
      </c>
      <c r="J1172" s="8" t="s">
        <v>298</v>
      </c>
    </row>
    <row r="1173" spans="7:10" ht="12.75" x14ac:dyDescent="0.2">
      <c r="G1173" s="8" t="s">
        <v>3572</v>
      </c>
      <c r="H1173" s="8" t="s">
        <v>3573</v>
      </c>
      <c r="I1173" s="8" t="s">
        <v>3574</v>
      </c>
      <c r="J1173" s="8" t="s">
        <v>3572</v>
      </c>
    </row>
    <row r="1174" spans="7:10" ht="12.75" x14ac:dyDescent="0.2">
      <c r="G1174" s="8" t="s">
        <v>3575</v>
      </c>
      <c r="H1174" s="8" t="s">
        <v>3576</v>
      </c>
      <c r="I1174" s="8" t="s">
        <v>3577</v>
      </c>
      <c r="J1174" s="8" t="s">
        <v>3575</v>
      </c>
    </row>
    <row r="1175" spans="7:10" ht="12.75" x14ac:dyDescent="0.2">
      <c r="G1175" s="8" t="s">
        <v>3578</v>
      </c>
      <c r="H1175" s="8" t="s">
        <v>3579</v>
      </c>
      <c r="I1175" s="8" t="s">
        <v>3580</v>
      </c>
      <c r="J1175" s="8" t="s">
        <v>3578</v>
      </c>
    </row>
    <row r="1176" spans="7:10" ht="12.75" x14ac:dyDescent="0.2">
      <c r="G1176" s="8" t="s">
        <v>3581</v>
      </c>
      <c r="H1176" s="8" t="s">
        <v>3582</v>
      </c>
      <c r="I1176" s="8" t="s">
        <v>3583</v>
      </c>
      <c r="J1176" s="8" t="s">
        <v>3581</v>
      </c>
    </row>
    <row r="1177" spans="7:10" ht="12.75" x14ac:dyDescent="0.2">
      <c r="G1177" s="8" t="s">
        <v>3584</v>
      </c>
      <c r="H1177" s="8" t="s">
        <v>3585</v>
      </c>
      <c r="I1177" s="8" t="s">
        <v>3586</v>
      </c>
      <c r="J1177" s="8" t="s">
        <v>3584</v>
      </c>
    </row>
    <row r="1178" spans="7:10" ht="12.75" x14ac:dyDescent="0.2">
      <c r="G1178" s="8" t="s">
        <v>3587</v>
      </c>
      <c r="H1178" s="8" t="s">
        <v>3588</v>
      </c>
      <c r="I1178" s="8" t="s">
        <v>3589</v>
      </c>
      <c r="J1178" s="8" t="s">
        <v>3587</v>
      </c>
    </row>
    <row r="1179" spans="7:10" ht="12.75" x14ac:dyDescent="0.2">
      <c r="G1179" s="8" t="s">
        <v>3590</v>
      </c>
      <c r="H1179" s="8" t="s">
        <v>3591</v>
      </c>
      <c r="I1179" s="8" t="s">
        <v>3592</v>
      </c>
      <c r="J1179" s="8" t="s">
        <v>3590</v>
      </c>
    </row>
    <row r="1180" spans="7:10" ht="12.75" x14ac:dyDescent="0.2">
      <c r="G1180" s="8" t="s">
        <v>3593</v>
      </c>
      <c r="H1180" s="8" t="s">
        <v>3594</v>
      </c>
      <c r="I1180" s="8" t="s">
        <v>3595</v>
      </c>
      <c r="J1180" s="8" t="s">
        <v>3593</v>
      </c>
    </row>
    <row r="1181" spans="7:10" ht="12.75" x14ac:dyDescent="0.2">
      <c r="G1181" s="8" t="s">
        <v>3596</v>
      </c>
      <c r="H1181" s="8" t="s">
        <v>3597</v>
      </c>
      <c r="I1181" s="8" t="s">
        <v>3598</v>
      </c>
      <c r="J1181" s="8" t="s">
        <v>3596</v>
      </c>
    </row>
    <row r="1182" spans="7:10" ht="12.75" x14ac:dyDescent="0.2">
      <c r="G1182" s="8" t="s">
        <v>299</v>
      </c>
      <c r="H1182" s="8" t="s">
        <v>3599</v>
      </c>
      <c r="I1182" s="8" t="s">
        <v>3600</v>
      </c>
      <c r="J1182" s="8" t="s">
        <v>299</v>
      </c>
    </row>
    <row r="1183" spans="7:10" ht="12.75" x14ac:dyDescent="0.2">
      <c r="G1183" s="8" t="s">
        <v>3601</v>
      </c>
      <c r="H1183" s="8" t="s">
        <v>3585</v>
      </c>
      <c r="I1183" s="8" t="s">
        <v>3602</v>
      </c>
      <c r="J1183" s="8" t="s">
        <v>3601</v>
      </c>
    </row>
    <row r="1184" spans="7:10" ht="12.75" x14ac:dyDescent="0.2">
      <c r="G1184" s="8" t="s">
        <v>3603</v>
      </c>
      <c r="H1184" s="8" t="s">
        <v>3604</v>
      </c>
      <c r="I1184" s="8" t="s">
        <v>3605</v>
      </c>
      <c r="J1184" s="8" t="s">
        <v>3603</v>
      </c>
    </row>
    <row r="1185" spans="7:10" ht="12.75" x14ac:dyDescent="0.2">
      <c r="G1185" s="8" t="s">
        <v>3606</v>
      </c>
      <c r="H1185" s="8" t="s">
        <v>3607</v>
      </c>
      <c r="I1185" s="8" t="s">
        <v>3608</v>
      </c>
      <c r="J1185" s="8" t="s">
        <v>3606</v>
      </c>
    </row>
    <row r="1186" spans="7:10" ht="12.75" x14ac:dyDescent="0.2">
      <c r="G1186" s="8" t="s">
        <v>3609</v>
      </c>
      <c r="H1186" s="8" t="s">
        <v>3610</v>
      </c>
      <c r="I1186" s="8" t="s">
        <v>3611</v>
      </c>
      <c r="J1186" s="8" t="s">
        <v>3609</v>
      </c>
    </row>
    <row r="1187" spans="7:10" ht="12.75" x14ac:dyDescent="0.2">
      <c r="G1187" s="8" t="s">
        <v>3612</v>
      </c>
      <c r="H1187" s="8" t="s">
        <v>3613</v>
      </c>
      <c r="I1187" s="8" t="s">
        <v>3614</v>
      </c>
      <c r="J1187" s="8" t="s">
        <v>3612</v>
      </c>
    </row>
    <row r="1188" spans="7:10" ht="12.75" x14ac:dyDescent="0.2">
      <c r="G1188" s="8" t="s">
        <v>3615</v>
      </c>
      <c r="H1188" s="8" t="s">
        <v>3616</v>
      </c>
      <c r="I1188" s="8" t="s">
        <v>3617</v>
      </c>
      <c r="J1188" s="8" t="s">
        <v>3615</v>
      </c>
    </row>
    <row r="1189" spans="7:10" ht="12.75" x14ac:dyDescent="0.2">
      <c r="G1189" s="8" t="s">
        <v>300</v>
      </c>
      <c r="H1189" s="8" t="s">
        <v>3618</v>
      </c>
      <c r="I1189" s="8" t="s">
        <v>1138</v>
      </c>
      <c r="J1189" s="8" t="s">
        <v>300</v>
      </c>
    </row>
    <row r="1190" spans="7:10" ht="12.75" x14ac:dyDescent="0.2">
      <c r="G1190" s="8" t="s">
        <v>3619</v>
      </c>
      <c r="H1190" s="8" t="s">
        <v>3620</v>
      </c>
      <c r="I1190" s="8" t="s">
        <v>3621</v>
      </c>
      <c r="J1190" s="8" t="s">
        <v>3619</v>
      </c>
    </row>
    <row r="1191" spans="7:10" ht="12.75" x14ac:dyDescent="0.2">
      <c r="G1191" s="8" t="s">
        <v>3622</v>
      </c>
      <c r="H1191" s="8" t="s">
        <v>3623</v>
      </c>
      <c r="I1191" s="8" t="s">
        <v>3624</v>
      </c>
      <c r="J1191" s="8" t="s">
        <v>3622</v>
      </c>
    </row>
    <row r="1192" spans="7:10" ht="12.75" x14ac:dyDescent="0.2">
      <c r="G1192" s="8" t="s">
        <v>3625</v>
      </c>
      <c r="H1192" s="8" t="s">
        <v>3626</v>
      </c>
      <c r="I1192" s="8" t="s">
        <v>3627</v>
      </c>
      <c r="J1192" s="8" t="s">
        <v>3625</v>
      </c>
    </row>
    <row r="1193" spans="7:10" ht="12.75" x14ac:dyDescent="0.2">
      <c r="G1193" s="8" t="s">
        <v>3628</v>
      </c>
      <c r="H1193" s="8" t="s">
        <v>3629</v>
      </c>
      <c r="I1193" s="8" t="s">
        <v>3630</v>
      </c>
      <c r="J1193" s="8" t="s">
        <v>3628</v>
      </c>
    </row>
    <row r="1194" spans="7:10" ht="12.75" x14ac:dyDescent="0.2">
      <c r="G1194" s="8" t="s">
        <v>3631</v>
      </c>
      <c r="H1194" s="8" t="s">
        <v>3632</v>
      </c>
      <c r="I1194" s="8" t="s">
        <v>3633</v>
      </c>
      <c r="J1194" s="8" t="s">
        <v>3631</v>
      </c>
    </row>
    <row r="1195" spans="7:10" ht="12.75" x14ac:dyDescent="0.2">
      <c r="G1195" s="8" t="s">
        <v>3634</v>
      </c>
      <c r="H1195" s="8" t="s">
        <v>3635</v>
      </c>
      <c r="I1195" s="8" t="s">
        <v>3636</v>
      </c>
      <c r="J1195" s="8" t="s">
        <v>3634</v>
      </c>
    </row>
    <row r="1196" spans="7:10" ht="12.75" x14ac:dyDescent="0.2">
      <c r="G1196" s="8" t="s">
        <v>3637</v>
      </c>
      <c r="H1196" s="8" t="s">
        <v>3638</v>
      </c>
      <c r="I1196" s="8" t="s">
        <v>3639</v>
      </c>
      <c r="J1196" s="8" t="s">
        <v>3637</v>
      </c>
    </row>
    <row r="1197" spans="7:10" ht="12.75" x14ac:dyDescent="0.2">
      <c r="G1197" s="8" t="s">
        <v>301</v>
      </c>
      <c r="H1197" s="8" t="s">
        <v>3635</v>
      </c>
      <c r="I1197" s="8" t="s">
        <v>3640</v>
      </c>
      <c r="J1197" s="8" t="s">
        <v>301</v>
      </c>
    </row>
    <row r="1198" spans="7:10" ht="12.75" x14ac:dyDescent="0.2">
      <c r="G1198" s="8" t="s">
        <v>302</v>
      </c>
      <c r="H1198" s="8" t="s">
        <v>3641</v>
      </c>
      <c r="I1198" s="8" t="s">
        <v>3642</v>
      </c>
      <c r="J1198" s="8" t="s">
        <v>302</v>
      </c>
    </row>
    <row r="1199" spans="7:10" ht="12.75" x14ac:dyDescent="0.2">
      <c r="G1199" s="8" t="s">
        <v>3643</v>
      </c>
      <c r="H1199" s="8" t="s">
        <v>3644</v>
      </c>
      <c r="I1199" s="8" t="s">
        <v>3645</v>
      </c>
      <c r="J1199" s="8" t="s">
        <v>3643</v>
      </c>
    </row>
    <row r="1200" spans="7:10" ht="12.75" x14ac:dyDescent="0.2">
      <c r="G1200" s="8" t="s">
        <v>3646</v>
      </c>
      <c r="H1200" s="8" t="s">
        <v>3644</v>
      </c>
      <c r="I1200" s="8" t="s">
        <v>3647</v>
      </c>
      <c r="J1200" s="8" t="s">
        <v>3646</v>
      </c>
    </row>
    <row r="1201" spans="7:10" ht="12.75" x14ac:dyDescent="0.2">
      <c r="G1201" s="8" t="s">
        <v>3648</v>
      </c>
      <c r="H1201" s="8" t="s">
        <v>3649</v>
      </c>
      <c r="I1201" s="8" t="s">
        <v>3650</v>
      </c>
      <c r="J1201" s="8" t="s">
        <v>3648</v>
      </c>
    </row>
    <row r="1202" spans="7:10" ht="12.75" x14ac:dyDescent="0.2">
      <c r="G1202" s="8" t="s">
        <v>3651</v>
      </c>
      <c r="H1202" s="8" t="s">
        <v>3652</v>
      </c>
      <c r="I1202" s="8" t="s">
        <v>3653</v>
      </c>
      <c r="J1202" s="8" t="s">
        <v>3651</v>
      </c>
    </row>
    <row r="1203" spans="7:10" ht="12.75" x14ac:dyDescent="0.2">
      <c r="G1203" s="8" t="s">
        <v>3654</v>
      </c>
      <c r="H1203" s="8" t="s">
        <v>3655</v>
      </c>
      <c r="I1203" s="8" t="s">
        <v>3656</v>
      </c>
      <c r="J1203" s="8" t="s">
        <v>3654</v>
      </c>
    </row>
    <row r="1204" spans="7:10" ht="12.75" x14ac:dyDescent="0.2">
      <c r="G1204" s="8" t="s">
        <v>3657</v>
      </c>
      <c r="H1204" s="8" t="s">
        <v>3658</v>
      </c>
      <c r="I1204" s="8" t="s">
        <v>3659</v>
      </c>
      <c r="J1204" s="8" t="s">
        <v>3657</v>
      </c>
    </row>
    <row r="1205" spans="7:10" ht="12.75" x14ac:dyDescent="0.2">
      <c r="G1205" s="8" t="s">
        <v>3660</v>
      </c>
      <c r="H1205" s="8" t="s">
        <v>3661</v>
      </c>
      <c r="I1205" s="8" t="s">
        <v>3662</v>
      </c>
      <c r="J1205" s="8" t="s">
        <v>3660</v>
      </c>
    </row>
    <row r="1206" spans="7:10" ht="12.75" x14ac:dyDescent="0.2">
      <c r="G1206" s="8" t="s">
        <v>3663</v>
      </c>
      <c r="H1206" s="8" t="s">
        <v>3664</v>
      </c>
      <c r="I1206" s="8" t="s">
        <v>3665</v>
      </c>
      <c r="J1206" s="8" t="s">
        <v>3663</v>
      </c>
    </row>
    <row r="1207" spans="7:10" ht="12.75" x14ac:dyDescent="0.2">
      <c r="G1207" s="8" t="s">
        <v>303</v>
      </c>
      <c r="H1207" s="8" t="s">
        <v>3658</v>
      </c>
      <c r="I1207" s="8" t="s">
        <v>3666</v>
      </c>
      <c r="J1207" s="8" t="s">
        <v>303</v>
      </c>
    </row>
    <row r="1208" spans="7:10" ht="12.75" x14ac:dyDescent="0.2">
      <c r="G1208" s="8" t="s">
        <v>3667</v>
      </c>
      <c r="H1208" s="8" t="s">
        <v>3668</v>
      </c>
      <c r="I1208" s="8" t="s">
        <v>3669</v>
      </c>
      <c r="J1208" s="8" t="s">
        <v>3667</v>
      </c>
    </row>
    <row r="1209" spans="7:10" ht="12.75" x14ac:dyDescent="0.2">
      <c r="G1209" s="8" t="s">
        <v>3670</v>
      </c>
      <c r="H1209" s="8" t="s">
        <v>3671</v>
      </c>
      <c r="I1209" s="8" t="s">
        <v>3672</v>
      </c>
      <c r="J1209" s="8" t="s">
        <v>3670</v>
      </c>
    </row>
    <row r="1210" spans="7:10" ht="12.75" x14ac:dyDescent="0.2">
      <c r="G1210" s="8" t="s">
        <v>3673</v>
      </c>
      <c r="H1210" s="8" t="s">
        <v>3658</v>
      </c>
      <c r="I1210" s="8" t="s">
        <v>3674</v>
      </c>
      <c r="J1210" s="8" t="s">
        <v>3673</v>
      </c>
    </row>
    <row r="1211" spans="7:10" ht="12.75" x14ac:dyDescent="0.2">
      <c r="G1211" s="8" t="s">
        <v>3675</v>
      </c>
      <c r="H1211" s="8" t="s">
        <v>3668</v>
      </c>
      <c r="I1211" s="8" t="s">
        <v>3676</v>
      </c>
      <c r="J1211" s="8" t="s">
        <v>3675</v>
      </c>
    </row>
    <row r="1212" spans="7:10" ht="12.75" x14ac:dyDescent="0.2">
      <c r="G1212" s="8" t="s">
        <v>3677</v>
      </c>
      <c r="H1212" s="8" t="s">
        <v>3678</v>
      </c>
      <c r="I1212" s="8" t="s">
        <v>3679</v>
      </c>
      <c r="J1212" s="8" t="s">
        <v>3677</v>
      </c>
    </row>
    <row r="1213" spans="7:10" ht="12.75" x14ac:dyDescent="0.2">
      <c r="G1213" s="8" t="s">
        <v>3680</v>
      </c>
      <c r="H1213" s="8" t="s">
        <v>3681</v>
      </c>
      <c r="I1213" s="8" t="s">
        <v>3682</v>
      </c>
      <c r="J1213" s="8" t="s">
        <v>3680</v>
      </c>
    </row>
    <row r="1214" spans="7:10" ht="12.75" x14ac:dyDescent="0.2">
      <c r="G1214" s="8" t="s">
        <v>3683</v>
      </c>
      <c r="H1214" s="8" t="s">
        <v>3684</v>
      </c>
      <c r="I1214" s="8" t="s">
        <v>3685</v>
      </c>
      <c r="J1214" s="8" t="s">
        <v>3683</v>
      </c>
    </row>
    <row r="1215" spans="7:10" ht="12.75" x14ac:dyDescent="0.2">
      <c r="G1215" s="8" t="s">
        <v>3686</v>
      </c>
      <c r="H1215" s="8" t="s">
        <v>3687</v>
      </c>
      <c r="I1215" s="8" t="s">
        <v>3688</v>
      </c>
      <c r="J1215" s="8" t="s">
        <v>3686</v>
      </c>
    </row>
    <row r="1216" spans="7:10" ht="12.75" x14ac:dyDescent="0.2">
      <c r="G1216" s="8" t="s">
        <v>3689</v>
      </c>
      <c r="H1216" s="8" t="s">
        <v>3690</v>
      </c>
      <c r="I1216" s="8" t="s">
        <v>3691</v>
      </c>
      <c r="J1216" s="8" t="s">
        <v>3689</v>
      </c>
    </row>
    <row r="1217" spans="7:10" ht="12.75" x14ac:dyDescent="0.2">
      <c r="G1217" s="8" t="s">
        <v>490</v>
      </c>
      <c r="H1217" s="8" t="s">
        <v>3692</v>
      </c>
      <c r="I1217" s="8" t="s">
        <v>3693</v>
      </c>
      <c r="J1217" s="8" t="s">
        <v>490</v>
      </c>
    </row>
    <row r="1218" spans="7:10" ht="12.75" x14ac:dyDescent="0.2">
      <c r="G1218" s="8" t="s">
        <v>491</v>
      </c>
      <c r="H1218" s="8" t="s">
        <v>3694</v>
      </c>
      <c r="I1218" s="8" t="s">
        <v>3695</v>
      </c>
      <c r="J1218" s="8" t="s">
        <v>491</v>
      </c>
    </row>
    <row r="1219" spans="7:10" ht="12.75" x14ac:dyDescent="0.2">
      <c r="G1219" s="8" t="s">
        <v>310</v>
      </c>
      <c r="H1219" s="8" t="s">
        <v>3696</v>
      </c>
      <c r="I1219" s="8" t="s">
        <v>1142</v>
      </c>
      <c r="J1219" s="8" t="s">
        <v>310</v>
      </c>
    </row>
    <row r="1220" spans="7:10" ht="12.75" x14ac:dyDescent="0.2">
      <c r="G1220" s="8" t="s">
        <v>309</v>
      </c>
      <c r="H1220" s="8" t="s">
        <v>3697</v>
      </c>
      <c r="I1220" s="8" t="s">
        <v>3698</v>
      </c>
      <c r="J1220" s="8" t="s">
        <v>309</v>
      </c>
    </row>
    <row r="1221" spans="7:10" ht="12.75" x14ac:dyDescent="0.2">
      <c r="G1221" s="8" t="s">
        <v>304</v>
      </c>
      <c r="H1221" s="8" t="s">
        <v>3699</v>
      </c>
      <c r="I1221" s="8" t="s">
        <v>3700</v>
      </c>
      <c r="J1221" s="8" t="s">
        <v>304</v>
      </c>
    </row>
    <row r="1222" spans="7:10" ht="12.75" x14ac:dyDescent="0.2">
      <c r="G1222" s="8" t="s">
        <v>3701</v>
      </c>
      <c r="H1222" s="8" t="s">
        <v>3702</v>
      </c>
      <c r="I1222" s="8" t="s">
        <v>3703</v>
      </c>
      <c r="J1222" s="8" t="s">
        <v>3701</v>
      </c>
    </row>
    <row r="1223" spans="7:10" ht="12.75" x14ac:dyDescent="0.2">
      <c r="G1223" s="8" t="s">
        <v>3704</v>
      </c>
      <c r="H1223" s="8" t="s">
        <v>3699</v>
      </c>
      <c r="I1223" s="8" t="s">
        <v>3705</v>
      </c>
      <c r="J1223" s="8" t="s">
        <v>3704</v>
      </c>
    </row>
    <row r="1224" spans="7:10" ht="12.75" x14ac:dyDescent="0.2">
      <c r="G1224" s="8" t="s">
        <v>492</v>
      </c>
      <c r="H1224" s="8" t="s">
        <v>3706</v>
      </c>
      <c r="I1224" s="8" t="s">
        <v>3707</v>
      </c>
      <c r="J1224" s="8" t="s">
        <v>492</v>
      </c>
    </row>
    <row r="1225" spans="7:10" ht="12.75" x14ac:dyDescent="0.2">
      <c r="G1225" s="8" t="s">
        <v>305</v>
      </c>
      <c r="H1225" s="8" t="s">
        <v>3708</v>
      </c>
      <c r="I1225" s="8" t="s">
        <v>1145</v>
      </c>
      <c r="J1225" s="8" t="s">
        <v>305</v>
      </c>
    </row>
    <row r="1226" spans="7:10" ht="12.75" x14ac:dyDescent="0.2">
      <c r="G1226" s="8" t="s">
        <v>3709</v>
      </c>
      <c r="H1226" s="8" t="s">
        <v>3710</v>
      </c>
      <c r="I1226" s="8" t="s">
        <v>3711</v>
      </c>
      <c r="J1226" s="8" t="s">
        <v>3709</v>
      </c>
    </row>
    <row r="1227" spans="7:10" ht="12.75" x14ac:dyDescent="0.2">
      <c r="G1227" s="8" t="s">
        <v>493</v>
      </c>
      <c r="H1227" s="8" t="s">
        <v>3712</v>
      </c>
      <c r="I1227" s="8" t="s">
        <v>3713</v>
      </c>
      <c r="J1227" s="8" t="s">
        <v>493</v>
      </c>
    </row>
    <row r="1228" spans="7:10" ht="12.75" x14ac:dyDescent="0.2">
      <c r="G1228" s="8" t="s">
        <v>3714</v>
      </c>
      <c r="H1228" s="8" t="s">
        <v>3715</v>
      </c>
      <c r="I1228" s="8" t="s">
        <v>3716</v>
      </c>
      <c r="J1228" s="8" t="s">
        <v>3714</v>
      </c>
    </row>
    <row r="1229" spans="7:10" ht="12.75" x14ac:dyDescent="0.2">
      <c r="G1229" s="8" t="s">
        <v>494</v>
      </c>
      <c r="H1229" s="8" t="s">
        <v>3717</v>
      </c>
      <c r="I1229" s="8" t="s">
        <v>3718</v>
      </c>
      <c r="J1229" s="8" t="s">
        <v>494</v>
      </c>
    </row>
    <row r="1230" spans="7:10" ht="12.75" x14ac:dyDescent="0.2">
      <c r="G1230" s="8" t="s">
        <v>3719</v>
      </c>
      <c r="H1230" s="8" t="s">
        <v>3720</v>
      </c>
      <c r="I1230" s="8" t="s">
        <v>3721</v>
      </c>
      <c r="J1230" s="8" t="s">
        <v>3719</v>
      </c>
    </row>
    <row r="1231" spans="7:10" ht="12.75" x14ac:dyDescent="0.2">
      <c r="G1231" s="8" t="s">
        <v>495</v>
      </c>
      <c r="H1231" s="8" t="s">
        <v>3722</v>
      </c>
      <c r="I1231" s="8" t="s">
        <v>3723</v>
      </c>
      <c r="J1231" s="8" t="s">
        <v>495</v>
      </c>
    </row>
    <row r="1232" spans="7:10" ht="12.75" x14ac:dyDescent="0.2">
      <c r="G1232" s="8" t="s">
        <v>306</v>
      </c>
      <c r="H1232" s="8" t="s">
        <v>3724</v>
      </c>
      <c r="I1232" s="8" t="s">
        <v>1149</v>
      </c>
      <c r="J1232" s="8" t="s">
        <v>306</v>
      </c>
    </row>
    <row r="1233" spans="7:10" ht="12.75" x14ac:dyDescent="0.2">
      <c r="G1233" s="8" t="s">
        <v>496</v>
      </c>
      <c r="H1233" s="8" t="s">
        <v>3725</v>
      </c>
      <c r="I1233" s="8" t="s">
        <v>3726</v>
      </c>
      <c r="J1233" s="8" t="s">
        <v>496</v>
      </c>
    </row>
    <row r="1234" spans="7:10" ht="12.75" x14ac:dyDescent="0.2">
      <c r="G1234" s="8" t="s">
        <v>497</v>
      </c>
      <c r="H1234" s="8" t="s">
        <v>3727</v>
      </c>
      <c r="I1234" s="8" t="s">
        <v>3728</v>
      </c>
      <c r="J1234" s="8" t="s">
        <v>497</v>
      </c>
    </row>
    <row r="1235" spans="7:10" ht="12.75" x14ac:dyDescent="0.2">
      <c r="G1235" s="8" t="s">
        <v>3729</v>
      </c>
      <c r="H1235" s="8" t="s">
        <v>3730</v>
      </c>
      <c r="I1235" s="8" t="s">
        <v>3731</v>
      </c>
      <c r="J1235" s="8" t="s">
        <v>3729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cols>
    <col min="2" max="2" width="28.85546875" customWidth="1"/>
    <col min="3" max="3" width="14.5703125" customWidth="1"/>
  </cols>
  <sheetData>
    <row r="1" spans="1:3" x14ac:dyDescent="0.2">
      <c r="A1" s="3" t="s">
        <v>3732</v>
      </c>
      <c r="B1" s="3" t="s">
        <v>3733</v>
      </c>
      <c r="C1" s="21" t="s">
        <v>3734</v>
      </c>
    </row>
    <row r="2" spans="1:3" x14ac:dyDescent="0.2">
      <c r="A2" s="4">
        <f ca="1">IFERROR(__xludf.DUMMYFUNCTION("IMPORTRANGE(""https://docs.google.com/spreadsheets/d/1F0gOOrVs_AHnqYU9aZW-ScJ--sxzOJaSui87C5880Dw/edit#gid=1844898309"",""BD para cálculo - ABR/22!Q3:S"")"),110012)</f>
        <v>110012</v>
      </c>
      <c r="B2" s="4" t="str">
        <f ca="1">IFERROR(__xludf.DUMMYFUNCTION("""COMPUTED_VALUE"""),"ACO LAMINADO RED 2.1/2 1045")</f>
        <v>ACO LAMINADO RED 2.1/2 1045</v>
      </c>
      <c r="C2" s="22">
        <f ca="1">IFERROR(__xludf.DUMMYFUNCTION("""COMPUTED_VALUE"""),8.3)</f>
        <v>8.3000000000000007</v>
      </c>
    </row>
    <row r="3" spans="1:3" x14ac:dyDescent="0.2">
      <c r="A3" s="4">
        <f ca="1">IFERROR(__xludf.DUMMYFUNCTION("""COMPUTED_VALUE"""),110322)</f>
        <v>110322</v>
      </c>
      <c r="B3" s="4" t="str">
        <f ca="1">IFERROR(__xludf.DUMMYFUNCTION("""COMPUTED_VALUE"""),"ACO LAMINADO RED 1.3/4 1020")</f>
        <v>ACO LAMINADO RED 1.3/4 1020</v>
      </c>
      <c r="C3" s="22">
        <f ca="1">IFERROR(__xludf.DUMMYFUNCTION("""COMPUTED_VALUE"""),8.14)</f>
        <v>8.14</v>
      </c>
    </row>
    <row r="4" spans="1:3" x14ac:dyDescent="0.2">
      <c r="A4" s="4">
        <f ca="1">IFERROR(__xludf.DUMMYFUNCTION("""COMPUTED_VALUE"""),110346)</f>
        <v>110346</v>
      </c>
      <c r="B4" s="4" t="str">
        <f ca="1">IFERROR(__xludf.DUMMYFUNCTION("""COMPUTED_VALUE"""),"ACO LAMINADO RED 2 1020")</f>
        <v>ACO LAMINADO RED 2 1020</v>
      </c>
      <c r="C4" s="22">
        <f ca="1">IFERROR(__xludf.DUMMYFUNCTION("""COMPUTED_VALUE"""),8.95)</f>
        <v>8.9499999999999993</v>
      </c>
    </row>
    <row r="5" spans="1:3" x14ac:dyDescent="0.2">
      <c r="A5" s="4">
        <f ca="1">IFERROR(__xludf.DUMMYFUNCTION("""COMPUTED_VALUE"""),110358)</f>
        <v>110358</v>
      </c>
      <c r="B5" s="4" t="str">
        <f ca="1">IFERROR(__xludf.DUMMYFUNCTION("""COMPUTED_VALUE"""),"ACO LAMINADO RED 2 1045")</f>
        <v>ACO LAMINADO RED 2 1045</v>
      </c>
      <c r="C5" s="22">
        <f ca="1">IFERROR(__xludf.DUMMYFUNCTION("""COMPUTED_VALUE"""),13.08)</f>
        <v>13.08</v>
      </c>
    </row>
    <row r="6" spans="1:3" x14ac:dyDescent="0.2">
      <c r="A6" s="4">
        <f ca="1">IFERROR(__xludf.DUMMYFUNCTION("""COMPUTED_VALUE"""),110980)</f>
        <v>110980</v>
      </c>
      <c r="B6" s="4" t="str">
        <f ca="1">IFERROR(__xludf.DUMMYFUNCTION("""COMPUTED_VALUE"""),"ACO LAMINADO RED 1.3/4 1045")</f>
        <v>ACO LAMINADO RED 1.3/4 1045</v>
      </c>
      <c r="C6" s="22">
        <f ca="1">IFERROR(__xludf.DUMMYFUNCTION("""COMPUTED_VALUE"""),9.31)</f>
        <v>9.31</v>
      </c>
    </row>
    <row r="7" spans="1:3" x14ac:dyDescent="0.2">
      <c r="A7" s="4">
        <f ca="1">IFERROR(__xludf.DUMMYFUNCTION("""COMPUTED_VALUE"""),112150)</f>
        <v>112150</v>
      </c>
      <c r="B7" s="4" t="str">
        <f ca="1">IFERROR(__xludf.DUMMYFUNCTION("""COMPUTED_VALUE"""),"ACO TREF. RED. SAE-1045 - 1""")</f>
        <v>ACO TREF. RED. SAE-1045 - 1"</v>
      </c>
      <c r="C7" s="22">
        <f ca="1">IFERROR(__xludf.DUMMYFUNCTION("""COMPUTED_VALUE"""),10.84)</f>
        <v>10.84</v>
      </c>
    </row>
    <row r="8" spans="1:3" x14ac:dyDescent="0.2">
      <c r="A8" s="4">
        <f ca="1">IFERROR(__xludf.DUMMYFUNCTION("""COMPUTED_VALUE"""),112203)</f>
        <v>112203</v>
      </c>
      <c r="B8" s="4" t="str">
        <f ca="1">IFERROR(__xludf.DUMMYFUNCTION("""COMPUTED_VALUE"""),"ACO TREF. RED. SAE-1020 - 1/2""")</f>
        <v>ACO TREF. RED. SAE-1020 - 1/2"</v>
      </c>
      <c r="C8" s="22">
        <f ca="1">IFERROR(__xludf.DUMMYFUNCTION("""COMPUTED_VALUE"""),10.32)</f>
        <v>10.32</v>
      </c>
    </row>
    <row r="9" spans="1:3" x14ac:dyDescent="0.2">
      <c r="A9" s="4">
        <f ca="1">IFERROR(__xludf.DUMMYFUNCTION("""COMPUTED_VALUE"""),112215)</f>
        <v>112215</v>
      </c>
      <c r="B9" s="4" t="str">
        <f ca="1">IFERROR(__xludf.DUMMYFUNCTION("""COMPUTED_VALUE"""),"ACO TREF. RED. SAE-1020 - 1""")</f>
        <v>ACO TREF. RED. SAE-1020 - 1"</v>
      </c>
      <c r="C9" s="22">
        <f ca="1">IFERROR(__xludf.DUMMYFUNCTION("""COMPUTED_VALUE"""),11.6)</f>
        <v>11.6</v>
      </c>
    </row>
    <row r="10" spans="1:3" x14ac:dyDescent="0.2">
      <c r="A10" s="4">
        <f ca="1">IFERROR(__xludf.DUMMYFUNCTION("""COMPUTED_VALUE"""),112306)</f>
        <v>112306</v>
      </c>
      <c r="B10" s="4" t="str">
        <f ca="1">IFERROR(__xludf.DUMMYFUNCTION("""COMPUTED_VALUE"""),"ACO TREF. RED. SAE-1045 - 1.1/4""")</f>
        <v>ACO TREF. RED. SAE-1045 - 1.1/4"</v>
      </c>
      <c r="C10" s="22">
        <f ca="1">IFERROR(__xludf.DUMMYFUNCTION("""COMPUTED_VALUE"""),11.07)</f>
        <v>11.07</v>
      </c>
    </row>
    <row r="11" spans="1:3" x14ac:dyDescent="0.2">
      <c r="A11" s="4">
        <f ca="1">IFERROR(__xludf.DUMMYFUNCTION("""COMPUTED_VALUE"""),112410)</f>
        <v>112410</v>
      </c>
      <c r="B11" s="4" t="str">
        <f ca="1">IFERROR(__xludf.DUMMYFUNCTION("""COMPUTED_VALUE"""),"ACO TREF. RED. SAE-1045 - 3/4""")</f>
        <v>ACO TREF. RED. SAE-1045 - 3/4"</v>
      </c>
      <c r="C11" s="22">
        <f ca="1">IFERROR(__xludf.DUMMYFUNCTION("""COMPUTED_VALUE"""),10.87)</f>
        <v>10.87</v>
      </c>
    </row>
    <row r="12" spans="1:3" x14ac:dyDescent="0.2">
      <c r="A12" s="4">
        <f ca="1">IFERROR(__xludf.DUMMYFUNCTION("""COMPUTED_VALUE"""),112434)</f>
        <v>112434</v>
      </c>
      <c r="B12" s="4" t="str">
        <f ca="1">IFERROR(__xludf.DUMMYFUNCTION("""COMPUTED_VALUE"""),"ACO TREF. RED. SAE-1020 - 3/4""")</f>
        <v>ACO TREF. RED. SAE-1020 - 3/4"</v>
      </c>
      <c r="C12" s="22">
        <f ca="1">IFERROR(__xludf.DUMMYFUNCTION("""COMPUTED_VALUE"""),12.61)</f>
        <v>12.61</v>
      </c>
    </row>
    <row r="13" spans="1:3" x14ac:dyDescent="0.2">
      <c r="A13" s="4">
        <f ca="1">IFERROR(__xludf.DUMMYFUNCTION("""COMPUTED_VALUE"""),112458)</f>
        <v>112458</v>
      </c>
      <c r="B13" s="4" t="str">
        <f ca="1">IFERROR(__xludf.DUMMYFUNCTION("""COMPUTED_VALUE"""),"ACO TREF. RED. SAE-1020 - 3/8""")</f>
        <v>ACO TREF. RED. SAE-1020 - 3/8"</v>
      </c>
      <c r="C13" s="22">
        <f ca="1">IFERROR(__xludf.DUMMYFUNCTION("""COMPUTED_VALUE"""),10.92)</f>
        <v>10.92</v>
      </c>
    </row>
    <row r="14" spans="1:3" x14ac:dyDescent="0.2">
      <c r="A14" s="4">
        <f ca="1">IFERROR(__xludf.DUMMYFUNCTION("""COMPUTED_VALUE"""),112501)</f>
        <v>112501</v>
      </c>
      <c r="B14" s="4" t="str">
        <f ca="1">IFERROR(__xludf.DUMMYFUNCTION("""COMPUTED_VALUE"""),"ACO TREF. RED. SAE-1020 - 5/16""")</f>
        <v>ACO TREF. RED. SAE-1020 - 5/16"</v>
      </c>
      <c r="C14" s="22">
        <f ca="1">IFERROR(__xludf.DUMMYFUNCTION("""COMPUTED_VALUE"""),18.16)</f>
        <v>18.16</v>
      </c>
    </row>
    <row r="15" spans="1:3" x14ac:dyDescent="0.2">
      <c r="A15" s="4">
        <f ca="1">IFERROR(__xludf.DUMMYFUNCTION("""COMPUTED_VALUE"""),112502)</f>
        <v>112502</v>
      </c>
      <c r="B15" s="4" t="str">
        <f ca="1">IFERROR(__xludf.DUMMYFUNCTION("""COMPUTED_VALUE"""),"ACO TREF. RED. SAE-1020 - 2""")</f>
        <v>ACO TREF. RED. SAE-1020 - 2"</v>
      </c>
      <c r="C15" s="22">
        <f ca="1">IFERROR(__xludf.DUMMYFUNCTION("""COMPUTED_VALUE"""),10.56)</f>
        <v>10.56</v>
      </c>
    </row>
    <row r="16" spans="1:3" x14ac:dyDescent="0.2">
      <c r="A16" s="4">
        <f ca="1">IFERROR(__xludf.DUMMYFUNCTION("""COMPUTED_VALUE"""),112525)</f>
        <v>112525</v>
      </c>
      <c r="B16" s="4" t="str">
        <f ca="1">IFERROR(__xludf.DUMMYFUNCTION("""COMPUTED_VALUE"""),"ACO TREF. RED. SAE-1020 - 5/8""")</f>
        <v>ACO TREF. RED. SAE-1020 - 5/8"</v>
      </c>
      <c r="C16" s="22">
        <f ca="1">IFERROR(__xludf.DUMMYFUNCTION("""COMPUTED_VALUE"""),10.92)</f>
        <v>10.92</v>
      </c>
    </row>
    <row r="17" spans="1:3" x14ac:dyDescent="0.2">
      <c r="A17" s="4">
        <f ca="1">IFERROR(__xludf.DUMMYFUNCTION("""COMPUTED_VALUE"""),113049)</f>
        <v>113049</v>
      </c>
      <c r="B17" s="4" t="str">
        <f ca="1">IFERROR(__xludf.DUMMYFUNCTION("""COMPUTED_VALUE"""),"ACO TREF. RED. SAE-1045 - 1.1/2""")</f>
        <v>ACO TREF. RED. SAE-1045 - 1.1/2"</v>
      </c>
      <c r="C17" s="22">
        <f ca="1">IFERROR(__xludf.DUMMYFUNCTION("""COMPUTED_VALUE"""),10.65)</f>
        <v>10.65</v>
      </c>
    </row>
    <row r="18" spans="1:3" x14ac:dyDescent="0.2">
      <c r="A18" s="4">
        <f ca="1">IFERROR(__xludf.DUMMYFUNCTION("""COMPUTED_VALUE"""),115083)</f>
        <v>115083</v>
      </c>
      <c r="B18" s="4" t="str">
        <f ca="1">IFERROR(__xludf.DUMMYFUNCTION("""COMPUTED_VALUE"""),"MAD TABUA CEN/S 2.0X15.0X400.0")</f>
        <v>MAD TABUA CEN/S 2.0X15.0X400.0</v>
      </c>
      <c r="C18" s="22">
        <f ca="1">IFERROR(__xludf.DUMMYFUNCTION("""COMPUTED_VALUE"""),39.96)</f>
        <v>39.96</v>
      </c>
    </row>
    <row r="19" spans="1:3" x14ac:dyDescent="0.2">
      <c r="A19" s="4">
        <f ca="1">IFERROR(__xludf.DUMMYFUNCTION("""COMPUTED_VALUE"""),115084)</f>
        <v>115084</v>
      </c>
      <c r="B19" s="4" t="str">
        <f ca="1">IFERROR(__xludf.DUMMYFUNCTION("""COMPUTED_VALUE"""),"MAD TABUA CEN/S 2.0X10.0X400.0")</f>
        <v>MAD TABUA CEN/S 2.0X10.0X400.0</v>
      </c>
      <c r="C19" s="22">
        <f ca="1">IFERROR(__xludf.DUMMYFUNCTION("""COMPUTED_VALUE"""),32.6)</f>
        <v>32.6</v>
      </c>
    </row>
    <row r="20" spans="1:3" x14ac:dyDescent="0.2">
      <c r="A20" s="4">
        <f ca="1">IFERROR(__xludf.DUMMYFUNCTION("""COMPUTED_VALUE"""),115113)</f>
        <v>115113</v>
      </c>
      <c r="B20" s="4" t="str">
        <f ca="1">IFERROR(__xludf.DUMMYFUNCTION("""COMPUTED_VALUE"""),"MAD TABUA CEN/S 2.0X15.0X320.0")</f>
        <v>MAD TABUA CEN/S 2.0X15.0X320.0</v>
      </c>
      <c r="C20" s="22">
        <f ca="1">IFERROR(__xludf.DUMMYFUNCTION("""COMPUTED_VALUE"""),39.12)</f>
        <v>39.119999999999997</v>
      </c>
    </row>
    <row r="21" spans="1:3" x14ac:dyDescent="0.2">
      <c r="A21" s="4">
        <f ca="1">IFERROR(__xludf.DUMMYFUNCTION("""COMPUTED_VALUE"""),115114)</f>
        <v>115114</v>
      </c>
      <c r="B21" s="4" t="str">
        <f ca="1">IFERROR(__xludf.DUMMYFUNCTION("""COMPUTED_VALUE"""),"MAD TABUA CEN/S 2.0X10.0X320.0")</f>
        <v>MAD TABUA CEN/S 2.0X10.0X320.0</v>
      </c>
      <c r="C21" s="22">
        <f ca="1">IFERROR(__xludf.DUMMYFUNCTION("""COMPUTED_VALUE"""),26.08)</f>
        <v>26.08</v>
      </c>
    </row>
    <row r="22" spans="1:3" x14ac:dyDescent="0.2">
      <c r="A22" s="4">
        <f ca="1">IFERROR(__xludf.DUMMYFUNCTION("""COMPUTED_VALUE"""),115198)</f>
        <v>115198</v>
      </c>
      <c r="B22" s="4" t="str">
        <f ca="1">IFERROR(__xludf.DUMMYFUNCTION("""COMPUTED_VALUE"""),"MAD ASSOALHO 2.0X15.0X400.0")</f>
        <v>MAD ASSOALHO 2.0X15.0X400.0</v>
      </c>
      <c r="C22" s="22">
        <f ca="1">IFERROR(__xludf.DUMMYFUNCTION("""COMPUTED_VALUE"""),48.91)</f>
        <v>48.91</v>
      </c>
    </row>
    <row r="23" spans="1:3" x14ac:dyDescent="0.2">
      <c r="A23" s="4">
        <f ca="1">IFERROR(__xludf.DUMMYFUNCTION("""COMPUTED_VALUE"""),115400)</f>
        <v>115400</v>
      </c>
      <c r="B23" s="4" t="str">
        <f ca="1">IFERROR(__xludf.DUMMYFUNCTION("""COMPUTED_VALUE"""),"MAD ASSOALHO 2.0X15.0X70.0")</f>
        <v>MAD ASSOALHO 2.0X15.0X70.0</v>
      </c>
      <c r="C23" s="22">
        <f ca="1">IFERROR(__xludf.DUMMYFUNCTION("""COMPUTED_VALUE"""),8.56)</f>
        <v>8.56</v>
      </c>
    </row>
    <row r="24" spans="1:3" x14ac:dyDescent="0.2">
      <c r="A24" s="4">
        <f ca="1">IFERROR(__xludf.DUMMYFUNCTION("""COMPUTED_VALUE"""),115435)</f>
        <v>115435</v>
      </c>
      <c r="B24" s="4" t="str">
        <f ca="1">IFERROR(__xludf.DUMMYFUNCTION("""COMPUTED_VALUE"""),"MAD ASSOALHO 2.0X15.0X150.0")</f>
        <v>MAD ASSOALHO 2.0X15.0X150.0</v>
      </c>
      <c r="C24" s="22">
        <f ca="1">IFERROR(__xludf.DUMMYFUNCTION("""COMPUTED_VALUE"""),30.96)</f>
        <v>30.96</v>
      </c>
    </row>
    <row r="25" spans="1:3" x14ac:dyDescent="0.2">
      <c r="A25" s="4">
        <f ca="1">IFERROR(__xludf.DUMMYFUNCTION("""COMPUTED_VALUE"""),115617)</f>
        <v>115617</v>
      </c>
      <c r="B25" s="4" t="str">
        <f ca="1">IFERROR(__xludf.DUMMYFUNCTION("""COMPUTED_VALUE"""),"MAD ASSOALHO 2.0X15.0X240.0")</f>
        <v>MAD ASSOALHO 2.0X15.0X240.0</v>
      </c>
      <c r="C25" s="22">
        <f ca="1">IFERROR(__xludf.DUMMYFUNCTION("""COMPUTED_VALUE"""),29.34)</f>
        <v>29.34</v>
      </c>
    </row>
    <row r="26" spans="1:3" x14ac:dyDescent="0.2">
      <c r="A26" s="4">
        <f ca="1">IFERROR(__xludf.DUMMYFUNCTION("""COMPUTED_VALUE"""),115629)</f>
        <v>115629</v>
      </c>
      <c r="B26" s="4" t="str">
        <f ca="1">IFERROR(__xludf.DUMMYFUNCTION("""COMPUTED_VALUE"""),"MAD ASSOALHO 2.0X10.0X320.0")</f>
        <v>MAD ASSOALHO 2.0X10.0X320.0</v>
      </c>
      <c r="C26" s="22">
        <f ca="1">IFERROR(__xludf.DUMMYFUNCTION("""COMPUTED_VALUE"""),18.39)</f>
        <v>18.39</v>
      </c>
    </row>
    <row r="27" spans="1:3" x14ac:dyDescent="0.2">
      <c r="A27" s="4">
        <f ca="1">IFERROR(__xludf.DUMMYFUNCTION("""COMPUTED_VALUE"""),115631)</f>
        <v>115631</v>
      </c>
      <c r="B27" s="4" t="str">
        <f ca="1">IFERROR(__xludf.DUMMYFUNCTION("""COMPUTED_VALUE"""),"MAD ASSOALHO 2.0X12.0X400.0")</f>
        <v>MAD ASSOALHO 2.0X12.0X400.0</v>
      </c>
      <c r="C27" s="22">
        <f ca="1">IFERROR(__xludf.DUMMYFUNCTION("""COMPUTED_VALUE"""),30.96)</f>
        <v>30.96</v>
      </c>
    </row>
    <row r="28" spans="1:3" x14ac:dyDescent="0.2">
      <c r="A28" s="4">
        <f ca="1">IFERROR(__xludf.DUMMYFUNCTION("""COMPUTED_VALUE"""),115733)</f>
        <v>115733</v>
      </c>
      <c r="B28" s="4" t="str">
        <f ca="1">IFERROR(__xludf.DUMMYFUNCTION("""COMPUTED_VALUE"""),"MAD ASSOALHO 2.0X15.0X320.0")</f>
        <v>MAD ASSOALHO 2.0X15.0X320.0</v>
      </c>
      <c r="C28" s="22">
        <f ca="1">IFERROR(__xludf.DUMMYFUNCTION("""COMPUTED_VALUE"""),39.12)</f>
        <v>39.119999999999997</v>
      </c>
    </row>
    <row r="29" spans="1:3" x14ac:dyDescent="0.2">
      <c r="A29" s="4">
        <f ca="1">IFERROR(__xludf.DUMMYFUNCTION("""COMPUTED_VALUE"""),115734)</f>
        <v>115734</v>
      </c>
      <c r="B29" s="4" t="str">
        <f ca="1">IFERROR(__xludf.DUMMYFUNCTION("""COMPUTED_VALUE"""),"MAD ASSOALHO 2.0X12.0X320.0")</f>
        <v>MAD ASSOALHO 2.0X12.0X320.0</v>
      </c>
      <c r="C29" s="22">
        <f ca="1">IFERROR(__xludf.DUMMYFUNCTION("""COMPUTED_VALUE"""),31.3)</f>
        <v>31.3</v>
      </c>
    </row>
    <row r="30" spans="1:3" x14ac:dyDescent="0.2">
      <c r="A30" s="4">
        <f ca="1">IFERROR(__xludf.DUMMYFUNCTION("""COMPUTED_VALUE"""),115885)</f>
        <v>115885</v>
      </c>
      <c r="B30" s="4" t="str">
        <f ca="1">IFERROR(__xludf.DUMMYFUNCTION("""COMPUTED_VALUE"""),"MAD ASSOALHO 2.0X15.0X 230.0")</f>
        <v>MAD ASSOALHO 2.0X15.0X 230.0</v>
      </c>
      <c r="C30" s="22">
        <f ca="1">IFERROR(__xludf.DUMMYFUNCTION("""COMPUTED_VALUE"""),30.96)</f>
        <v>30.96</v>
      </c>
    </row>
    <row r="31" spans="1:3" x14ac:dyDescent="0.2">
      <c r="A31" s="4">
        <f ca="1">IFERROR(__xludf.DUMMYFUNCTION("""COMPUTED_VALUE"""),116592)</f>
        <v>116592</v>
      </c>
      <c r="B31" s="4" t="str">
        <f ca="1">IFERROR(__xludf.DUMMYFUNCTION("""COMPUTED_VALUE"""),"MAD ASSOALHO 2.0X 15.0X165.0")</f>
        <v>MAD ASSOALHO 2.0X 15.0X165.0</v>
      </c>
      <c r="C31" s="22">
        <f ca="1">IFERROR(__xludf.DUMMYFUNCTION("""COMPUTED_VALUE"""),30.96)</f>
        <v>30.96</v>
      </c>
    </row>
    <row r="32" spans="1:3" x14ac:dyDescent="0.2">
      <c r="A32" s="4">
        <f ca="1">IFERROR(__xludf.DUMMYFUNCTION("""COMPUTED_VALUE"""),116659)</f>
        <v>116659</v>
      </c>
      <c r="B32" s="4" t="str">
        <f ca="1">IFERROR(__xludf.DUMMYFUNCTION("""COMPUTED_VALUE"""),"MAD TABUA 2.0X15.0X200.0")</f>
        <v>MAD TABUA 2.0X15.0X200.0</v>
      </c>
      <c r="C32" s="22">
        <f ca="1">IFERROR(__xludf.DUMMYFUNCTION("""COMPUTED_VALUE"""),30.96)</f>
        <v>30.96</v>
      </c>
    </row>
    <row r="33" spans="1:3" x14ac:dyDescent="0.2">
      <c r="A33" s="4">
        <f ca="1">IFERROR(__xludf.DUMMYFUNCTION("""COMPUTED_VALUE"""),120031)</f>
        <v>120031</v>
      </c>
      <c r="B33" s="4" t="str">
        <f ca="1">IFERROR(__xludf.DUMMYFUNCTION("""COMPUTED_VALUE"""),"CHAPA FQ #14 (1,20 x 6,00m) 1010")</f>
        <v>CHAPA FQ #14 (1,20 x 6,00m) 1010</v>
      </c>
      <c r="C33" s="22">
        <f ca="1">IFERROR(__xludf.DUMMYFUNCTION("""COMPUTED_VALUE"""),7.2)</f>
        <v>7.2</v>
      </c>
    </row>
    <row r="34" spans="1:3" x14ac:dyDescent="0.2">
      <c r="A34" s="4">
        <f ca="1">IFERROR(__xludf.DUMMYFUNCTION("""COMPUTED_VALUE"""),120054)</f>
        <v>120054</v>
      </c>
      <c r="B34" s="4" t="str">
        <f ca="1">IFERROR(__xludf.DUMMYFUNCTION("""COMPUTED_VALUE"""),"CHAPA GQ 5/8 (15,8) 1010")</f>
        <v>CHAPA GQ 5/8 (15,8) 1010</v>
      </c>
      <c r="C34" s="22">
        <f ca="1">IFERROR(__xludf.DUMMYFUNCTION("""COMPUTED_VALUE"""),14.34)</f>
        <v>14.34</v>
      </c>
    </row>
    <row r="35" spans="1:3" x14ac:dyDescent="0.2">
      <c r="A35" s="4">
        <f ca="1">IFERROR(__xludf.DUMMYFUNCTION("""COMPUTED_VALUE"""),120110)</f>
        <v>120110</v>
      </c>
      <c r="B35" s="4" t="str">
        <f ca="1">IFERROR(__xludf.DUMMYFUNCTION("""COMPUTED_VALUE"""),"CHAPA A.DERR. 3,00mm. 1010")</f>
        <v>CHAPA A.DERR. 3,00mm. 1010</v>
      </c>
      <c r="C35" s="22">
        <f ca="1">IFERROR(__xludf.DUMMYFUNCTION("""COMPUTED_VALUE"""),2.36)</f>
        <v>2.36</v>
      </c>
    </row>
    <row r="36" spans="1:3" x14ac:dyDescent="0.2">
      <c r="A36" s="4">
        <f ca="1">IFERROR(__xludf.DUMMYFUNCTION("""COMPUTED_VALUE"""),120121)</f>
        <v>120121</v>
      </c>
      <c r="B36" s="4" t="str">
        <f ca="1">IFERROR(__xludf.DUMMYFUNCTION("""COMPUTED_VALUE"""),"CHAPA FF #18 (1,21) 1010")</f>
        <v>CHAPA FF #18 (1,21) 1010</v>
      </c>
      <c r="C36" s="22">
        <f ca="1">IFERROR(__xludf.DUMMYFUNCTION("""COMPUTED_VALUE"""),14.43)</f>
        <v>14.43</v>
      </c>
    </row>
    <row r="37" spans="1:3" x14ac:dyDescent="0.2">
      <c r="A37" s="4">
        <f ca="1">IFERROR(__xludf.DUMMYFUNCTION("""COMPUTED_VALUE"""),120133)</f>
        <v>120133</v>
      </c>
      <c r="B37" s="4" t="str">
        <f ca="1">IFERROR(__xludf.DUMMYFUNCTION("""COMPUTED_VALUE"""),"CHAPA FQ #14 (1,20 x 5,60m) 1010")</f>
        <v>CHAPA FQ #14 (1,20 x 5,60m) 1010</v>
      </c>
      <c r="C37" s="22">
        <f ca="1">IFERROR(__xludf.DUMMYFUNCTION("""COMPUTED_VALUE"""),7.2)</f>
        <v>7.2</v>
      </c>
    </row>
    <row r="38" spans="1:3" x14ac:dyDescent="0.2">
      <c r="A38" s="4">
        <f ca="1">IFERROR(__xludf.DUMMYFUNCTION("""COMPUTED_VALUE"""),120157)</f>
        <v>120157</v>
      </c>
      <c r="B38" s="4" t="str">
        <f ca="1">IFERROR(__xludf.DUMMYFUNCTION("""COMPUTED_VALUE"""),"CHAPA GQ 3/8 (9,53) 1010")</f>
        <v>CHAPA GQ 3/8 (9,53) 1010</v>
      </c>
      <c r="C38" s="22">
        <f ca="1">IFERROR(__xludf.DUMMYFUNCTION("""COMPUTED_VALUE"""),7.82)</f>
        <v>7.82</v>
      </c>
    </row>
    <row r="39" spans="1:3" x14ac:dyDescent="0.2">
      <c r="A39" s="4">
        <f ca="1">IFERROR(__xludf.DUMMYFUNCTION("""COMPUTED_VALUE"""),120200)</f>
        <v>120200</v>
      </c>
      <c r="B39" s="4" t="str">
        <f ca="1">IFERROR(__xludf.DUMMYFUNCTION("""COMPUTED_VALUE"""),"CHAPA GQ 1/4 (1,20 x 4,05m) 1010")</f>
        <v>CHAPA GQ 1/4 (1,20 x 4,05m) 1010</v>
      </c>
      <c r="C39" s="22">
        <f ca="1">IFERROR(__xludf.DUMMYFUNCTION("""COMPUTED_VALUE"""),5.88)</f>
        <v>5.88</v>
      </c>
    </row>
    <row r="40" spans="1:3" x14ac:dyDescent="0.2">
      <c r="A40" s="4">
        <f ca="1">IFERROR(__xludf.DUMMYFUNCTION("""COMPUTED_VALUE"""),120249)</f>
        <v>120249</v>
      </c>
      <c r="B40" s="4" t="str">
        <f ca="1">IFERROR(__xludf.DUMMYFUNCTION("""COMPUTED_VALUE"""),"CHAPA FQ #11 (1,20 x 5,00m) 1010")</f>
        <v>CHAPA FQ #11 (1,20 x 5,00m) 1010</v>
      </c>
      <c r="C40" s="22">
        <f ca="1">IFERROR(__xludf.DUMMYFUNCTION("""COMPUTED_VALUE"""),7.55)</f>
        <v>7.55</v>
      </c>
    </row>
    <row r="41" spans="1:3" x14ac:dyDescent="0.2">
      <c r="A41" s="4">
        <f ca="1">IFERROR(__xludf.DUMMYFUNCTION("""COMPUTED_VALUE"""),120250)</f>
        <v>120250</v>
      </c>
      <c r="B41" s="4" t="str">
        <f ca="1">IFERROR(__xludf.DUMMYFUNCTION("""COMPUTED_VALUE"""),"CHAPA FQ #11 (3,04 x 1,20 x 6,00m)) 1010")</f>
        <v>CHAPA FQ #11 (3,04 x 1,20 x 6,00m)) 1010</v>
      </c>
      <c r="C41" s="22">
        <f ca="1">IFERROR(__xludf.DUMMYFUNCTION("""COMPUTED_VALUE"""),6.06)</f>
        <v>6.06</v>
      </c>
    </row>
    <row r="42" spans="1:3" x14ac:dyDescent="0.2">
      <c r="A42" s="4">
        <f ca="1">IFERROR(__xludf.DUMMYFUNCTION("""COMPUTED_VALUE"""),120255)</f>
        <v>120255</v>
      </c>
      <c r="B42" s="4" t="str">
        <f ca="1">IFERROR(__xludf.DUMMYFUNCTION("""COMPUTED_VALUE"""),"CHAPA FQ #13 (1,20 x 3,51m) 1010")</f>
        <v>CHAPA FQ #13 (1,20 x 3,51m) 1010</v>
      </c>
      <c r="C42" s="22">
        <f ca="1">IFERROR(__xludf.DUMMYFUNCTION("""COMPUTED_VALUE"""),7.3)</f>
        <v>7.3</v>
      </c>
    </row>
    <row r="43" spans="1:3" x14ac:dyDescent="0.2">
      <c r="A43" s="4">
        <f ca="1">IFERROR(__xludf.DUMMYFUNCTION("""COMPUTED_VALUE"""),120267)</f>
        <v>120267</v>
      </c>
      <c r="B43" s="4" t="str">
        <f ca="1">IFERROR(__xludf.DUMMYFUNCTION("""COMPUTED_VALUE"""),"CHAPA FQ #14 (1,20 x 3,50m) 1010")</f>
        <v>CHAPA FQ #14 (1,20 x 3,50m) 1010</v>
      </c>
      <c r="C43" s="22">
        <f ca="1">IFERROR(__xludf.DUMMYFUNCTION("""COMPUTED_VALUE"""),7.2)</f>
        <v>7.2</v>
      </c>
    </row>
    <row r="44" spans="1:3" x14ac:dyDescent="0.2">
      <c r="A44" s="4">
        <f ca="1">IFERROR(__xludf.DUMMYFUNCTION("""COMPUTED_VALUE"""),120270)</f>
        <v>120270</v>
      </c>
      <c r="B44" s="4" t="str">
        <f ca="1">IFERROR(__xludf.DUMMYFUNCTION("""COMPUTED_VALUE"""),"CHAPA FQ #13 (1.20 x 4,50m) 1010")</f>
        <v>CHAPA FQ #13 (1.20 x 4,50m) 1010</v>
      </c>
      <c r="C44" s="22">
        <f ca="1">IFERROR(__xludf.DUMMYFUNCTION("""COMPUTED_VALUE"""),7.39)</f>
        <v>7.39</v>
      </c>
    </row>
    <row r="45" spans="1:3" x14ac:dyDescent="0.2">
      <c r="A45" s="4">
        <f ca="1">IFERROR(__xludf.DUMMYFUNCTION("""COMPUTED_VALUE"""),120271)</f>
        <v>120271</v>
      </c>
      <c r="B45" s="4" t="str">
        <f ca="1">IFERROR(__xludf.DUMMYFUNCTION("""COMPUTED_VALUE"""),"CHAPA FQ #13 (1.20 x 5,00m) 1010")</f>
        <v>CHAPA FQ #13 (1.20 x 5,00m) 1010</v>
      </c>
      <c r="C45" s="22">
        <f ca="1">IFERROR(__xludf.DUMMYFUNCTION("""COMPUTED_VALUE"""),6.33)</f>
        <v>6.33</v>
      </c>
    </row>
    <row r="46" spans="1:3" x14ac:dyDescent="0.2">
      <c r="A46" s="4">
        <f ca="1">IFERROR(__xludf.DUMMYFUNCTION("""COMPUTED_VALUE"""),120273)</f>
        <v>120273</v>
      </c>
      <c r="B46" s="4" t="str">
        <f ca="1">IFERROR(__xludf.DUMMYFUNCTION("""COMPUTED_VALUE"""),"CHAPA FQ 3,75mm. SAE-1006")</f>
        <v>CHAPA FQ 3,75mm. SAE-1006</v>
      </c>
      <c r="C46" s="22">
        <f ca="1">IFERROR(__xludf.DUMMYFUNCTION("""COMPUTED_VALUE"""),7.16)</f>
        <v>7.16</v>
      </c>
    </row>
    <row r="47" spans="1:3" x14ac:dyDescent="0.2">
      <c r="A47" s="4">
        <f ca="1">IFERROR(__xludf.DUMMYFUNCTION("""COMPUTED_VALUE"""),120274)</f>
        <v>120274</v>
      </c>
      <c r="B47" s="4" t="str">
        <f ca="1">IFERROR(__xludf.DUMMYFUNCTION("""COMPUTED_VALUE"""),"CHAPA FQ #14 (1.20 x 4,50m) 1010")</f>
        <v>CHAPA FQ #14 (1.20 x 4,50m) 1010</v>
      </c>
      <c r="C47" s="22">
        <f ca="1">IFERROR(__xludf.DUMMYFUNCTION("""COMPUTED_VALUE"""),7.72)</f>
        <v>7.72</v>
      </c>
    </row>
    <row r="48" spans="1:3" x14ac:dyDescent="0.2">
      <c r="A48" s="4">
        <f ca="1">IFERROR(__xludf.DUMMYFUNCTION("""COMPUTED_VALUE"""),120277)</f>
        <v>120277</v>
      </c>
      <c r="B48" s="4" t="str">
        <f ca="1">IFERROR(__xludf.DUMMYFUNCTION("""COMPUTED_VALUE"""),"CHAPA FQ #14 (1,50 x 4,00m) 1010")</f>
        <v>CHAPA FQ #14 (1,50 x 4,00m) 1010</v>
      </c>
      <c r="C48" s="22">
        <f ca="1">IFERROR(__xludf.DUMMYFUNCTION("""COMPUTED_VALUE"""),8.98)</f>
        <v>8.98</v>
      </c>
    </row>
    <row r="49" spans="1:3" x14ac:dyDescent="0.2">
      <c r="A49" s="4">
        <f ca="1">IFERROR(__xludf.DUMMYFUNCTION("""COMPUTED_VALUE"""),120303)</f>
        <v>120303</v>
      </c>
      <c r="B49" s="4" t="str">
        <f ca="1">IFERROR(__xludf.DUMMYFUNCTION("""COMPUTED_VALUE"""),"CHAPA FQ 3/16 (1,20 x 6,00m) 1010")</f>
        <v>CHAPA FQ 3/16 (1,20 x 6,00m) 1010</v>
      </c>
      <c r="C49" s="22">
        <f ca="1">IFERROR(__xludf.DUMMYFUNCTION("""COMPUTED_VALUE"""),6.8)</f>
        <v>6.8</v>
      </c>
    </row>
    <row r="50" spans="1:3" x14ac:dyDescent="0.2">
      <c r="A50" s="4">
        <f ca="1">IFERROR(__xludf.DUMMYFUNCTION("""COMPUTED_VALUE"""),120352)</f>
        <v>120352</v>
      </c>
      <c r="B50" s="4" t="str">
        <f ca="1">IFERROR(__xludf.DUMMYFUNCTION("""COMPUTED_VALUE"""),"CHAPA GQ 1/2 (12,7) 1010")</f>
        <v>CHAPA GQ 1/2 (12,7) 1010</v>
      </c>
      <c r="C50" s="22">
        <f ca="1">IFERROR(__xludf.DUMMYFUNCTION("""COMPUTED_VALUE"""),8.24)</f>
        <v>8.24</v>
      </c>
    </row>
    <row r="51" spans="1:3" x14ac:dyDescent="0.2">
      <c r="A51" s="4">
        <f ca="1">IFERROR(__xludf.DUMMYFUNCTION("""COMPUTED_VALUE"""),120535)</f>
        <v>120535</v>
      </c>
      <c r="B51" s="4" t="str">
        <f ca="1">IFERROR(__xludf.DUMMYFUNCTION("""COMPUTED_VALUE"""),"CHAPA FQ #12 (1,50 x 3,80m) 1010")</f>
        <v>CHAPA FQ #12 (1,50 x 3,80m) 1010</v>
      </c>
      <c r="C51" s="22">
        <f ca="1">IFERROR(__xludf.DUMMYFUNCTION("""COMPUTED_VALUE"""),8.03)</f>
        <v>8.0299999999999994</v>
      </c>
    </row>
    <row r="52" spans="1:3" x14ac:dyDescent="0.2">
      <c r="A52" s="4">
        <f ca="1">IFERROR(__xludf.DUMMYFUNCTION("""COMPUTED_VALUE"""),120546)</f>
        <v>120546</v>
      </c>
      <c r="B52" s="4" t="str">
        <f ca="1">IFERROR(__xludf.DUMMYFUNCTION("""COMPUTED_VALUE"""),"CHAPA FQ #12 (1,50 x 6,00m) 1010")</f>
        <v>CHAPA FQ #12 (1,50 x 6,00m) 1010</v>
      </c>
      <c r="C52" s="22">
        <f ca="1">IFERROR(__xludf.DUMMYFUNCTION("""COMPUTED_VALUE"""),7.3)</f>
        <v>7.3</v>
      </c>
    </row>
    <row r="53" spans="1:3" x14ac:dyDescent="0.2">
      <c r="A53" s="4">
        <f ca="1">IFERROR(__xludf.DUMMYFUNCTION("""COMPUTED_VALUE"""),120650)</f>
        <v>120650</v>
      </c>
      <c r="B53" s="4" t="str">
        <f ca="1">IFERROR(__xludf.DUMMYFUNCTION("""COMPUTED_VALUE"""),"CHAPA GQ 5/16(7,94) 1010")</f>
        <v>CHAPA GQ 5/16(7,94) 1010</v>
      </c>
      <c r="C53" s="22">
        <f ca="1">IFERROR(__xludf.DUMMYFUNCTION("""COMPUTED_VALUE"""),7.71)</f>
        <v>7.71</v>
      </c>
    </row>
    <row r="54" spans="1:3" x14ac:dyDescent="0.2">
      <c r="A54" s="4">
        <f ca="1">IFERROR(__xludf.DUMMYFUNCTION("""COMPUTED_VALUE"""),120705)</f>
        <v>120705</v>
      </c>
      <c r="B54" s="4" t="str">
        <f ca="1">IFERROR(__xludf.DUMMYFUNCTION("""COMPUTED_VALUE"""),"CHAPA FQ #13 (1,20 x 6,00m) 1010")</f>
        <v>CHAPA FQ #13 (1,20 x 6,00m) 1010</v>
      </c>
      <c r="C54" s="22">
        <f ca="1">IFERROR(__xludf.DUMMYFUNCTION("""COMPUTED_VALUE"""),10.14)</f>
        <v>10.14</v>
      </c>
    </row>
    <row r="55" spans="1:3" x14ac:dyDescent="0.2">
      <c r="A55" s="4">
        <f ca="1">IFERROR(__xludf.DUMMYFUNCTION("""COMPUTED_VALUE"""),120900)</f>
        <v>120900</v>
      </c>
      <c r="B55" s="4" t="str">
        <f ca="1">IFERROR(__xludf.DUMMYFUNCTION("""COMPUTED_VALUE"""),"CHAPA FF #20 (0,91) 1010")</f>
        <v>CHAPA FF #20 (0,91) 1010</v>
      </c>
      <c r="C55" s="22">
        <f ca="1">IFERROR(__xludf.DUMMYFUNCTION("""COMPUTED_VALUE"""),10.07)</f>
        <v>10.07</v>
      </c>
    </row>
    <row r="56" spans="1:3" x14ac:dyDescent="0.2">
      <c r="A56" s="4">
        <f ca="1">IFERROR(__xludf.DUMMYFUNCTION("""COMPUTED_VALUE"""),120924)</f>
        <v>120924</v>
      </c>
      <c r="B56" s="4" t="str">
        <f ca="1">IFERROR(__xludf.DUMMYFUNCTION("""COMPUTED_VALUE"""),"CHAPA FQ #12 (1,20 x 3,80m) 1010")</f>
        <v>CHAPA FQ #12 (1,20 x 3,80m) 1010</v>
      </c>
      <c r="C56" s="22">
        <f ca="1">IFERROR(__xludf.DUMMYFUNCTION("""COMPUTED_VALUE"""),6.49)</f>
        <v>6.49</v>
      </c>
    </row>
    <row r="57" spans="1:3" x14ac:dyDescent="0.2">
      <c r="A57" s="4">
        <f ca="1">IFERROR(__xludf.DUMMYFUNCTION("""COMPUTED_VALUE"""),124576)</f>
        <v>124576</v>
      </c>
      <c r="B57" s="4" t="str">
        <f ca="1">IFERROR(__xludf.DUMMYFUNCTION("""COMPUTED_VALUE"""),"ACO TREFILADO QDR 3/8 1045")</f>
        <v>ACO TREFILADO QDR 3/8 1045</v>
      </c>
      <c r="C57" s="22">
        <f ca="1">IFERROR(__xludf.DUMMYFUNCTION("""COMPUTED_VALUE"""),5.72)</f>
        <v>5.72</v>
      </c>
    </row>
    <row r="58" spans="1:3" x14ac:dyDescent="0.2">
      <c r="A58" s="4">
        <f ca="1">IFERROR(__xludf.DUMMYFUNCTION("""COMPUTED_VALUE"""),126056)</f>
        <v>126056</v>
      </c>
      <c r="B58" s="4" t="str">
        <f ca="1">IFERROR(__xludf.DUMMYFUNCTION("""COMPUTED_VALUE"""),"AÇO CHATO LAM 1/2 X 1.1/2"" SAE-1020")</f>
        <v>AÇO CHATO LAM 1/2 X 1.1/2" SAE-1020</v>
      </c>
      <c r="C58" s="22">
        <f ca="1">IFERROR(__xludf.DUMMYFUNCTION("""COMPUTED_VALUE"""),10.8)</f>
        <v>10.8</v>
      </c>
    </row>
    <row r="59" spans="1:3" x14ac:dyDescent="0.2">
      <c r="A59" s="4">
        <f ca="1">IFERROR(__xludf.DUMMYFUNCTION("""COMPUTED_VALUE"""),126202)</f>
        <v>126202</v>
      </c>
      <c r="B59" s="4" t="str">
        <f ca="1">IFERROR(__xludf.DUMMYFUNCTION("""COMPUTED_VALUE"""),"AÇO CHATO LAM 1/2 X 3"" SAE-1020")</f>
        <v>AÇO CHATO LAM 1/2 X 3" SAE-1020</v>
      </c>
      <c r="C59" s="22">
        <f ca="1">IFERROR(__xludf.DUMMYFUNCTION("""COMPUTED_VALUE"""),8.95)</f>
        <v>8.9499999999999993</v>
      </c>
    </row>
    <row r="60" spans="1:3" x14ac:dyDescent="0.2">
      <c r="A60" s="4">
        <f ca="1">IFERROR(__xludf.DUMMYFUNCTION("""COMPUTED_VALUE"""),126214)</f>
        <v>126214</v>
      </c>
      <c r="B60" s="4" t="str">
        <f ca="1">IFERROR(__xludf.DUMMYFUNCTION("""COMPUTED_VALUE"""),"AÇO CHATO LAM 1/2 X 3.1/2 1020")</f>
        <v>AÇO CHATO LAM 1/2 X 3.1/2 1020</v>
      </c>
      <c r="C60" s="22">
        <f ca="1">IFERROR(__xludf.DUMMYFUNCTION("""COMPUTED_VALUE"""),8.95)</f>
        <v>8.9499999999999993</v>
      </c>
    </row>
    <row r="61" spans="1:3" x14ac:dyDescent="0.2">
      <c r="A61" s="4">
        <f ca="1">IFERROR(__xludf.DUMMYFUNCTION("""COMPUTED_VALUE"""),126226)</f>
        <v>126226</v>
      </c>
      <c r="B61" s="4" t="str">
        <f ca="1">IFERROR(__xludf.DUMMYFUNCTION("""COMPUTED_VALUE"""),"AÇO CHATO LAM 5/8 X 3"" SAE-1020")</f>
        <v>AÇO CHATO LAM 5/8 X 3" SAE-1020</v>
      </c>
      <c r="C61" s="22">
        <f ca="1">IFERROR(__xludf.DUMMYFUNCTION("""COMPUTED_VALUE"""),8.75)</f>
        <v>8.75</v>
      </c>
    </row>
    <row r="62" spans="1:3" x14ac:dyDescent="0.2">
      <c r="A62" s="4">
        <f ca="1">IFERROR(__xludf.DUMMYFUNCTION("""COMPUTED_VALUE"""),126299)</f>
        <v>126299</v>
      </c>
      <c r="B62" s="4" t="str">
        <f ca="1">IFERROR(__xludf.DUMMYFUNCTION("""COMPUTED_VALUE"""),"AÇO CHATO LAM 5/16 X 2"" SAE-5160")</f>
        <v>AÇO CHATO LAM 5/16 X 2" SAE-5160</v>
      </c>
      <c r="C62" s="22">
        <f ca="1">IFERROR(__xludf.DUMMYFUNCTION("""COMPUTED_VALUE"""),12)</f>
        <v>12</v>
      </c>
    </row>
    <row r="63" spans="1:3" x14ac:dyDescent="0.2">
      <c r="A63" s="4">
        <f ca="1">IFERROR(__xludf.DUMMYFUNCTION("""COMPUTED_VALUE"""),126329)</f>
        <v>126329</v>
      </c>
      <c r="B63" s="4" t="str">
        <f ca="1">IFERROR(__xludf.DUMMYFUNCTION("""COMPUTED_VALUE"""),"AÇO CHATO LAM 5/8 X 1.1/2 SAE-1020")</f>
        <v>AÇO CHATO LAM 5/8 X 1.1/2 SAE-1020</v>
      </c>
      <c r="C63" s="22">
        <f ca="1">IFERROR(__xludf.DUMMYFUNCTION("""COMPUTED_VALUE"""),8.95)</f>
        <v>8.9499999999999993</v>
      </c>
    </row>
    <row r="64" spans="1:3" x14ac:dyDescent="0.2">
      <c r="A64" s="4">
        <f ca="1">IFERROR(__xludf.DUMMYFUNCTION("""COMPUTED_VALUE"""),126457)</f>
        <v>126457</v>
      </c>
      <c r="B64" s="4" t="str">
        <f ca="1">IFERROR(__xludf.DUMMYFUNCTION("""COMPUTED_VALUE"""),"AÇO CHATO LAM 3/8 X 2 SAE-1020")</f>
        <v>AÇO CHATO LAM 3/8 X 2 SAE-1020</v>
      </c>
      <c r="C64" s="22">
        <f ca="1">IFERROR(__xludf.DUMMYFUNCTION("""COMPUTED_VALUE"""),8.95)</f>
        <v>8.9499999999999993</v>
      </c>
    </row>
    <row r="65" spans="1:3" x14ac:dyDescent="0.2">
      <c r="A65" s="4">
        <f ca="1">IFERROR(__xludf.DUMMYFUNCTION("""COMPUTED_VALUE"""),126615)</f>
        <v>126615</v>
      </c>
      <c r="B65" s="4" t="str">
        <f ca="1">IFERROR(__xludf.DUMMYFUNCTION("""COMPUTED_VALUE"""),"AÇO CHATO LAM 3/4 X 2"" SAE-1020")</f>
        <v>AÇO CHATO LAM 3/4 X 2" SAE-1020</v>
      </c>
      <c r="C65" s="22">
        <f ca="1">IFERROR(__xludf.DUMMYFUNCTION("""COMPUTED_VALUE"""),9.27)</f>
        <v>9.27</v>
      </c>
    </row>
    <row r="66" spans="1:3" x14ac:dyDescent="0.2">
      <c r="A66" s="4">
        <f ca="1">IFERROR(__xludf.DUMMYFUNCTION("""COMPUTED_VALUE"""),126706)</f>
        <v>126706</v>
      </c>
      <c r="B66" s="4" t="str">
        <f ca="1">IFERROR(__xludf.DUMMYFUNCTION("""COMPUTED_VALUE"""),"AÇO CHATO LAM 5/8 X 2.1/2 SAE-1020")</f>
        <v>AÇO CHATO LAM 5/8 X 2.1/2 SAE-1020</v>
      </c>
      <c r="C66" s="22">
        <f ca="1">IFERROR(__xludf.DUMMYFUNCTION("""COMPUTED_VALUE"""),8.75)</f>
        <v>8.75</v>
      </c>
    </row>
    <row r="67" spans="1:3" x14ac:dyDescent="0.2">
      <c r="A67" s="4">
        <f ca="1">IFERROR(__xludf.DUMMYFUNCTION("""COMPUTED_VALUE"""),126755)</f>
        <v>126755</v>
      </c>
      <c r="B67" s="4" t="str">
        <f ca="1">IFERROR(__xludf.DUMMYFUNCTION("""COMPUTED_VALUE"""),"AÇO CHATO LAM 1"" X 3"" SAE-1020")</f>
        <v>AÇO CHATO LAM 1" X 3" SAE-1020</v>
      </c>
      <c r="C67" s="22">
        <f ca="1">IFERROR(__xludf.DUMMYFUNCTION("""COMPUTED_VALUE"""),8.89)</f>
        <v>8.89</v>
      </c>
    </row>
    <row r="68" spans="1:3" x14ac:dyDescent="0.2">
      <c r="A68" s="4">
        <f ca="1">IFERROR(__xludf.DUMMYFUNCTION("""COMPUTED_VALUE"""),126901)</f>
        <v>126901</v>
      </c>
      <c r="B68" s="4" t="str">
        <f ca="1">IFERROR(__xludf.DUMMYFUNCTION("""COMPUTED_VALUE"""),"AÇO CHATO LAM 3/4 X 3 SAE-1020")</f>
        <v>AÇO CHATO LAM 3/4 X 3 SAE-1020</v>
      </c>
      <c r="C68" s="22">
        <f ca="1">IFERROR(__xludf.DUMMYFUNCTION("""COMPUTED_VALUE"""),9.05)</f>
        <v>9.0500000000000007</v>
      </c>
    </row>
    <row r="69" spans="1:3" x14ac:dyDescent="0.2">
      <c r="A69" s="4">
        <f ca="1">IFERROR(__xludf.DUMMYFUNCTION("""COMPUTED_VALUE"""),130552)</f>
        <v>130552</v>
      </c>
      <c r="B69" s="4" t="str">
        <f ca="1">IFERROR(__xludf.DUMMYFUNCTION("""COMPUTED_VALUE"""),"CANTONEIRA 3/16 X 2 1020")</f>
        <v>CANTONEIRA 3/16 X 2 1020</v>
      </c>
      <c r="C69" s="22">
        <f ca="1">IFERROR(__xludf.DUMMYFUNCTION("""COMPUTED_VALUE"""),10.8)</f>
        <v>10.8</v>
      </c>
    </row>
    <row r="70" spans="1:3" x14ac:dyDescent="0.2">
      <c r="A70" s="4">
        <f ca="1">IFERROR(__xludf.DUMMYFUNCTION("""COMPUTED_VALUE"""),130590)</f>
        <v>130590</v>
      </c>
      <c r="B70" s="4" t="str">
        <f ca="1">IFERROR(__xludf.DUMMYFUNCTION("""COMPUTED_VALUE"""),"CANTONEIRA 1/8 x 2 1020")</f>
        <v>CANTONEIRA 1/8 x 2 1020</v>
      </c>
      <c r="C70" s="22">
        <f ca="1">IFERROR(__xludf.DUMMYFUNCTION("""COMPUTED_VALUE"""),7.2)</f>
        <v>7.2</v>
      </c>
    </row>
    <row r="71" spans="1:3" x14ac:dyDescent="0.2">
      <c r="A71" s="4">
        <f ca="1">IFERROR(__xludf.DUMMYFUNCTION("""COMPUTED_VALUE"""),130631)</f>
        <v>130631</v>
      </c>
      <c r="B71" s="4" t="str">
        <f ca="1">IFERROR(__xludf.DUMMYFUNCTION("""COMPUTED_VALUE"""),"CANTONEIRA 1/4 X 3 1020")</f>
        <v>CANTONEIRA 1/4 X 3 1020</v>
      </c>
      <c r="C71" s="22">
        <f ca="1">IFERROR(__xludf.DUMMYFUNCTION("""COMPUTED_VALUE"""),9.89)</f>
        <v>9.89</v>
      </c>
    </row>
    <row r="72" spans="1:3" x14ac:dyDescent="0.2">
      <c r="A72" s="4">
        <f ca="1">IFERROR(__xludf.DUMMYFUNCTION("""COMPUTED_VALUE"""),134016)</f>
        <v>134016</v>
      </c>
      <c r="B72" s="4" t="str">
        <f ca="1">IFERROR(__xludf.DUMMYFUNCTION("""COMPUTED_VALUE"""),"TUBO QDR 70,00 X 4,75")</f>
        <v>TUBO QDR 70,00 X 4,75</v>
      </c>
      <c r="C72" s="22">
        <f ca="1">IFERROR(__xludf.DUMMYFUNCTION("""COMPUTED_VALUE"""),12.73)</f>
        <v>12.73</v>
      </c>
    </row>
    <row r="73" spans="1:3" x14ac:dyDescent="0.2">
      <c r="A73" s="4" t="str">
        <f ca="1">IFERROR(__xludf.DUMMYFUNCTION("""COMPUTED_VALUE"""),"134017NAC")</f>
        <v>134017NAC</v>
      </c>
      <c r="B73" s="4" t="str">
        <f ca="1">IFERROR(__xludf.DUMMYFUNCTION("""COMPUTED_VALUE"""),"TUBO RETANGULAR 150 X 100 X 6.35")</f>
        <v>TUBO RETANGULAR 150 X 100 X 6.35</v>
      </c>
      <c r="C73" s="22">
        <f ca="1">IFERROR(__xludf.DUMMYFUNCTION("""COMPUTED_VALUE"""),7.47)</f>
        <v>7.47</v>
      </c>
    </row>
    <row r="74" spans="1:3" x14ac:dyDescent="0.2">
      <c r="A74" s="4" t="str">
        <f ca="1">IFERROR(__xludf.DUMMYFUNCTION("""COMPUTED_VALUE"""),"134018NAC")</f>
        <v>134018NAC</v>
      </c>
      <c r="B74" s="4" t="str">
        <f ca="1">IFERROR(__xludf.DUMMYFUNCTION("""COMPUTED_VALUE"""),"TUBO RETANGULAR 200 X 100 X 4.75")</f>
        <v>TUBO RETANGULAR 200 X 100 X 4.75</v>
      </c>
      <c r="C74" s="22">
        <f ca="1">IFERROR(__xludf.DUMMYFUNCTION("""COMPUTED_VALUE"""),7.79)</f>
        <v>7.79</v>
      </c>
    </row>
    <row r="75" spans="1:3" x14ac:dyDescent="0.2">
      <c r="A75" s="4" t="str">
        <f ca="1">IFERROR(__xludf.DUMMYFUNCTION("""COMPUTED_VALUE"""),"134020NAC")</f>
        <v>134020NAC</v>
      </c>
      <c r="B75" s="4" t="str">
        <f ca="1">IFERROR(__xludf.DUMMYFUNCTION("""COMPUTED_VALUE"""),"TUBO QUADRADO 100 X 100 X 4,75")</f>
        <v>TUBO QUADRADO 100 X 100 X 4,75</v>
      </c>
      <c r="C75" s="22">
        <f ca="1">IFERROR(__xludf.DUMMYFUNCTION("""COMPUTED_VALUE"""),4.93)</f>
        <v>4.93</v>
      </c>
    </row>
    <row r="76" spans="1:3" x14ac:dyDescent="0.2">
      <c r="A76" s="4">
        <f ca="1">IFERROR(__xludf.DUMMYFUNCTION("""COMPUTED_VALUE"""),134030)</f>
        <v>134030</v>
      </c>
      <c r="B76" s="4" t="str">
        <f ca="1">IFERROR(__xludf.DUMMYFUNCTION("""COMPUTED_VALUE"""),"TUBO MEC STAND 101.60 X 6.30")</f>
        <v>TUBO MEC STAND 101.60 X 6.30</v>
      </c>
      <c r="C76" s="22">
        <f ca="1">IFERROR(__xludf.DUMMYFUNCTION("""COMPUTED_VALUE"""),33.15)</f>
        <v>33.15</v>
      </c>
    </row>
    <row r="77" spans="1:3" x14ac:dyDescent="0.2">
      <c r="A77" s="4" t="str">
        <f ca="1">IFERROR(__xludf.DUMMYFUNCTION("""COMPUTED_VALUE"""),"134031NAC")</f>
        <v>134031NAC</v>
      </c>
      <c r="B77" s="4" t="str">
        <f ca="1">IFERROR(__xludf.DUMMYFUNCTION("""COMPUTED_VALUE"""),"TUBO QUADRADO 100,00 X 100,00 X 6MM")</f>
        <v>TUBO QUADRADO 100,00 X 100,00 X 6MM</v>
      </c>
      <c r="C77" s="22">
        <f ca="1">IFERROR(__xludf.DUMMYFUNCTION("""COMPUTED_VALUE"""),10.14)</f>
        <v>10.14</v>
      </c>
    </row>
    <row r="78" spans="1:3" x14ac:dyDescent="0.2">
      <c r="A78" s="4" t="str">
        <f ca="1">IFERROR(__xludf.DUMMYFUNCTION("""COMPUTED_VALUE"""),"134055NAC")</f>
        <v>134055NAC</v>
      </c>
      <c r="B78" s="4" t="str">
        <f ca="1">IFERROR(__xludf.DUMMYFUNCTION("""COMPUTED_VALUE"""),"TUBO QUADRADO 120 X 120 X 8.00")</f>
        <v>TUBO QUADRADO 120 X 120 X 8.00</v>
      </c>
      <c r="C78" s="22">
        <f ca="1">IFERROR(__xludf.DUMMYFUNCTION("""COMPUTED_VALUE"""),7.55)</f>
        <v>7.55</v>
      </c>
    </row>
    <row r="79" spans="1:3" x14ac:dyDescent="0.2">
      <c r="A79" s="4">
        <f ca="1">IFERROR(__xludf.DUMMYFUNCTION("""COMPUTED_VALUE"""),134060)</f>
        <v>134060</v>
      </c>
      <c r="B79" s="4" t="str">
        <f ca="1">IFERROR(__xludf.DUMMYFUNCTION("""COMPUTED_VALUE"""),"TUBO RET 50 X 30 X 2.00MM TAM. 6 METROS")</f>
        <v>TUBO RET 50 X 30 X 2.00MM TAM. 6 METROS</v>
      </c>
      <c r="C79" s="22">
        <f ca="1">IFERROR(__xludf.DUMMYFUNCTION("""COMPUTED_VALUE"""),13.16)</f>
        <v>13.16</v>
      </c>
    </row>
    <row r="80" spans="1:3" x14ac:dyDescent="0.2">
      <c r="A80" s="4" t="str">
        <f ca="1">IFERROR(__xludf.DUMMYFUNCTION("""COMPUTED_VALUE"""),"134062NAC")</f>
        <v>134062NAC</v>
      </c>
      <c r="B80" s="4" t="str">
        <f ca="1">IFERROR(__xludf.DUMMYFUNCTION("""COMPUTED_VALUE"""),"TUBO RETANGULAR 100 X 50 X 3.75 X 6300 mm")</f>
        <v>TUBO RETANGULAR 100 X 50 X 3.75 X 6300 mm</v>
      </c>
      <c r="C80" s="22">
        <f ca="1">IFERROR(__xludf.DUMMYFUNCTION("""COMPUTED_VALUE"""),8.63)</f>
        <v>8.6300000000000008</v>
      </c>
    </row>
    <row r="81" spans="1:3" x14ac:dyDescent="0.2">
      <c r="A81" s="4" t="str">
        <f ca="1">IFERROR(__xludf.DUMMYFUNCTION("""COMPUTED_VALUE"""),"134063NAC")</f>
        <v>134063NAC</v>
      </c>
      <c r="B81" s="4" t="str">
        <f ca="1">IFERROR(__xludf.DUMMYFUNCTION("""COMPUTED_VALUE"""),"TUBO RETANGULAR 100 X 80 X 4.75")</f>
        <v>TUBO RETANGULAR 100 X 80 X 4.75</v>
      </c>
      <c r="C81" s="22">
        <f ca="1">IFERROR(__xludf.DUMMYFUNCTION("""COMPUTED_VALUE"""),5.99)</f>
        <v>5.99</v>
      </c>
    </row>
    <row r="82" spans="1:3" x14ac:dyDescent="0.2">
      <c r="A82" s="4">
        <f ca="1">IFERROR(__xludf.DUMMYFUNCTION("""COMPUTED_VALUE"""),134065)</f>
        <v>134065</v>
      </c>
      <c r="B82" s="4" t="str">
        <f ca="1">IFERROR(__xludf.DUMMYFUNCTION("""COMPUTED_VALUE"""),"TUBO 1.1/2 DIN 2440")</f>
        <v>TUBO 1.1/2 DIN 2440</v>
      </c>
      <c r="C82" s="22">
        <f ca="1">IFERROR(__xludf.DUMMYFUNCTION("""COMPUTED_VALUE"""),3.87)</f>
        <v>3.87</v>
      </c>
    </row>
    <row r="83" spans="1:3" x14ac:dyDescent="0.2">
      <c r="A83" s="4">
        <f ca="1">IFERROR(__xludf.DUMMYFUNCTION("""COMPUTED_VALUE"""),134066)</f>
        <v>134066</v>
      </c>
      <c r="B83" s="4" t="str">
        <f ca="1">IFERROR(__xludf.DUMMYFUNCTION("""COMPUTED_VALUE"""),"TUBO RET 50 X 30 X 2.00MM TAM. 5 METROS")</f>
        <v>TUBO RET 50 X 30 X 2.00MM TAM. 5 METROS</v>
      </c>
      <c r="C83" s="22">
        <f ca="1">IFERROR(__xludf.DUMMYFUNCTION("""COMPUTED_VALUE"""),8.23)</f>
        <v>8.23</v>
      </c>
    </row>
    <row r="84" spans="1:3" x14ac:dyDescent="0.2">
      <c r="A84" s="4">
        <f ca="1">IFERROR(__xludf.DUMMYFUNCTION("""COMPUTED_VALUE"""),134107)</f>
        <v>134107</v>
      </c>
      <c r="B84" s="4" t="str">
        <f ca="1">IFERROR(__xludf.DUMMYFUNCTION("""COMPUTED_VALUE"""),"TUBO SCHEDULLE 80 - 4""")</f>
        <v>TUBO SCHEDULLE 80 - 4"</v>
      </c>
      <c r="C84" s="22">
        <f ca="1">IFERROR(__xludf.DUMMYFUNCTION("""COMPUTED_VALUE"""),9.87)</f>
        <v>9.8699999999999992</v>
      </c>
    </row>
    <row r="85" spans="1:3" x14ac:dyDescent="0.2">
      <c r="A85" s="4">
        <f ca="1">IFERROR(__xludf.DUMMYFUNCTION("""COMPUTED_VALUE"""),134132)</f>
        <v>134132</v>
      </c>
      <c r="B85" s="4" t="str">
        <f ca="1">IFERROR(__xludf.DUMMYFUNCTION("""COMPUTED_VALUE"""),"TUBO MECANICO 32 X 20 ST-52")</f>
        <v>TUBO MECANICO 32 X 20 ST-52</v>
      </c>
      <c r="C85" s="22">
        <f ca="1">IFERROR(__xludf.DUMMYFUNCTION("""COMPUTED_VALUE"""),25.76)</f>
        <v>25.76</v>
      </c>
    </row>
    <row r="86" spans="1:3" x14ac:dyDescent="0.2">
      <c r="A86" s="4">
        <f ca="1">IFERROR(__xludf.DUMMYFUNCTION("""COMPUTED_VALUE"""),134144)</f>
        <v>134144</v>
      </c>
      <c r="B86" s="4" t="str">
        <f ca="1">IFERROR(__xludf.DUMMYFUNCTION("""COMPUTED_VALUE"""),"TUBO SCHEDULLE 80 - 2""")</f>
        <v>TUBO SCHEDULLE 80 - 2"</v>
      </c>
      <c r="C86" s="22">
        <f ca="1">IFERROR(__xludf.DUMMYFUNCTION("""COMPUTED_VALUE"""),29.86)</f>
        <v>29.86</v>
      </c>
    </row>
    <row r="87" spans="1:3" x14ac:dyDescent="0.2">
      <c r="A87" s="4">
        <f ca="1">IFERROR(__xludf.DUMMYFUNCTION("""COMPUTED_VALUE"""),134157)</f>
        <v>134157</v>
      </c>
      <c r="B87" s="4" t="str">
        <f ca="1">IFERROR(__xludf.DUMMYFUNCTION("""COMPUTED_VALUE"""),"TUBO MECANICO 50 X 32 ST-52")</f>
        <v>TUBO MECANICO 50 X 32 ST-52</v>
      </c>
      <c r="C87" s="22">
        <f ca="1">IFERROR(__xludf.DUMMYFUNCTION("""COMPUTED_VALUE"""),45.52)</f>
        <v>45.52</v>
      </c>
    </row>
    <row r="88" spans="1:3" x14ac:dyDescent="0.2">
      <c r="A88" s="4">
        <f ca="1">IFERROR(__xludf.DUMMYFUNCTION("""COMPUTED_VALUE"""),134170)</f>
        <v>134170</v>
      </c>
      <c r="B88" s="4" t="str">
        <f ca="1">IFERROR(__xludf.DUMMYFUNCTION("""COMPUTED_VALUE"""),"TUBO SCHEDULLE 80 - 1.1/2""")</f>
        <v>TUBO SCHEDULLE 80 - 1.1/2"</v>
      </c>
      <c r="C88" s="22">
        <f ca="1">IFERROR(__xludf.DUMMYFUNCTION("""COMPUTED_VALUE"""),15.12)</f>
        <v>15.12</v>
      </c>
    </row>
    <row r="89" spans="1:3" x14ac:dyDescent="0.2">
      <c r="A89" s="4">
        <f ca="1">IFERROR(__xludf.DUMMYFUNCTION("""COMPUTED_VALUE"""),134212)</f>
        <v>134212</v>
      </c>
      <c r="B89" s="4" t="str">
        <f ca="1">IFERROR(__xludf.DUMMYFUNCTION("""COMPUTED_VALUE"""),"TUBO MECANICO 56 X 40 ST-52")</f>
        <v>TUBO MECANICO 56 X 40 ST-52</v>
      </c>
      <c r="C89" s="22">
        <f ca="1">IFERROR(__xludf.DUMMYFUNCTION("""COMPUTED_VALUE"""),26.76)</f>
        <v>26.76</v>
      </c>
    </row>
    <row r="90" spans="1:3" x14ac:dyDescent="0.2">
      <c r="A90" s="4">
        <f ca="1">IFERROR(__xludf.DUMMYFUNCTION("""COMPUTED_VALUE"""),134223)</f>
        <v>134223</v>
      </c>
      <c r="B90" s="4" t="str">
        <f ca="1">IFERROR(__xludf.DUMMYFUNCTION("""COMPUTED_VALUE"""),"TUBO MECANICO 71 X 54 ST-52")</f>
        <v>TUBO MECANICO 71 X 54 ST-52</v>
      </c>
      <c r="C90" s="22">
        <f ca="1">IFERROR(__xludf.DUMMYFUNCTION("""COMPUTED_VALUE"""),16.16)</f>
        <v>16.16</v>
      </c>
    </row>
    <row r="91" spans="1:3" x14ac:dyDescent="0.2">
      <c r="A91" s="4">
        <f ca="1">IFERROR(__xludf.DUMMYFUNCTION("""COMPUTED_VALUE"""),134224)</f>
        <v>134224</v>
      </c>
      <c r="B91" s="4" t="str">
        <f ca="1">IFERROR(__xludf.DUMMYFUNCTION("""COMPUTED_VALUE"""),"TUBO MECANICO 71 X 43 ST-52")</f>
        <v>TUBO MECANICO 71 X 43 ST-52</v>
      </c>
      <c r="C91" s="22">
        <f ca="1">IFERROR(__xludf.DUMMYFUNCTION("""COMPUTED_VALUE"""),15.94)</f>
        <v>15.94</v>
      </c>
    </row>
    <row r="92" spans="1:3" x14ac:dyDescent="0.2">
      <c r="A92" s="4">
        <f ca="1">IFERROR(__xludf.DUMMYFUNCTION("""COMPUTED_VALUE"""),134375)</f>
        <v>134375</v>
      </c>
      <c r="B92" s="4" t="str">
        <f ca="1">IFERROR(__xludf.DUMMYFUNCTION("""COMPUTED_VALUE"""),"TUBO 1/2 DIN 2440")</f>
        <v>TUBO 1/2 DIN 2440</v>
      </c>
      <c r="C92" s="22">
        <f ca="1">IFERROR(__xludf.DUMMYFUNCTION("""COMPUTED_VALUE"""),8.92)</f>
        <v>8.92</v>
      </c>
    </row>
    <row r="93" spans="1:3" x14ac:dyDescent="0.2">
      <c r="A93" s="4">
        <f ca="1">IFERROR(__xludf.DUMMYFUNCTION("""COMPUTED_VALUE"""),134387)</f>
        <v>134387</v>
      </c>
      <c r="B93" s="4" t="str">
        <f ca="1">IFERROR(__xludf.DUMMYFUNCTION("""COMPUTED_VALUE"""),"TUBO SCHEDULLE 40 - 3/8"" S/C 5 METROS")</f>
        <v>TUBO SCHEDULLE 40 - 3/8" S/C 5 METROS</v>
      </c>
      <c r="C93" s="22">
        <f ca="1">IFERROR(__xludf.DUMMYFUNCTION("""COMPUTED_VALUE"""),25.52)</f>
        <v>25.52</v>
      </c>
    </row>
    <row r="94" spans="1:3" x14ac:dyDescent="0.2">
      <c r="A94" s="4">
        <f ca="1">IFERROR(__xludf.DUMMYFUNCTION("""COMPUTED_VALUE"""),134388)</f>
        <v>134388</v>
      </c>
      <c r="B94" s="4" t="str">
        <f ca="1">IFERROR(__xludf.DUMMYFUNCTION("""COMPUTED_VALUE"""),"TUBO SCHEDULLE 40 - 3/8"" S/C 6.30 METROS")</f>
        <v>TUBO SCHEDULLE 40 - 3/8" S/C 6.30 METROS</v>
      </c>
      <c r="C94" s="22">
        <f ca="1">IFERROR(__xludf.DUMMYFUNCTION("""COMPUTED_VALUE"""),25.95)</f>
        <v>25.95</v>
      </c>
    </row>
    <row r="95" spans="1:3" x14ac:dyDescent="0.2">
      <c r="A95" s="4">
        <f ca="1">IFERROR(__xludf.DUMMYFUNCTION("""COMPUTED_VALUE"""),134430)</f>
        <v>134430</v>
      </c>
      <c r="B95" s="4" t="str">
        <f ca="1">IFERROR(__xludf.DUMMYFUNCTION("""COMPUTED_VALUE"""),"TUBO SCHEDULLE 40 - 1.1/4""")</f>
        <v>TUBO SCHEDULLE 40 - 1.1/4"</v>
      </c>
      <c r="C95" s="22">
        <f ca="1">IFERROR(__xludf.DUMMYFUNCTION("""COMPUTED_VALUE"""),15.44)</f>
        <v>15.44</v>
      </c>
    </row>
    <row r="96" spans="1:3" x14ac:dyDescent="0.2">
      <c r="A96" s="4">
        <f ca="1">IFERROR(__xludf.DUMMYFUNCTION("""COMPUTED_VALUE"""),134625)</f>
        <v>134625</v>
      </c>
      <c r="B96" s="4" t="str">
        <f ca="1">IFERROR(__xludf.DUMMYFUNCTION("""COMPUTED_VALUE"""),"TUBO MECANICO 40 X 20 ST-52")</f>
        <v>TUBO MECANICO 40 X 20 ST-52</v>
      </c>
      <c r="C96" s="22">
        <f ca="1">IFERROR(__xludf.DUMMYFUNCTION("""COMPUTED_VALUE"""),26.73)</f>
        <v>26.73</v>
      </c>
    </row>
    <row r="97" spans="1:3" x14ac:dyDescent="0.2">
      <c r="A97" s="4">
        <f ca="1">IFERROR(__xludf.DUMMYFUNCTION("""COMPUTED_VALUE"""),134716)</f>
        <v>134716</v>
      </c>
      <c r="B97" s="4" t="str">
        <f ca="1">IFERROR(__xludf.DUMMYFUNCTION("""COMPUTED_VALUE"""),"TUBO MECANICO 56 X 28 ST-52")</f>
        <v>TUBO MECANICO 56 X 28 ST-52</v>
      </c>
      <c r="C97" s="22">
        <f ca="1">IFERROR(__xludf.DUMMYFUNCTION("""COMPUTED_VALUE"""),22.95)</f>
        <v>22.95</v>
      </c>
    </row>
    <row r="98" spans="1:3" x14ac:dyDescent="0.2">
      <c r="A98" s="4">
        <f ca="1">IFERROR(__xludf.DUMMYFUNCTION("""COMPUTED_VALUE"""),134789)</f>
        <v>134789</v>
      </c>
      <c r="B98" s="4" t="str">
        <f ca="1">IFERROR(__xludf.DUMMYFUNCTION("""COMPUTED_VALUE"""),"TUBO MECANICO 131 X 105 ST-52")</f>
        <v>TUBO MECANICO 131 X 105 ST-52</v>
      </c>
      <c r="C98" s="22">
        <f ca="1">IFERROR(__xludf.DUMMYFUNCTION("""COMPUTED_VALUE"""),33.85)</f>
        <v>33.85</v>
      </c>
    </row>
    <row r="99" spans="1:3" x14ac:dyDescent="0.2">
      <c r="A99" s="4">
        <f ca="1">IFERROR(__xludf.DUMMYFUNCTION("""COMPUTED_VALUE"""),134855)</f>
        <v>134855</v>
      </c>
      <c r="B99" s="4" t="str">
        <f ca="1">IFERROR(__xludf.DUMMYFUNCTION("""COMPUTED_VALUE"""),"TUBO 1 DIN 2440")</f>
        <v>TUBO 1 DIN 2440</v>
      </c>
      <c r="C99" s="22">
        <f ca="1">IFERROR(__xludf.DUMMYFUNCTION("""COMPUTED_VALUE"""),10.8)</f>
        <v>10.8</v>
      </c>
    </row>
    <row r="100" spans="1:3" x14ac:dyDescent="0.2">
      <c r="A100" s="4">
        <f ca="1">IFERROR(__xludf.DUMMYFUNCTION("""COMPUTED_VALUE"""),134892)</f>
        <v>134892</v>
      </c>
      <c r="B100" s="4" t="str">
        <f ca="1">IFERROR(__xludf.DUMMYFUNCTION("""COMPUTED_VALUE"""),"TUBO SCHEDULLE 80 - 3.1/2""")</f>
        <v>TUBO SCHEDULLE 80 - 3.1/2"</v>
      </c>
      <c r="C100" s="22">
        <f ca="1">IFERROR(__xludf.DUMMYFUNCTION("""COMPUTED_VALUE"""),13.12)</f>
        <v>13.12</v>
      </c>
    </row>
    <row r="101" spans="1:3" x14ac:dyDescent="0.2">
      <c r="A101" s="4">
        <f ca="1">IFERROR(__xludf.DUMMYFUNCTION("""COMPUTED_VALUE"""),134910)</f>
        <v>134910</v>
      </c>
      <c r="B101" s="4" t="str">
        <f ca="1">IFERROR(__xludf.DUMMYFUNCTION("""COMPUTED_VALUE"""),"TUBO SCHEDULLE 40 - 1/4""")</f>
        <v>TUBO SCHEDULLE 40 - 1/4"</v>
      </c>
      <c r="C101" s="22">
        <f ca="1">IFERROR(__xludf.DUMMYFUNCTION("""COMPUTED_VALUE"""),46.37)</f>
        <v>46.37</v>
      </c>
    </row>
    <row r="102" spans="1:3" x14ac:dyDescent="0.2">
      <c r="A102" s="4">
        <f ca="1">IFERROR(__xludf.DUMMYFUNCTION("""COMPUTED_VALUE"""),135021)</f>
        <v>135021</v>
      </c>
      <c r="B102" s="4" t="str">
        <f ca="1">IFERROR(__xludf.DUMMYFUNCTION("""COMPUTED_VALUE"""),"PINO DE 1 ROSCA DE 5/16X140mm.")</f>
        <v>PINO DE 1 ROSCA DE 5/16X140mm.</v>
      </c>
      <c r="C102" s="22">
        <f ca="1">IFERROR(__xludf.DUMMYFUNCTION("""COMPUTED_VALUE"""),0.31)</f>
        <v>0.31</v>
      </c>
    </row>
    <row r="103" spans="1:3" x14ac:dyDescent="0.2">
      <c r="A103" s="4">
        <f ca="1">IFERROR(__xludf.DUMMYFUNCTION("""COMPUTED_VALUE"""),200289)</f>
        <v>200289</v>
      </c>
      <c r="B103" s="4" t="str">
        <f ca="1">IFERROR(__xludf.DUMMYFUNCTION("""COMPUTED_VALUE"""),"KIT MULTI-FLEX COMPLETO GBAMUM 220 BOMBA AUTOESCOVANTE")</f>
        <v>KIT MULTI-FLEX COMPLETO GBAMUM 220 BOMBA AUTOESCOVANTE</v>
      </c>
      <c r="C103" s="22">
        <f ca="1">IFERROR(__xludf.DUMMYFUNCTION("""COMPUTED_VALUE"""),5805.91)</f>
        <v>5805.91</v>
      </c>
    </row>
    <row r="104" spans="1:3" x14ac:dyDescent="0.2">
      <c r="A104" s="4">
        <f ca="1">IFERROR(__xludf.DUMMYFUNCTION("""COMPUTED_VALUE"""),212091)</f>
        <v>212091</v>
      </c>
      <c r="B104" s="4" t="str">
        <f ca="1">IFERROR(__xludf.DUMMYFUNCTION("""COMPUTED_VALUE"""),"ARRUELA LISA 3/8"" ZB CHAPA 1/8""")</f>
        <v>ARRUELA LISA 3/8" ZB CHAPA 1/8"</v>
      </c>
      <c r="C104" s="22">
        <f ca="1">IFERROR(__xludf.DUMMYFUNCTION("""COMPUTED_VALUE"""),0.26)</f>
        <v>0.26</v>
      </c>
    </row>
    <row r="105" spans="1:3" x14ac:dyDescent="0.2">
      <c r="A105" s="4">
        <f ca="1">IFERROR(__xludf.DUMMYFUNCTION("""COMPUTED_VALUE"""),212092)</f>
        <v>212092</v>
      </c>
      <c r="B105" s="4" t="str">
        <f ca="1">IFERROR(__xludf.DUMMYFUNCTION("""COMPUTED_VALUE"""),"ARRUELA LISA 1/2"" CHAPA 1/8"" ZB OU ZA")</f>
        <v>ARRUELA LISA 1/2" CHAPA 1/8" ZB OU ZA</v>
      </c>
      <c r="C105" s="22">
        <f ca="1">IFERROR(__xludf.DUMMYFUNCTION("""COMPUTED_VALUE"""),0.46)</f>
        <v>0.46</v>
      </c>
    </row>
    <row r="106" spans="1:3" x14ac:dyDescent="0.2">
      <c r="A106" s="4">
        <f ca="1">IFERROR(__xludf.DUMMYFUNCTION("""COMPUTED_VALUE"""),212093)</f>
        <v>212093</v>
      </c>
      <c r="B106" s="4" t="str">
        <f ca="1">IFERROR(__xludf.DUMMYFUNCTION("""COMPUTED_VALUE"""),"ARRUELA LISA 3/4"" CHAPA 3/16""")</f>
        <v>ARRUELA LISA 3/4" CHAPA 3/16"</v>
      </c>
      <c r="C106" s="22">
        <f ca="1">IFERROR(__xludf.DUMMYFUNCTION("""COMPUTED_VALUE"""),0.98)</f>
        <v>0.98</v>
      </c>
    </row>
    <row r="107" spans="1:3" x14ac:dyDescent="0.2">
      <c r="A107" s="4">
        <f ca="1">IFERROR(__xludf.DUMMYFUNCTION("""COMPUTED_VALUE"""),212095)</f>
        <v>212095</v>
      </c>
      <c r="B107" s="4" t="str">
        <f ca="1">IFERROR(__xludf.DUMMYFUNCTION("""COMPUTED_VALUE"""),"ARRUELA LISA 1""")</f>
        <v>ARRUELA LISA 1"</v>
      </c>
      <c r="C107" s="22">
        <f ca="1">IFERROR(__xludf.DUMMYFUNCTION("""COMPUTED_VALUE"""),1.51)</f>
        <v>1.51</v>
      </c>
    </row>
    <row r="108" spans="1:3" x14ac:dyDescent="0.2">
      <c r="A108" s="4">
        <f ca="1">IFERROR(__xludf.DUMMYFUNCTION("""COMPUTED_VALUE"""),212096)</f>
        <v>212096</v>
      </c>
      <c r="B108" s="4" t="str">
        <f ca="1">IFERROR(__xludf.DUMMYFUNCTION("""COMPUTED_VALUE"""),"ARRUELA LISA ZB 5/16"" EXP. 1,5 MM")</f>
        <v>ARRUELA LISA ZB 5/16" EXP. 1,5 MM</v>
      </c>
      <c r="C108" s="22">
        <f ca="1">IFERROR(__xludf.DUMMYFUNCTION("""COMPUTED_VALUE"""),0.23)</f>
        <v>0.23</v>
      </c>
    </row>
    <row r="109" spans="1:3" x14ac:dyDescent="0.2">
      <c r="A109" s="4">
        <f ca="1">IFERROR(__xludf.DUMMYFUNCTION("""COMPUTED_VALUE"""),212097)</f>
        <v>212097</v>
      </c>
      <c r="B109" s="4" t="str">
        <f ca="1">IFERROR(__xludf.DUMMYFUNCTION("""COMPUTED_VALUE"""),"ARRUELA LISA 5/8"" GALV # 1/8""")</f>
        <v>ARRUELA LISA 5/8" GALV # 1/8"</v>
      </c>
      <c r="C109" s="22">
        <f ca="1">IFERROR(__xludf.DUMMYFUNCTION("""COMPUTED_VALUE"""),0.66)</f>
        <v>0.66</v>
      </c>
    </row>
    <row r="110" spans="1:3" x14ac:dyDescent="0.2">
      <c r="A110" s="4">
        <f ca="1">IFERROR(__xludf.DUMMYFUNCTION("""COMPUTED_VALUE"""),212099)</f>
        <v>212099</v>
      </c>
      <c r="B110" s="4" t="str">
        <f ca="1">IFERROR(__xludf.DUMMYFUNCTION("""COMPUTED_VALUE"""),"ARRUELA LISA 1/2"" ZB CHANFRA. # 1/8""")</f>
        <v>ARRUELA LISA 1/2" ZB CHANFRA. # 1/8"</v>
      </c>
      <c r="C110" s="22">
        <f ca="1">IFERROR(__xludf.DUMMYFUNCTION("""COMPUTED_VALUE"""),0.76)</f>
        <v>0.76</v>
      </c>
    </row>
    <row r="111" spans="1:3" x14ac:dyDescent="0.2">
      <c r="A111" s="4">
        <f ca="1">IFERROR(__xludf.DUMMYFUNCTION("""COMPUTED_VALUE"""),212100)</f>
        <v>212100</v>
      </c>
      <c r="B111" s="4" t="str">
        <f ca="1">IFERROR(__xludf.DUMMYFUNCTION("""COMPUTED_VALUE"""),"ARRUELA LISA 1/8 GALV")</f>
        <v>ARRUELA LISA 1/8 GALV</v>
      </c>
      <c r="C111" s="22">
        <f ca="1">IFERROR(__xludf.DUMMYFUNCTION("""COMPUTED_VALUE"""),0.02)</f>
        <v>0.02</v>
      </c>
    </row>
    <row r="112" spans="1:3" x14ac:dyDescent="0.2">
      <c r="A112" s="4">
        <f ca="1">IFERROR(__xludf.DUMMYFUNCTION("""COMPUTED_VALUE"""),212258)</f>
        <v>212258</v>
      </c>
      <c r="B112" s="4" t="str">
        <f ca="1">IFERROR(__xludf.DUMMYFUNCTION("""COMPUTED_VALUE"""),"ARR. DE PRES. MÉDIA - ZB 3/4""")</f>
        <v>ARR. DE PRES. MÉDIA - ZB 3/4"</v>
      </c>
      <c r="C112" s="22">
        <f ca="1">IFERROR(__xludf.DUMMYFUNCTION("""COMPUTED_VALUE"""),0.36)</f>
        <v>0.36</v>
      </c>
    </row>
    <row r="113" spans="1:3" x14ac:dyDescent="0.2">
      <c r="A113" s="4">
        <f ca="1">IFERROR(__xludf.DUMMYFUNCTION("""COMPUTED_VALUE"""),212300)</f>
        <v>212300</v>
      </c>
      <c r="B113" s="4" t="str">
        <f ca="1">IFERROR(__xludf.DUMMYFUNCTION("""COMPUTED_VALUE"""),"ARRUELA LISA 27MM POL. CHAPA 3/16""")</f>
        <v>ARRUELA LISA 27MM POL. CHAPA 3/16"</v>
      </c>
      <c r="C113" s="22">
        <f ca="1">IFERROR(__xludf.DUMMYFUNCTION("""COMPUTED_VALUE"""),1.36)</f>
        <v>1.36</v>
      </c>
    </row>
    <row r="114" spans="1:3" x14ac:dyDescent="0.2">
      <c r="A114" s="4">
        <f ca="1">IFERROR(__xludf.DUMMYFUNCTION("""COMPUTED_VALUE"""),212301)</f>
        <v>212301</v>
      </c>
      <c r="B114" s="4" t="str">
        <f ca="1">IFERROR(__xludf.DUMMYFUNCTION("""COMPUTED_VALUE"""),"ARR. DE PRES. MÉDIA - ZB 1/2""")</f>
        <v>ARR. DE PRES. MÉDIA - ZB 1/2"</v>
      </c>
      <c r="C114" s="22">
        <f ca="1">IFERROR(__xludf.DUMMYFUNCTION("""COMPUTED_VALUE"""),0.12)</f>
        <v>0.12</v>
      </c>
    </row>
    <row r="115" spans="1:3" x14ac:dyDescent="0.2">
      <c r="A115" s="4">
        <f ca="1">IFERROR(__xludf.DUMMYFUNCTION("""COMPUTED_VALUE"""),212350)</f>
        <v>212350</v>
      </c>
      <c r="B115" s="4" t="str">
        <f ca="1">IFERROR(__xludf.DUMMYFUNCTION("""COMPUTED_VALUE"""),"ARR. DE PRES. MÉDIA - ZB 5/16""")</f>
        <v>ARR. DE PRES. MÉDIA - ZB 5/16"</v>
      </c>
      <c r="C115" s="22">
        <f ca="1">IFERROR(__xludf.DUMMYFUNCTION("""COMPUTED_VALUE"""),0.1)</f>
        <v>0.1</v>
      </c>
    </row>
    <row r="116" spans="1:3" x14ac:dyDescent="0.2">
      <c r="A116" s="4">
        <f ca="1">IFERROR(__xludf.DUMMYFUNCTION("""COMPUTED_VALUE"""),212404)</f>
        <v>212404</v>
      </c>
      <c r="B116" s="4" t="str">
        <f ca="1">IFERROR(__xludf.DUMMYFUNCTION("""COMPUTED_VALUE"""),"ARR. DE PRES. MÉDIA - ZB 5/8""")</f>
        <v>ARR. DE PRES. MÉDIA - ZB 5/8"</v>
      </c>
      <c r="C116" s="22">
        <f ca="1">IFERROR(__xludf.DUMMYFUNCTION("""COMPUTED_VALUE"""),0.23)</f>
        <v>0.23</v>
      </c>
    </row>
    <row r="117" spans="1:3" x14ac:dyDescent="0.2">
      <c r="A117" s="4">
        <f ca="1">IFERROR(__xludf.DUMMYFUNCTION("""COMPUTED_VALUE"""),212507)</f>
        <v>212507</v>
      </c>
      <c r="B117" s="4" t="str">
        <f ca="1">IFERROR(__xludf.DUMMYFUNCTION("""COMPUTED_VALUE"""),"ARR. DE PRES. MÉDIA - ZB 1/4""")</f>
        <v>ARR. DE PRES. MÉDIA - ZB 1/4"</v>
      </c>
      <c r="C117" s="22">
        <f ca="1">IFERROR(__xludf.DUMMYFUNCTION("""COMPUTED_VALUE"""),0.04)</f>
        <v>0.04</v>
      </c>
    </row>
    <row r="118" spans="1:3" x14ac:dyDescent="0.2">
      <c r="A118" s="4">
        <f ca="1">IFERROR(__xludf.DUMMYFUNCTION("""COMPUTED_VALUE"""),212600)</f>
        <v>212600</v>
      </c>
      <c r="B118" s="4" t="str">
        <f ca="1">IFERROR(__xludf.DUMMYFUNCTION("""COMPUTED_VALUE"""),"ARR. DE PRES. MÉDIA - ZB 3/8""")</f>
        <v>ARR. DE PRES. MÉDIA - ZB 3/8"</v>
      </c>
      <c r="C118" s="22">
        <f ca="1">IFERROR(__xludf.DUMMYFUNCTION("""COMPUTED_VALUE"""),0.06)</f>
        <v>0.06</v>
      </c>
    </row>
    <row r="119" spans="1:3" x14ac:dyDescent="0.2">
      <c r="A119" s="4">
        <f ca="1">IFERROR(__xludf.DUMMYFUNCTION("""COMPUTED_VALUE"""),213355)</f>
        <v>213355</v>
      </c>
      <c r="B119" s="4" t="str">
        <f ca="1">IFERROR(__xludf.DUMMYFUNCTION("""COMPUTED_VALUE"""),"COTOVELO 90° FG 2""")</f>
        <v>COTOVELO 90° FG 2"</v>
      </c>
      <c r="C119" s="22">
        <f ca="1">IFERROR(__xludf.DUMMYFUNCTION("""COMPUTED_VALUE"""),34.38)</f>
        <v>34.380000000000003</v>
      </c>
    </row>
    <row r="120" spans="1:3" x14ac:dyDescent="0.2">
      <c r="A120" s="4">
        <f ca="1">IFERROR(__xludf.DUMMYFUNCTION("""COMPUTED_VALUE"""),213356)</f>
        <v>213356</v>
      </c>
      <c r="B120" s="4" t="str">
        <f ca="1">IFERROR(__xludf.DUMMYFUNCTION("""COMPUTED_VALUE"""),"ADAPTADOR SIMPLES RANHURA DUPLA 2""")</f>
        <v>ADAPTADOR SIMPLES RANHURA DUPLA 2"</v>
      </c>
      <c r="C120" s="22">
        <f ca="1">IFERROR(__xludf.DUMMYFUNCTION("""COMPUTED_VALUE"""),24.05)</f>
        <v>24.05</v>
      </c>
    </row>
    <row r="121" spans="1:3" x14ac:dyDescent="0.2">
      <c r="A121" s="4">
        <f ca="1">IFERROR(__xludf.DUMMYFUNCTION("""COMPUTED_VALUE"""),213602)</f>
        <v>213602</v>
      </c>
      <c r="B121" s="4" t="str">
        <f ca="1">IFERROR(__xludf.DUMMYFUNCTION("""COMPUTED_VALUE"""),"ABRACADEIRA P/ MANGOTE MS 5462")</f>
        <v>ABRACADEIRA P/ MANGOTE MS 5462</v>
      </c>
      <c r="C121" s="22">
        <f ca="1">IFERROR(__xludf.DUMMYFUNCTION("""COMPUTED_VALUE"""),13.52)</f>
        <v>13.52</v>
      </c>
    </row>
    <row r="122" spans="1:3" x14ac:dyDescent="0.2">
      <c r="A122" s="4">
        <f ca="1">IFERROR(__xludf.DUMMYFUNCTION("""COMPUTED_VALUE"""),214104)</f>
        <v>214104</v>
      </c>
      <c r="B122" s="4" t="str">
        <f ca="1">IFERROR(__xludf.DUMMYFUNCTION("""COMPUTED_VALUE"""),"RODA 6 FUROS RS (PARAF. 1/2)")</f>
        <v>RODA 6 FUROS RS (PARAF. 1/2)</v>
      </c>
      <c r="C122" s="22">
        <f ca="1">IFERROR(__xludf.DUMMYFUNCTION("""COMPUTED_VALUE"""),191.94)</f>
        <v>191.94</v>
      </c>
    </row>
    <row r="123" spans="1:3" x14ac:dyDescent="0.2">
      <c r="A123" s="4">
        <f ca="1">IFERROR(__xludf.DUMMYFUNCTION("""COMPUTED_VALUE"""),214105)</f>
        <v>214105</v>
      </c>
      <c r="B123" s="4" t="str">
        <f ca="1">IFERROR(__xludf.DUMMYFUNCTION("""COMPUTED_VALUE"""),"RODA 6 FUROS RD (PARAF. 5/8)")</f>
        <v>RODA 6 FUROS RD (PARAF. 5/8)</v>
      </c>
      <c r="C123" s="22">
        <f ca="1">IFERROR(__xludf.DUMMYFUNCTION("""COMPUTED_VALUE"""),274.99)</f>
        <v>274.99</v>
      </c>
    </row>
    <row r="124" spans="1:3" x14ac:dyDescent="0.2">
      <c r="A124" s="4">
        <f ca="1">IFERROR(__xludf.DUMMYFUNCTION("""COMPUTED_VALUE"""),214107)</f>
        <v>214107</v>
      </c>
      <c r="B124" s="4" t="str">
        <f ca="1">IFERROR(__xludf.DUMMYFUNCTION("""COMPUTED_VALUE"""),"RODA 6 FUROS ARO 13 RB-2721/13502S")</f>
        <v>RODA 6 FUROS ARO 13 RB-2721/13502S</v>
      </c>
      <c r="C124" s="22">
        <f ca="1">IFERROR(__xludf.DUMMYFUNCTION("""COMPUTED_VALUE"""),132.75)</f>
        <v>132.75</v>
      </c>
    </row>
    <row r="125" spans="1:3" x14ac:dyDescent="0.2">
      <c r="A125" s="4">
        <f ca="1">IFERROR(__xludf.DUMMYFUNCTION("""COMPUTED_VALUE"""),214108)</f>
        <v>214108</v>
      </c>
      <c r="B125" s="4" t="str">
        <f ca="1">IFERROR(__xludf.DUMMYFUNCTION("""COMPUTED_VALUE"""),"RODA 6 FUROS TANDEM (PARAF. 5/8)")</f>
        <v>RODA 6 FUROS TANDEM (PARAF. 5/8)</v>
      </c>
      <c r="C125" s="22">
        <f ca="1">IFERROR(__xludf.DUMMYFUNCTION("""COMPUTED_VALUE"""),202)</f>
        <v>202</v>
      </c>
    </row>
    <row r="126" spans="1:3" x14ac:dyDescent="0.2">
      <c r="A126" s="4">
        <f ca="1">IFERROR(__xludf.DUMMYFUNCTION("""COMPUTED_VALUE"""),216537)</f>
        <v>216537</v>
      </c>
      <c r="B126" s="4" t="str">
        <f ca="1">IFERROR(__xludf.DUMMYFUNCTION("""COMPUTED_VALUE"""),"BORRACHA VEDAÇÃO CÓD. 84601-01")</f>
        <v>BORRACHA VEDAÇÃO CÓD. 84601-01</v>
      </c>
      <c r="C126" s="22">
        <f ca="1">IFERROR(__xludf.DUMMYFUNCTION("""COMPUTED_VALUE"""),6.82)</f>
        <v>6.82</v>
      </c>
    </row>
    <row r="127" spans="1:3" x14ac:dyDescent="0.2">
      <c r="A127" s="4">
        <f ca="1">IFERROR(__xludf.DUMMYFUNCTION("""COMPUTED_VALUE"""),218454)</f>
        <v>218454</v>
      </c>
      <c r="B127" s="4" t="str">
        <f ca="1">IFERROR(__xludf.DUMMYFUNCTION("""COMPUTED_VALUE"""),"CAMARA AR 600X16 (16"" L360)")</f>
        <v>CAMARA AR 600X16 (16" L360)</v>
      </c>
      <c r="C127" s="22">
        <f ca="1">IFERROR(__xludf.DUMMYFUNCTION("""COMPUTED_VALUE"""),43.81)</f>
        <v>43.81</v>
      </c>
    </row>
    <row r="128" spans="1:3" x14ac:dyDescent="0.2">
      <c r="A128" s="4">
        <f ca="1">IFERROR(__xludf.DUMMYFUNCTION("""COMPUTED_VALUE"""),218455)</f>
        <v>218455</v>
      </c>
      <c r="B128" s="4" t="str">
        <f ca="1">IFERROR(__xludf.DUMMYFUNCTION("""COMPUTED_VALUE"""),"CAMARA AR 750X16 (16"" L430)")</f>
        <v>CAMARA AR 750X16 (16" L430)</v>
      </c>
      <c r="C128" s="22">
        <f ca="1">IFERROR(__xludf.DUMMYFUNCTION("""COMPUTED_VALUE"""),44.05)</f>
        <v>44.05</v>
      </c>
    </row>
    <row r="129" spans="1:3" x14ac:dyDescent="0.2">
      <c r="A129" s="4">
        <f ca="1">IFERROR(__xludf.DUMMYFUNCTION("""COMPUTED_VALUE"""),218467)</f>
        <v>218467</v>
      </c>
      <c r="B129" s="4" t="str">
        <f ca="1">IFERROR(__xludf.DUMMYFUNCTION("""COMPUTED_VALUE"""),"PNEU 750X16 10 LONAS")</f>
        <v>PNEU 750X16 10 LONAS</v>
      </c>
      <c r="C129" s="22">
        <f ca="1">IFERROR(__xludf.DUMMYFUNCTION("""COMPUTED_VALUE"""),424.38)</f>
        <v>424.38</v>
      </c>
    </row>
    <row r="130" spans="1:3" x14ac:dyDescent="0.2">
      <c r="A130" s="4">
        <f ca="1">IFERROR(__xludf.DUMMYFUNCTION("""COMPUTED_VALUE"""),222058)</f>
        <v>222058</v>
      </c>
      <c r="B130" s="4" t="str">
        <f ca="1">IFERROR(__xludf.DUMMYFUNCTION("""COMPUTED_VALUE"""),"GRAMPO 1/2""x55x155-B P/ FXS.")</f>
        <v>GRAMPO 1/2"x55x155-B P/ FXS.</v>
      </c>
      <c r="C130" s="22">
        <f ca="1">IFERROR(__xludf.DUMMYFUNCTION("""COMPUTED_VALUE"""),3.04)</f>
        <v>3.04</v>
      </c>
    </row>
    <row r="131" spans="1:3" x14ac:dyDescent="0.2">
      <c r="A131" s="4">
        <f ca="1">IFERROR(__xludf.DUMMYFUNCTION("""COMPUTED_VALUE"""),222100)</f>
        <v>222100</v>
      </c>
      <c r="B131" s="4" t="str">
        <f ca="1">IFERROR(__xludf.DUMMYFUNCTION("""COMPUTED_VALUE"""),"CONTRA PINO 5/32 X 1.1/2")</f>
        <v>CONTRA PINO 5/32 X 1.1/2</v>
      </c>
      <c r="C131" s="22">
        <f ca="1">IFERROR(__xludf.DUMMYFUNCTION("""COMPUTED_VALUE"""),0.08)</f>
        <v>0.08</v>
      </c>
    </row>
    <row r="132" spans="1:3" x14ac:dyDescent="0.2">
      <c r="A132" s="4">
        <f ca="1">IFERROR(__xludf.DUMMYFUNCTION("""COMPUTED_VALUE"""),222148)</f>
        <v>222148</v>
      </c>
      <c r="B132" s="4" t="str">
        <f ca="1">IFERROR(__xludf.DUMMYFUNCTION("""COMPUTED_VALUE"""),"CONTRA PINO 3/16 X 1.1/2")</f>
        <v>CONTRA PINO 3/16 X 1.1/2</v>
      </c>
      <c r="C132" s="22">
        <f ca="1">IFERROR(__xludf.DUMMYFUNCTION("""COMPUTED_VALUE"""),0.2)</f>
        <v>0.2</v>
      </c>
    </row>
    <row r="133" spans="1:3" x14ac:dyDescent="0.2">
      <c r="A133" s="4">
        <f ca="1">IFERROR(__xludf.DUMMYFUNCTION("""COMPUTED_VALUE"""),222150)</f>
        <v>222150</v>
      </c>
      <c r="B133" s="4" t="str">
        <f ca="1">IFERROR(__xludf.DUMMYFUNCTION("""COMPUTED_VALUE"""),"CONTRA PINO 1/4 X 2.1/2")</f>
        <v>CONTRA PINO 1/4 X 2.1/2</v>
      </c>
      <c r="C133" s="22">
        <f ca="1">IFERROR(__xludf.DUMMYFUNCTION("""COMPUTED_VALUE"""),1.19)</f>
        <v>1.19</v>
      </c>
    </row>
    <row r="134" spans="1:3" x14ac:dyDescent="0.2">
      <c r="A134" s="4">
        <f ca="1">IFERROR(__xludf.DUMMYFUNCTION("""COMPUTED_VALUE"""),222185)</f>
        <v>222185</v>
      </c>
      <c r="B134" s="4" t="str">
        <f ca="1">IFERROR(__xludf.DUMMYFUNCTION("""COMPUTED_VALUE"""),"PINO TRAVA C/ ARG. 3/8"" X 2"" - ZA.")</f>
        <v>PINO TRAVA C/ ARG. 3/8" X 2" - ZA.</v>
      </c>
      <c r="C134" s="22">
        <f ca="1">IFERROR(__xludf.DUMMYFUNCTION("""COMPUTED_VALUE"""),2.04)</f>
        <v>2.04</v>
      </c>
    </row>
    <row r="135" spans="1:3" x14ac:dyDescent="0.2">
      <c r="A135" s="4">
        <f ca="1">IFERROR(__xludf.DUMMYFUNCTION("""COMPUTED_VALUE"""),222197)</f>
        <v>222197</v>
      </c>
      <c r="B135" s="4" t="str">
        <f ca="1">IFERROR(__xludf.DUMMYFUNCTION("""COMPUTED_VALUE"""),"CONTRA PINO 1/8 X 1")</f>
        <v>CONTRA PINO 1/8 X 1</v>
      </c>
      <c r="C135" s="22">
        <f ca="1">IFERROR(__xludf.DUMMYFUNCTION("""COMPUTED_VALUE"""),0.61)</f>
        <v>0.61</v>
      </c>
    </row>
    <row r="136" spans="1:3" x14ac:dyDescent="0.2">
      <c r="A136" s="4">
        <f ca="1">IFERROR(__xludf.DUMMYFUNCTION("""COMPUTED_VALUE"""),222252)</f>
        <v>222252</v>
      </c>
      <c r="B136" s="4" t="str">
        <f ca="1">IFERROR(__xludf.DUMMYFUNCTION("""COMPUTED_VALUE"""),"CONTRA PINO 3/16 X 2")</f>
        <v>CONTRA PINO 3/16 X 2</v>
      </c>
      <c r="C136" s="22">
        <f ca="1">IFERROR(__xludf.DUMMYFUNCTION("""COMPUTED_VALUE"""),0.68)</f>
        <v>0.68</v>
      </c>
    </row>
    <row r="137" spans="1:3" x14ac:dyDescent="0.2">
      <c r="A137" s="4">
        <f ca="1">IFERROR(__xludf.DUMMYFUNCTION("""COMPUTED_VALUE"""),222326)</f>
        <v>222326</v>
      </c>
      <c r="B137" s="4" t="str">
        <f ca="1">IFERROR(__xludf.DUMMYFUNCTION("""COMPUTED_VALUE"""),"PINO ELÁSTICO 4 X 26MM")</f>
        <v>PINO ELÁSTICO 4 X 26MM</v>
      </c>
      <c r="C137" s="22">
        <f ca="1">IFERROR(__xludf.DUMMYFUNCTION("""COMPUTED_VALUE"""),0.1)</f>
        <v>0.1</v>
      </c>
    </row>
    <row r="138" spans="1:3" x14ac:dyDescent="0.2">
      <c r="A138" s="4">
        <f ca="1">IFERROR(__xludf.DUMMYFUNCTION("""COMPUTED_VALUE"""),222356)</f>
        <v>222356</v>
      </c>
      <c r="B138" s="4" t="str">
        <f ca="1">IFERROR(__xludf.DUMMYFUNCTION("""COMPUTED_VALUE"""),"GRAMPO R 4,5 X 80 ZB")</f>
        <v>GRAMPO R 4,5 X 80 ZB</v>
      </c>
      <c r="C138" s="22">
        <f ca="1">IFERROR(__xludf.DUMMYFUNCTION("""COMPUTED_VALUE"""),1.12)</f>
        <v>1.1200000000000001</v>
      </c>
    </row>
    <row r="139" spans="1:3" x14ac:dyDescent="0.2">
      <c r="A139" s="4">
        <f ca="1">IFERROR(__xludf.DUMMYFUNCTION("""COMPUTED_VALUE"""),222401)</f>
        <v>222401</v>
      </c>
      <c r="B139" s="4" t="str">
        <f ca="1">IFERROR(__xludf.DUMMYFUNCTION("""COMPUTED_VALUE"""),"CUBO RODA F. FUND. NOD. GGG-50"" F6")</f>
        <v>CUBO RODA F. FUND. NOD. GGG-50" F6</v>
      </c>
      <c r="C139" s="22">
        <f ca="1">IFERROR(__xludf.DUMMYFUNCTION("""COMPUTED_VALUE"""),113.15)</f>
        <v>113.15</v>
      </c>
    </row>
    <row r="140" spans="1:3" x14ac:dyDescent="0.2">
      <c r="A140" s="4">
        <f ca="1">IFERROR(__xludf.DUMMYFUNCTION("""COMPUTED_VALUE"""),222402)</f>
        <v>222402</v>
      </c>
      <c r="B140" s="4" t="str">
        <f ca="1">IFERROR(__xludf.DUMMYFUNCTION("""COMPUTED_VALUE"""),"CUBO RODA F. FUND. NOD. GGG-50"" FA4/CBHM")</f>
        <v>CUBO RODA F. FUND. NOD. GGG-50" FA4/CBHM</v>
      </c>
      <c r="C140" s="22">
        <f ca="1">IFERROR(__xludf.DUMMYFUNCTION("""COMPUTED_VALUE"""),123.93)</f>
        <v>123.93</v>
      </c>
    </row>
    <row r="141" spans="1:3" x14ac:dyDescent="0.2">
      <c r="A141" s="4">
        <f ca="1">IFERROR(__xludf.DUMMYFUNCTION("""COMPUTED_VALUE"""),222404)</f>
        <v>222404</v>
      </c>
      <c r="B141" s="4" t="str">
        <f ca="1">IFERROR(__xludf.DUMMYFUNCTION("""COMPUTED_VALUE"""),"CUBO RODA F. FUND. NOD. GGG-50"" CBHM 6000")</f>
        <v>CUBO RODA F. FUND. NOD. GGG-50" CBHM 6000</v>
      </c>
      <c r="C141" s="22">
        <f ca="1">IFERROR(__xludf.DUMMYFUNCTION("""COMPUTED_VALUE"""),77.71)</f>
        <v>77.709999999999994</v>
      </c>
    </row>
    <row r="142" spans="1:3" x14ac:dyDescent="0.2">
      <c r="A142" s="4">
        <f ca="1">IFERROR(__xludf.DUMMYFUNCTION("""COMPUTED_VALUE"""),222405)</f>
        <v>222405</v>
      </c>
      <c r="B142" s="4" t="str">
        <f ca="1">IFERROR(__xludf.DUMMYFUNCTION("""COMPUTED_VALUE"""),"CUBO RODA F. FUND. NOD. GGG-50"" F4")</f>
        <v>CUBO RODA F. FUND. NOD. GGG-50" F4</v>
      </c>
      <c r="C142" s="22">
        <f ca="1">IFERROR(__xludf.DUMMYFUNCTION("""COMPUTED_VALUE"""),113.15)</f>
        <v>113.15</v>
      </c>
    </row>
    <row r="143" spans="1:3" x14ac:dyDescent="0.2">
      <c r="A143" s="4">
        <f ca="1">IFERROR(__xludf.DUMMYFUNCTION("""COMPUTED_VALUE"""),222859)</f>
        <v>222859</v>
      </c>
      <c r="B143" s="4" t="str">
        <f ca="1">IFERROR(__xludf.DUMMYFUNCTION("""COMPUTED_VALUE"""),"CONTRA PINO 3/16 X 3")</f>
        <v>CONTRA PINO 3/16 X 3</v>
      </c>
      <c r="C143" s="22">
        <f ca="1">IFERROR(__xludf.DUMMYFUNCTION("""COMPUTED_VALUE"""),0.26)</f>
        <v>0.26</v>
      </c>
    </row>
    <row r="144" spans="1:3" x14ac:dyDescent="0.2">
      <c r="A144" s="4">
        <f ca="1">IFERROR(__xludf.DUMMYFUNCTION("""COMPUTED_VALUE"""),226105)</f>
        <v>226105</v>
      </c>
      <c r="B144" s="4" t="str">
        <f ca="1">IFERROR(__xludf.DUMMYFUNCTION("""COMPUTED_VALUE"""),"CORRENTE ELO 3/16 F. POLIDO")</f>
        <v>CORRENTE ELO 3/16 F. POLIDO</v>
      </c>
      <c r="C144" s="22">
        <f ca="1">IFERROR(__xludf.DUMMYFUNCTION("""COMPUTED_VALUE"""),13.34)</f>
        <v>13.34</v>
      </c>
    </row>
    <row r="145" spans="1:3" x14ac:dyDescent="0.2">
      <c r="A145" s="4">
        <f ca="1">IFERROR(__xludf.DUMMYFUNCTION("""COMPUTED_VALUE"""),232300)</f>
        <v>232300</v>
      </c>
      <c r="B145" s="4" t="str">
        <f ca="1">IFERROR(__xludf.DUMMYFUNCTION("""COMPUTED_VALUE"""),"GRAMPO P/ CABO DE ACO 3/16""")</f>
        <v>GRAMPO P/ CABO DE ACO 3/16"</v>
      </c>
      <c r="C145" s="22">
        <f ca="1">IFERROR(__xludf.DUMMYFUNCTION("""COMPUTED_VALUE"""),0.46)</f>
        <v>0.46</v>
      </c>
    </row>
    <row r="146" spans="1:3" x14ac:dyDescent="0.2">
      <c r="A146" s="4">
        <f ca="1">IFERROR(__xludf.DUMMYFUNCTION("""COMPUTED_VALUE"""),234205)</f>
        <v>234205</v>
      </c>
      <c r="B146" s="4" t="str">
        <f ca="1">IFERROR(__xludf.DUMMYFUNCTION("""COMPUTED_VALUE"""),"GRAXEIRO 1/4 UNF RETO")</f>
        <v>GRAXEIRO 1/4 UNF RETO</v>
      </c>
      <c r="C146" s="22">
        <f ca="1">IFERROR(__xludf.DUMMYFUNCTION("""COMPUTED_VALUE"""),0.25)</f>
        <v>0.25</v>
      </c>
    </row>
    <row r="147" spans="1:3" x14ac:dyDescent="0.2">
      <c r="A147" s="4">
        <f ca="1">IFERROR(__xludf.DUMMYFUNCTION("""COMPUTED_VALUE"""),238260)</f>
        <v>238260</v>
      </c>
      <c r="B147" s="4" t="str">
        <f ca="1">IFERROR(__xludf.DUMMYFUNCTION("""COMPUTED_VALUE"""),"MOLA TRAVA IÇAM. FA/FP/C")</f>
        <v>MOLA TRAVA IÇAM. FA/FP/C</v>
      </c>
      <c r="C147" s="22">
        <f ca="1">IFERROR(__xludf.DUMMYFUNCTION("""COMPUTED_VALUE"""),1.76)</f>
        <v>1.76</v>
      </c>
    </row>
    <row r="148" spans="1:3" x14ac:dyDescent="0.2">
      <c r="A148" s="4">
        <f ca="1">IFERROR(__xludf.DUMMYFUNCTION("""COMPUTED_VALUE"""),238405)</f>
        <v>238405</v>
      </c>
      <c r="B148" s="4" t="str">
        <f ca="1">IFERROR(__xludf.DUMMYFUNCTION("""COMPUTED_VALUE"""),"MOLA DA TRAVA DA CBHM")</f>
        <v>MOLA DA TRAVA DA CBHM</v>
      </c>
      <c r="C148" s="22">
        <f ca="1">IFERROR(__xludf.DUMMYFUNCTION("""COMPUTED_VALUE"""),1.78)</f>
        <v>1.78</v>
      </c>
    </row>
    <row r="149" spans="1:3" x14ac:dyDescent="0.2">
      <c r="A149" s="4">
        <f ca="1">IFERROR(__xludf.DUMMYFUNCTION("""COMPUTED_VALUE"""),238406)</f>
        <v>238406</v>
      </c>
      <c r="B149" s="4" t="str">
        <f ca="1">IFERROR(__xludf.DUMMYFUNCTION("""COMPUTED_VALUE"""),"MOLA - COMPL GUIA DO ÊMBOLO - CARR MELÃO 025086")</f>
        <v>MOLA - COMPL GUIA DO ÊMBOLO - CARR MELÃO 025086</v>
      </c>
      <c r="C149" s="22">
        <f ca="1">IFERROR(__xludf.DUMMYFUNCTION("""COMPUTED_VALUE"""),68.56)</f>
        <v>68.56</v>
      </c>
    </row>
    <row r="150" spans="1:3" x14ac:dyDescent="0.2">
      <c r="A150" s="4">
        <f ca="1">IFERROR(__xludf.DUMMYFUNCTION("""COMPUTED_VALUE"""),240084)</f>
        <v>240084</v>
      </c>
      <c r="B150" s="4" t="str">
        <f ca="1">IFERROR(__xludf.DUMMYFUNCTION("""COMPUTED_VALUE"""),"TEE C/PORCA ANILHA 3/4 16F UNF")</f>
        <v>TEE C/PORCA ANILHA 3/4 16F UNF</v>
      </c>
      <c r="C150" s="22">
        <f ca="1">IFERROR(__xludf.DUMMYFUNCTION("""COMPUTED_VALUE"""),34.12)</f>
        <v>34.119999999999997</v>
      </c>
    </row>
    <row r="151" spans="1:3" x14ac:dyDescent="0.2">
      <c r="A151" s="4">
        <f ca="1">IFERROR(__xludf.DUMMYFUNCTION("""COMPUTED_VALUE"""),240217)</f>
        <v>240217</v>
      </c>
      <c r="B151" s="4" t="str">
        <f ca="1">IFERROR(__xludf.DUMMYFUNCTION("""COMPUTED_VALUE"""),"MANG A/P SAE-100 3/8"" x 1400mm.")</f>
        <v>MANG A/P SAE-100 3/8" x 1400mm.</v>
      </c>
      <c r="C151" s="22">
        <f ca="1">IFERROR(__xludf.DUMMYFUNCTION("""COMPUTED_VALUE"""),37.21)</f>
        <v>37.21</v>
      </c>
    </row>
    <row r="152" spans="1:3" x14ac:dyDescent="0.2">
      <c r="A152" s="4">
        <f ca="1">IFERROR(__xludf.DUMMYFUNCTION("""COMPUTED_VALUE"""),240229)</f>
        <v>240229</v>
      </c>
      <c r="B152" s="4" t="str">
        <f ca="1">IFERROR(__xludf.DUMMYFUNCTION("""COMPUTED_VALUE"""),"MANG A/P SAE-100 3/8"" x 400mm")</f>
        <v>MANG A/P SAE-100 3/8" x 400mm</v>
      </c>
      <c r="C152" s="22">
        <f ca="1">IFERROR(__xludf.DUMMYFUNCTION("""COMPUTED_VALUE"""),19.3)</f>
        <v>19.3</v>
      </c>
    </row>
    <row r="153" spans="1:3" x14ac:dyDescent="0.2">
      <c r="A153" s="4">
        <f ca="1">IFERROR(__xludf.DUMMYFUNCTION("""COMPUTED_VALUE"""),240233)</f>
        <v>240233</v>
      </c>
      <c r="B153" s="4" t="str">
        <f ca="1">IFERROR(__xludf.DUMMYFUNCTION("""COMPUTED_VALUE"""),"MANG A/P SAE-100 3/8"" X 400 TERM. 90° JIC 3/4""FEMEA X RETO JIC 3/4"" UNF FEMEA")</f>
        <v>MANG A/P SAE-100 3/8" X 400 TERM. 90° JIC 3/4"FEMEA X RETO JIC 3/4" UNF FEMEA</v>
      </c>
      <c r="C153" s="22">
        <f ca="1">IFERROR(__xludf.DUMMYFUNCTION("""COMPUTED_VALUE"""),80.31)</f>
        <v>80.31</v>
      </c>
    </row>
    <row r="154" spans="1:3" x14ac:dyDescent="0.2">
      <c r="A154" s="4">
        <f ca="1">IFERROR(__xludf.DUMMYFUNCTION("""COMPUTED_VALUE"""),240234)</f>
        <v>240234</v>
      </c>
      <c r="B154" s="4" t="str">
        <f ca="1">IFERROR(__xludf.DUMMYFUNCTION("""COMPUTED_VALUE"""),"MANG A/P SAE-100 3/8"" X 2800 C/ TERM. RETO JIC 3/4"" UNF FEMEA")</f>
        <v>MANG A/P SAE-100 3/8" X 2800 C/ TERM. RETO JIC 3/4" UNF FEMEA</v>
      </c>
      <c r="C154" s="22">
        <f ca="1">IFERROR(__xludf.DUMMYFUNCTION("""COMPUTED_VALUE"""),62.27)</f>
        <v>62.27</v>
      </c>
    </row>
    <row r="155" spans="1:3" x14ac:dyDescent="0.2">
      <c r="A155" s="4">
        <f ca="1">IFERROR(__xludf.DUMMYFUNCTION("""COMPUTED_VALUE"""),240235)</f>
        <v>240235</v>
      </c>
      <c r="B155" s="4" t="str">
        <f ca="1">IFERROR(__xludf.DUMMYFUNCTION("""COMPUTED_VALUE"""),"MANG DE SUCÇÃO AZUL 2""")</f>
        <v>MANG DE SUCÇÃO AZUL 2"</v>
      </c>
      <c r="C155" s="22">
        <f ca="1">IFERROR(__xludf.DUMMYFUNCTION("""COMPUTED_VALUE"""),20.28)</f>
        <v>20.28</v>
      </c>
    </row>
    <row r="156" spans="1:3" x14ac:dyDescent="0.2">
      <c r="A156" s="4">
        <f ca="1">IFERROR(__xludf.DUMMYFUNCTION("""COMPUTED_VALUE"""),240461)</f>
        <v>240461</v>
      </c>
      <c r="B156" s="4" t="str">
        <f ca="1">IFERROR(__xludf.DUMMYFUNCTION("""COMPUTED_VALUE"""),"ADAPTADOR 3/4""-16 PTT-30°")</f>
        <v>ADAPTADOR 3/4"-16 PTT-30°</v>
      </c>
      <c r="C156" s="22">
        <f ca="1">IFERROR(__xludf.DUMMYFUNCTION("""COMPUTED_VALUE"""),2.62)</f>
        <v>2.62</v>
      </c>
    </row>
    <row r="157" spans="1:3" x14ac:dyDescent="0.2">
      <c r="A157" s="4">
        <f ca="1">IFERROR(__xludf.DUMMYFUNCTION("""COMPUTED_VALUE"""),240462)</f>
        <v>240462</v>
      </c>
      <c r="B157" s="4" t="str">
        <f ca="1">IFERROR(__xludf.DUMMYFUNCTION("""COMPUTED_VALUE"""),"CAPS DE VINIL DMPC 0740-1A")</f>
        <v>CAPS DE VINIL DMPC 0740-1A</v>
      </c>
      <c r="C157" s="22">
        <f ca="1">IFERROR(__xludf.DUMMYFUNCTION("""COMPUTED_VALUE"""),0.9)</f>
        <v>0.9</v>
      </c>
    </row>
    <row r="158" spans="1:3" x14ac:dyDescent="0.2">
      <c r="A158" s="4">
        <f ca="1">IFERROR(__xludf.DUMMYFUNCTION("""COMPUTED_VALUE"""),240471)</f>
        <v>240471</v>
      </c>
      <c r="B158" s="4" t="str">
        <f ca="1">IFERROR(__xludf.DUMMYFUNCTION("""COMPUTED_VALUE"""),"CILINDRO TELESCÓPICO CBH 6T 10 OC NV")</f>
        <v>CILINDRO TELESCÓPICO CBH 6T 10 OC NV</v>
      </c>
      <c r="C158" s="22">
        <f ca="1">IFERROR(__xludf.DUMMYFUNCTION("""COMPUTED_VALUE"""),1453.66)</f>
        <v>1453.66</v>
      </c>
    </row>
    <row r="159" spans="1:3" x14ac:dyDescent="0.2">
      <c r="A159" s="4">
        <f ca="1">IFERROR(__xludf.DUMMYFUNCTION("""COMPUTED_VALUE"""),240473)</f>
        <v>240473</v>
      </c>
      <c r="B159" s="4" t="str">
        <f ca="1">IFERROR(__xludf.DUMMYFUNCTION("""COMPUTED_VALUE"""),"TERMINAL MACHO - CIL. CBH's")</f>
        <v>TERMINAL MACHO - CIL. CBH's</v>
      </c>
      <c r="C159" s="22">
        <f ca="1">IFERROR(__xludf.DUMMYFUNCTION("""COMPUTED_VALUE"""),3.48)</f>
        <v>3.48</v>
      </c>
    </row>
    <row r="160" spans="1:3" x14ac:dyDescent="0.2">
      <c r="A160" s="4">
        <f ca="1">IFERROR(__xludf.DUMMYFUNCTION("""COMPUTED_VALUE"""),240474)</f>
        <v>240474</v>
      </c>
      <c r="B160" s="4" t="str">
        <f ca="1">IFERROR(__xludf.DUMMYFUNCTION("""COMPUTED_VALUE"""),"CIL. COMPL. CBHM/CBH CÓD.4403-01")</f>
        <v>CIL. COMPL. CBHM/CBH CÓD.4403-01</v>
      </c>
      <c r="C160" s="22">
        <f ca="1">IFERROR(__xludf.DUMMYFUNCTION("""COMPUTED_VALUE"""),1250.56)</f>
        <v>1250.56</v>
      </c>
    </row>
    <row r="161" spans="1:3" x14ac:dyDescent="0.2">
      <c r="A161" s="4">
        <f ca="1">IFERROR(__xludf.DUMMYFUNCTION("""COMPUTED_VALUE"""),240485)</f>
        <v>240485</v>
      </c>
      <c r="B161" s="4" t="str">
        <f ca="1">IFERROR(__xludf.DUMMYFUNCTION("""COMPUTED_VALUE"""),"CIL. COMPL. CBHM / 6000 CÓD.4403-03")</f>
        <v>CIL. COMPL. CBHM / 6000 CÓD.4403-03</v>
      </c>
      <c r="C161" s="22">
        <f ca="1">IFERROR(__xludf.DUMMYFUNCTION("""COMPUTED_VALUE"""),1250.56)</f>
        <v>1250.56</v>
      </c>
    </row>
    <row r="162" spans="1:3" x14ac:dyDescent="0.2">
      <c r="A162" s="4">
        <f ca="1">IFERROR(__xludf.DUMMYFUNCTION("""COMPUTED_VALUE"""),240492)</f>
        <v>240492</v>
      </c>
      <c r="B162" s="4" t="str">
        <f ca="1">IFERROR(__xludf.DUMMYFUNCTION("""COMPUTED_VALUE"""),"FECHO RÁP. P/CARR. LD CÓD.ESP481D")</f>
        <v>FECHO RÁP. P/CARR. LD CÓD.ESP481D</v>
      </c>
      <c r="C162" s="22">
        <f ca="1">IFERROR(__xludf.DUMMYFUNCTION("""COMPUTED_VALUE"""),25.58)</f>
        <v>25.58</v>
      </c>
    </row>
    <row r="163" spans="1:3" x14ac:dyDescent="0.2">
      <c r="A163" s="4">
        <f ca="1">IFERROR(__xludf.DUMMYFUNCTION("""COMPUTED_VALUE"""),240493)</f>
        <v>240493</v>
      </c>
      <c r="B163" s="4" t="str">
        <f ca="1">IFERROR(__xludf.DUMMYFUNCTION("""COMPUTED_VALUE"""),"FECHO RÁP. P/CARR. LE CÓD.ESP481E")</f>
        <v>FECHO RÁP. P/CARR. LE CÓD.ESP481E</v>
      </c>
      <c r="C163" s="22">
        <f ca="1">IFERROR(__xludf.DUMMYFUNCTION("""COMPUTED_VALUE"""),25.58)</f>
        <v>25.58</v>
      </c>
    </row>
    <row r="164" spans="1:3" x14ac:dyDescent="0.2">
      <c r="A164" s="4">
        <f ca="1">IFERROR(__xludf.DUMMYFUNCTION("""COMPUTED_VALUE"""),240494)</f>
        <v>240494</v>
      </c>
      <c r="B164" s="4" t="str">
        <f ca="1">IFERROR(__xludf.DUMMYFUNCTION("""COMPUTED_VALUE"""),"GANCHO C/ REBAIXO P/ F.RÁPIDO CÓD.ESP482")</f>
        <v>GANCHO C/ REBAIXO P/ F.RÁPIDO CÓD.ESP482</v>
      </c>
      <c r="C164" s="22">
        <f ca="1">IFERROR(__xludf.DUMMYFUNCTION("""COMPUTED_VALUE"""),6.22)</f>
        <v>6.22</v>
      </c>
    </row>
    <row r="165" spans="1:3" x14ac:dyDescent="0.2">
      <c r="A165" s="4">
        <f ca="1">IFERROR(__xludf.DUMMYFUNCTION("""COMPUTED_VALUE"""),240590)</f>
        <v>240590</v>
      </c>
      <c r="B165" s="4" t="str">
        <f ca="1">IFERROR(__xludf.DUMMYFUNCTION("""COMPUTED_VALUE"""),"ADAPT. 1/2"" NPTF X 3/4-16-PTT-30°")</f>
        <v>ADAPT. 1/2" NPTF X 3/4-16-PTT-30°</v>
      </c>
      <c r="C165" s="22">
        <f ca="1">IFERROR(__xludf.DUMMYFUNCTION("""COMPUTED_VALUE"""),5.86)</f>
        <v>5.86</v>
      </c>
    </row>
    <row r="166" spans="1:3" x14ac:dyDescent="0.2">
      <c r="A166" s="4">
        <f ca="1">IFERROR(__xludf.DUMMYFUNCTION("""COMPUTED_VALUE"""),240634)</f>
        <v>240634</v>
      </c>
      <c r="B166" s="4" t="str">
        <f ca="1">IFERROR(__xludf.DUMMYFUNCTION("""COMPUTED_VALUE"""),"MACACO MOD. RAL-611 (CBHs)")</f>
        <v>MACACO MOD. RAL-611 (CBHs)</v>
      </c>
      <c r="C166" s="22">
        <f ca="1">IFERROR(__xludf.DUMMYFUNCTION("""COMPUTED_VALUE"""),163.28)</f>
        <v>163.28</v>
      </c>
    </row>
    <row r="167" spans="1:3" x14ac:dyDescent="0.2">
      <c r="A167" s="4">
        <f ca="1">IFERROR(__xludf.DUMMYFUNCTION("""COMPUTED_VALUE"""),240640)</f>
        <v>240640</v>
      </c>
      <c r="B167" s="4" t="str">
        <f ca="1">IFERROR(__xludf.DUMMYFUNCTION("""COMPUTED_VALUE"""),"CIL. COMPL. CBHM/CBH CÓD. 4.1/2"" x 2"" x 335 mm")</f>
        <v>CIL. COMPL. CBHM/CBH CÓD. 4.1/2" x 2" x 335 mm</v>
      </c>
      <c r="C167" s="22">
        <f ca="1">IFERROR(__xludf.DUMMYFUNCTION("""COMPUTED_VALUE"""),1248.85)</f>
        <v>1248.8499999999999</v>
      </c>
    </row>
    <row r="168" spans="1:3" x14ac:dyDescent="0.2">
      <c r="A168" s="4">
        <f ca="1">IFERROR(__xludf.DUMMYFUNCTION("""COMPUTED_VALUE"""),240642)</f>
        <v>240642</v>
      </c>
      <c r="B168" s="4" t="str">
        <f ca="1">IFERROR(__xludf.DUMMYFUNCTION("""COMPUTED_VALUE"""),"GANCHO MENOR P/ F.RÁPIDO CÓD.FT 0040-C")</f>
        <v>GANCHO MENOR P/ F.RÁPIDO CÓD.FT 0040-C</v>
      </c>
      <c r="C168" s="22">
        <f ca="1">IFERROR(__xludf.DUMMYFUNCTION("""COMPUTED_VALUE"""),3.3)</f>
        <v>3.3</v>
      </c>
    </row>
    <row r="169" spans="1:3" x14ac:dyDescent="0.2">
      <c r="A169" s="4">
        <f ca="1">IFERROR(__xludf.DUMMYFUNCTION("""COMPUTED_VALUE"""),255452)</f>
        <v>255452</v>
      </c>
      <c r="B169" s="4" t="str">
        <f ca="1">IFERROR(__xludf.DUMMYFUNCTION("""COMPUTED_VALUE"""),"PARAF RODA 5/8-18Fx2.3/32 - 216R")</f>
        <v>PARAF RODA 5/8-18Fx2.3/32 - 216R</v>
      </c>
      <c r="C169" s="22">
        <f ca="1">IFERROR(__xludf.DUMMYFUNCTION("""COMPUTED_VALUE"""),6.44)</f>
        <v>6.44</v>
      </c>
    </row>
    <row r="170" spans="1:3" x14ac:dyDescent="0.2">
      <c r="A170" s="4">
        <f ca="1">IFERROR(__xludf.DUMMYFUNCTION("""COMPUTED_VALUE"""),255464)</f>
        <v>255464</v>
      </c>
      <c r="B170" s="4" t="str">
        <f ca="1">IFERROR(__xludf.DUMMYFUNCTION("""COMPUTED_VALUE"""),"PARAF RODA 1/2 X 1.3/4"" CF. DES.")</f>
        <v>PARAF RODA 1/2 X 1.3/4" CF. DES.</v>
      </c>
      <c r="C170" s="22">
        <f ca="1">IFERROR(__xludf.DUMMYFUNCTION("""COMPUTED_VALUE"""),1.24)</f>
        <v>1.24</v>
      </c>
    </row>
    <row r="171" spans="1:3" x14ac:dyDescent="0.2">
      <c r="A171" s="4">
        <f ca="1">IFERROR(__xludf.DUMMYFUNCTION("""COMPUTED_VALUE"""),256161)</f>
        <v>256161</v>
      </c>
      <c r="B171" s="4" t="str">
        <f ca="1">IFERROR(__xludf.DUMMYFUNCTION("""COMPUTED_VALUE"""),"PARAF FRANC 3/8 X 2""")</f>
        <v>PARAF FRANC 3/8 X 2"</v>
      </c>
      <c r="C171" s="22">
        <f ca="1">IFERROR(__xludf.DUMMYFUNCTION("""COMPUTED_VALUE"""),0.64)</f>
        <v>0.64</v>
      </c>
    </row>
    <row r="172" spans="1:3" x14ac:dyDescent="0.2">
      <c r="A172" s="4">
        <f ca="1">IFERROR(__xludf.DUMMYFUNCTION("""COMPUTED_VALUE"""),256328)</f>
        <v>256328</v>
      </c>
      <c r="B172" s="4" t="str">
        <f ca="1">IFERROR(__xludf.DUMMYFUNCTION("""COMPUTED_VALUE"""),"PARAF FRANC 5/16X1.1/2 C/PO.SX.")</f>
        <v>PARAF FRANC 5/16X1.1/2 C/PO.SX.</v>
      </c>
      <c r="C172" s="22">
        <f ca="1">IFERROR(__xludf.DUMMYFUNCTION("""COMPUTED_VALUE"""),0.3)</f>
        <v>0.3</v>
      </c>
    </row>
    <row r="173" spans="1:3" x14ac:dyDescent="0.2">
      <c r="A173" s="4">
        <f ca="1">IFERROR(__xludf.DUMMYFUNCTION("""COMPUTED_VALUE"""),256808)</f>
        <v>256808</v>
      </c>
      <c r="B173" s="4" t="str">
        <f ca="1">IFERROR(__xludf.DUMMYFUNCTION("""COMPUTED_VALUE"""),"PARAF FRANC 3/8 X 1")</f>
        <v>PARAF FRANC 3/8 X 1</v>
      </c>
      <c r="C173" s="22">
        <f ca="1">IFERROR(__xludf.DUMMYFUNCTION("""COMPUTED_VALUE"""),0.35)</f>
        <v>0.35</v>
      </c>
    </row>
    <row r="174" spans="1:3" x14ac:dyDescent="0.2">
      <c r="A174" s="4">
        <f ca="1">IFERROR(__xludf.DUMMYFUNCTION("""COMPUTED_VALUE"""),257086)</f>
        <v>257086</v>
      </c>
      <c r="B174" s="4" t="str">
        <f ca="1">IFERROR(__xludf.DUMMYFUNCTION("""COMPUTED_VALUE"""),"PARAF ALLEN C/ CAB 1/4 X 5/8"" UNF")</f>
        <v>PARAF ALLEN C/ CAB 1/4 X 5/8" UNF</v>
      </c>
      <c r="C174" s="22">
        <f ca="1">IFERROR(__xludf.DUMMYFUNCTION("""COMPUTED_VALUE"""),3.18)</f>
        <v>3.18</v>
      </c>
    </row>
    <row r="175" spans="1:3" x14ac:dyDescent="0.2">
      <c r="A175" s="4">
        <f ca="1">IFERROR(__xludf.DUMMYFUNCTION("""COMPUTED_VALUE"""),258003)</f>
        <v>258003</v>
      </c>
      <c r="B175" s="4" t="str">
        <f ca="1">IFERROR(__xludf.DUMMYFUNCTION("""COMPUTED_VALUE"""),"PARAF SEX 3/8 X 1.1/4 UNC ZB")</f>
        <v>PARAF SEX 3/8 X 1.1/4 UNC ZB</v>
      </c>
      <c r="C175" s="22">
        <f ca="1">IFERROR(__xludf.DUMMYFUNCTION("""COMPUTED_VALUE"""),0.71)</f>
        <v>0.71</v>
      </c>
    </row>
    <row r="176" spans="1:3" x14ac:dyDescent="0.2">
      <c r="A176" s="4">
        <f ca="1">IFERROR(__xludf.DUMMYFUNCTION("""COMPUTED_VALUE"""),258090)</f>
        <v>258090</v>
      </c>
      <c r="B176" s="4" t="str">
        <f ca="1">IFERROR(__xludf.DUMMYFUNCTION("""COMPUTED_VALUE"""),"PARAF SEX 5/16X 3/4 UNC ZB")</f>
        <v>PARAF SEX 5/16X 3/4 UNC ZB</v>
      </c>
      <c r="C176" s="22">
        <f ca="1">IFERROR(__xludf.DUMMYFUNCTION("""COMPUTED_VALUE"""),0.19)</f>
        <v>0.19</v>
      </c>
    </row>
    <row r="177" spans="1:3" x14ac:dyDescent="0.2">
      <c r="A177" s="4">
        <f ca="1">IFERROR(__xludf.DUMMYFUNCTION("""COMPUTED_VALUE"""),258155)</f>
        <v>258155</v>
      </c>
      <c r="B177" s="4" t="str">
        <f ca="1">IFERROR(__xludf.DUMMYFUNCTION("""COMPUTED_VALUE"""),"PARAF SEX 1/2 X 3.1/2 UNC ZB")</f>
        <v>PARAF SEX 1/2 X 3.1/2 UNC ZB</v>
      </c>
      <c r="C177" s="22">
        <f ca="1">IFERROR(__xludf.DUMMYFUNCTION("""COMPUTED_VALUE"""),1.69)</f>
        <v>1.69</v>
      </c>
    </row>
    <row r="178" spans="1:3" x14ac:dyDescent="0.2">
      <c r="A178" s="4">
        <f ca="1">IFERROR(__xludf.DUMMYFUNCTION("""COMPUTED_VALUE"""),258192)</f>
        <v>258192</v>
      </c>
      <c r="B178" s="4" t="str">
        <f ca="1">IFERROR(__xludf.DUMMYFUNCTION("""COMPUTED_VALUE"""),"PARAF SEX 3/4 X 2 8.8 UNF ZB")</f>
        <v>PARAF SEX 3/4 X 2 8.8 UNF ZB</v>
      </c>
      <c r="C178" s="22">
        <f ca="1">IFERROR(__xludf.DUMMYFUNCTION("""COMPUTED_VALUE"""),3.24)</f>
        <v>3.24</v>
      </c>
    </row>
    <row r="179" spans="1:3" x14ac:dyDescent="0.2">
      <c r="A179" s="4">
        <f ca="1">IFERROR(__xludf.DUMMYFUNCTION("""COMPUTED_VALUE"""),258210)</f>
        <v>258210</v>
      </c>
      <c r="B179" s="4" t="str">
        <f ca="1">IFERROR(__xludf.DUMMYFUNCTION("""COMPUTED_VALUE"""),"PARAF SEX 3/4 X 1.1/2 UNC ZB")</f>
        <v>PARAF SEX 3/4 X 1.1/2 UNC ZB</v>
      </c>
      <c r="C179" s="22">
        <f ca="1">IFERROR(__xludf.DUMMYFUNCTION("""COMPUTED_VALUE"""),2.15)</f>
        <v>2.15</v>
      </c>
    </row>
    <row r="180" spans="1:3" x14ac:dyDescent="0.2">
      <c r="A180" s="4">
        <f ca="1">IFERROR(__xludf.DUMMYFUNCTION("""COMPUTED_VALUE"""),258234)</f>
        <v>258234</v>
      </c>
      <c r="B180" s="4" t="str">
        <f ca="1">IFERROR(__xludf.DUMMYFUNCTION("""COMPUTED_VALUE"""),"PARAF SEX 3/4 X 2 UNC ZB")</f>
        <v>PARAF SEX 3/4 X 2 UNC ZB</v>
      </c>
      <c r="C180" s="22">
        <f ca="1">IFERROR(__xludf.DUMMYFUNCTION("""COMPUTED_VALUE"""),5.61)</f>
        <v>5.61</v>
      </c>
    </row>
    <row r="181" spans="1:3" x14ac:dyDescent="0.2">
      <c r="A181" s="4">
        <f ca="1">IFERROR(__xludf.DUMMYFUNCTION("""COMPUTED_VALUE"""),258532)</f>
        <v>258532</v>
      </c>
      <c r="B181" s="4" t="str">
        <f ca="1">IFERROR(__xludf.DUMMYFUNCTION("""COMPUTED_VALUE"""),"PARAF SEX 1/2 X 2 "" UNC ZB")</f>
        <v>PARAF SEX 1/2 X 2 " UNC ZB</v>
      </c>
      <c r="C181" s="22">
        <f ca="1">IFERROR(__xludf.DUMMYFUNCTION("""COMPUTED_VALUE"""),0.96)</f>
        <v>0.96</v>
      </c>
    </row>
    <row r="182" spans="1:3" x14ac:dyDescent="0.2">
      <c r="A182" s="4">
        <f ca="1">IFERROR(__xludf.DUMMYFUNCTION("""COMPUTED_VALUE"""),258544)</f>
        <v>258544</v>
      </c>
      <c r="B182" s="4" t="str">
        <f ca="1">IFERROR(__xludf.DUMMYFUNCTION("""COMPUTED_VALUE"""),"PARAF SEX 1/2 X 3"" UNC ZB")</f>
        <v>PARAF SEX 1/2 X 3" UNC ZB</v>
      </c>
      <c r="C182" s="22">
        <f ca="1">IFERROR(__xludf.DUMMYFUNCTION("""COMPUTED_VALUE"""),1.44)</f>
        <v>1.44</v>
      </c>
    </row>
    <row r="183" spans="1:3" x14ac:dyDescent="0.2">
      <c r="A183" s="4">
        <f ca="1">IFERROR(__xludf.DUMMYFUNCTION("""COMPUTED_VALUE"""),258570)</f>
        <v>258570</v>
      </c>
      <c r="B183" s="4" t="str">
        <f ca="1">IFERROR(__xludf.DUMMYFUNCTION("""COMPUTED_VALUE"""),"PARAF SEX 3/8 X 2 UNC")</f>
        <v>PARAF SEX 3/8 X 2 UNC</v>
      </c>
      <c r="C183" s="22">
        <f ca="1">IFERROR(__xludf.DUMMYFUNCTION("""COMPUTED_VALUE"""),1)</f>
        <v>1</v>
      </c>
    </row>
    <row r="184" spans="1:3" x14ac:dyDescent="0.2">
      <c r="A184" s="4">
        <f ca="1">IFERROR(__xludf.DUMMYFUNCTION("""COMPUTED_VALUE"""),258820)</f>
        <v>258820</v>
      </c>
      <c r="B184" s="4" t="str">
        <f ca="1">IFERROR(__xludf.DUMMYFUNCTION("""COMPUTED_VALUE"""),"PARAF SEX 1/2"" X 4.1/2"" 8.8 UNF")</f>
        <v>PARAF SEX 1/2" X 4.1/2" 8.8 UNF</v>
      </c>
      <c r="C184" s="22">
        <f ca="1">IFERROR(__xludf.DUMMYFUNCTION("""COMPUTED_VALUE"""),2.58)</f>
        <v>2.58</v>
      </c>
    </row>
    <row r="185" spans="1:3" x14ac:dyDescent="0.2">
      <c r="A185" s="4">
        <f ca="1">IFERROR(__xludf.DUMMYFUNCTION("""COMPUTED_VALUE"""),258910)</f>
        <v>258910</v>
      </c>
      <c r="B185" s="4" t="str">
        <f ca="1">IFERROR(__xludf.DUMMYFUNCTION("""COMPUTED_VALUE"""),"PARAF SEX 3/4 X 3 UNC ZB")</f>
        <v>PARAF SEX 3/4 X 3 UNC ZB</v>
      </c>
      <c r="C185" s="22">
        <f ca="1">IFERROR(__xludf.DUMMYFUNCTION("""COMPUTED_VALUE"""),14.37)</f>
        <v>14.37</v>
      </c>
    </row>
    <row r="186" spans="1:3" x14ac:dyDescent="0.2">
      <c r="A186" s="4">
        <f ca="1">IFERROR(__xludf.DUMMYFUNCTION("""COMPUTED_VALUE"""),260101)</f>
        <v>260101</v>
      </c>
      <c r="B186" s="4" t="str">
        <f ca="1">IFERROR(__xludf.DUMMYFUNCTION("""COMPUTED_VALUE"""),"PARAF SEX 1/2 X 1.1/2 UNC ZB")</f>
        <v>PARAF SEX 1/2 X 1.1/2 UNC ZB</v>
      </c>
      <c r="C186" s="22">
        <f ca="1">IFERROR(__xludf.DUMMYFUNCTION("""COMPUTED_VALUE"""),1.27)</f>
        <v>1.27</v>
      </c>
    </row>
    <row r="187" spans="1:3" x14ac:dyDescent="0.2">
      <c r="A187" s="4">
        <f ca="1">IFERROR(__xludf.DUMMYFUNCTION("""COMPUTED_VALUE"""),260125)</f>
        <v>260125</v>
      </c>
      <c r="B187" s="4" t="str">
        <f ca="1">IFERROR(__xludf.DUMMYFUNCTION("""COMPUTED_VALUE"""),"PARAF SEX 5/8 X 4 UNC")</f>
        <v>PARAF SEX 5/8 X 4 UNC</v>
      </c>
      <c r="C187" s="22">
        <f ca="1">IFERROR(__xludf.DUMMYFUNCTION("""COMPUTED_VALUE"""),6.98)</f>
        <v>6.98</v>
      </c>
    </row>
    <row r="188" spans="1:3" x14ac:dyDescent="0.2">
      <c r="A188" s="4">
        <f ca="1">IFERROR(__xludf.DUMMYFUNCTION("""COMPUTED_VALUE"""),260137)</f>
        <v>260137</v>
      </c>
      <c r="B188" s="4" t="str">
        <f ca="1">IFERROR(__xludf.DUMMYFUNCTION("""COMPUTED_VALUE"""),"PARAF SEX 5/8 X 2.1/4 UNC")</f>
        <v>PARAF SEX 5/8 X 2.1/4 UNC</v>
      </c>
      <c r="C188" s="22">
        <f ca="1">IFERROR(__xludf.DUMMYFUNCTION("""COMPUTED_VALUE"""),2.74)</f>
        <v>2.74</v>
      </c>
    </row>
    <row r="189" spans="1:3" x14ac:dyDescent="0.2">
      <c r="A189" s="4">
        <f ca="1">IFERROR(__xludf.DUMMYFUNCTION("""COMPUTED_VALUE"""),260265)</f>
        <v>260265</v>
      </c>
      <c r="B189" s="4" t="str">
        <f ca="1">IFERROR(__xludf.DUMMYFUNCTION("""COMPUTED_VALUE"""),"PARAF SEX 1/2 X 1.1/4 8.8UNC ZB")</f>
        <v>PARAF SEX 1/2 X 1.1/4 8.8UNC ZB</v>
      </c>
      <c r="C189" s="22">
        <f ca="1">IFERROR(__xludf.DUMMYFUNCTION("""COMPUTED_VALUE"""),0.82)</f>
        <v>0.82</v>
      </c>
    </row>
    <row r="190" spans="1:3" x14ac:dyDescent="0.2">
      <c r="A190" s="4">
        <f ca="1">IFERROR(__xludf.DUMMYFUNCTION("""COMPUTED_VALUE"""),260400)</f>
        <v>260400</v>
      </c>
      <c r="B190" s="4" t="str">
        <f ca="1">IFERROR(__xludf.DUMMYFUNCTION("""COMPUTED_VALUE"""),"PARAF SEX 5/8 X 1.3/4 8.8UNF ZB")</f>
        <v>PARAF SEX 5/8 X 1.3/4 8.8UNF ZB</v>
      </c>
      <c r="C190" s="22">
        <f ca="1">IFERROR(__xludf.DUMMYFUNCTION("""COMPUTED_VALUE"""),1.83)</f>
        <v>1.83</v>
      </c>
    </row>
    <row r="191" spans="1:3" x14ac:dyDescent="0.2">
      <c r="A191" s="4">
        <f ca="1">IFERROR(__xludf.DUMMYFUNCTION("""COMPUTED_VALUE"""),260526)</f>
        <v>260526</v>
      </c>
      <c r="B191" s="4" t="str">
        <f ca="1">IFERROR(__xludf.DUMMYFUNCTION("""COMPUTED_VALUE"""),"PARAF SEX 1/2 X 4 - UNC")</f>
        <v>PARAF SEX 1/2 X 4 - UNC</v>
      </c>
      <c r="C191" s="22">
        <f ca="1">IFERROR(__xludf.DUMMYFUNCTION("""COMPUTED_VALUE"""),0.63)</f>
        <v>0.63</v>
      </c>
    </row>
    <row r="192" spans="1:3" x14ac:dyDescent="0.2">
      <c r="A192" s="4">
        <f ca="1">IFERROR(__xludf.DUMMYFUNCTION("""COMPUTED_VALUE"""),260629)</f>
        <v>260629</v>
      </c>
      <c r="B192" s="4" t="str">
        <f ca="1">IFERROR(__xludf.DUMMYFUNCTION("""COMPUTED_VALUE"""),"PARAF SEX 5/8 X1.1/2 8.8 NC ZB")</f>
        <v>PARAF SEX 5/8 X1.1/2 8.8 NC ZB</v>
      </c>
      <c r="C192" s="22">
        <f ca="1">IFERROR(__xludf.DUMMYFUNCTION("""COMPUTED_VALUE"""),1.47)</f>
        <v>1.47</v>
      </c>
    </row>
    <row r="193" spans="1:3" x14ac:dyDescent="0.2">
      <c r="A193" s="4">
        <f ca="1">IFERROR(__xludf.DUMMYFUNCTION("""COMPUTED_VALUE"""),260826)</f>
        <v>260826</v>
      </c>
      <c r="B193" s="4" t="str">
        <f ca="1">IFERROR(__xludf.DUMMYFUNCTION("""COMPUTED_VALUE"""),"BUCHA FLUTUANTE PARA FEIXE DE MOLAS")</f>
        <v>BUCHA FLUTUANTE PARA FEIXE DE MOLAS</v>
      </c>
      <c r="C193" s="22">
        <f ca="1">IFERROR(__xludf.DUMMYFUNCTION("""COMPUTED_VALUE"""),3.2)</f>
        <v>3.2</v>
      </c>
    </row>
    <row r="194" spans="1:3" x14ac:dyDescent="0.2">
      <c r="A194" s="4">
        <f ca="1">IFERROR(__xludf.DUMMYFUNCTION("""COMPUTED_VALUE"""),260836)</f>
        <v>260836</v>
      </c>
      <c r="B194" s="4" t="str">
        <f ca="1">IFERROR(__xludf.DUMMYFUNCTION("""COMPUTED_VALUE"""),"PARAF SEX 1/2 X 2.1/4 8.8UNC ZB")</f>
        <v>PARAF SEX 1/2 X 2.1/4 8.8UNC ZB</v>
      </c>
      <c r="C194" s="22">
        <f ca="1">IFERROR(__xludf.DUMMYFUNCTION("""COMPUTED_VALUE"""),2.68)</f>
        <v>2.68</v>
      </c>
    </row>
    <row r="195" spans="1:3" x14ac:dyDescent="0.2">
      <c r="A195" s="4">
        <f ca="1">IFERROR(__xludf.DUMMYFUNCTION("""COMPUTED_VALUE"""),260988)</f>
        <v>260988</v>
      </c>
      <c r="B195" s="4" t="str">
        <f ca="1">IFERROR(__xludf.DUMMYFUNCTION("""COMPUTED_VALUE"""),"PARAF SEX 5/8 X 1.3/4 UNC ZB")</f>
        <v>PARAF SEX 5/8 X 1.3/4 UNC ZB</v>
      </c>
      <c r="C195" s="22">
        <f ca="1">IFERROR(__xludf.DUMMYFUNCTION("""COMPUTED_VALUE"""),0.9)</f>
        <v>0.9</v>
      </c>
    </row>
    <row r="196" spans="1:3" x14ac:dyDescent="0.2">
      <c r="A196" s="4">
        <f ca="1">IFERROR(__xludf.DUMMYFUNCTION("""COMPUTED_VALUE"""),266176)</f>
        <v>266176</v>
      </c>
      <c r="B196" s="4" t="str">
        <f ca="1">IFERROR(__xludf.DUMMYFUNCTION("""COMPUTED_VALUE"""),"PLACA DE IDENT. CEMAG")</f>
        <v>PLACA DE IDENT. CEMAG</v>
      </c>
      <c r="C196" s="22">
        <f ca="1">IFERROR(__xludf.DUMMYFUNCTION("""COMPUTED_VALUE"""),0.8)</f>
        <v>0.8</v>
      </c>
    </row>
    <row r="197" spans="1:3" x14ac:dyDescent="0.2">
      <c r="A197" s="4">
        <f ca="1">IFERROR(__xludf.DUMMYFUNCTION("""COMPUTED_VALUE"""),268150)</f>
        <v>268150</v>
      </c>
      <c r="B197" s="4" t="str">
        <f ca="1">IFERROR(__xludf.DUMMYFUNCTION("""COMPUTED_VALUE"""),"PNEU 7.50-16 IMPL (16TT 10PR RA45)")</f>
        <v>PNEU 7.50-16 IMPL (16TT 10PR RA45)</v>
      </c>
      <c r="C197" s="22">
        <f ca="1">IFERROR(__xludf.DUMMYFUNCTION("""COMPUTED_VALUE"""),437.61)</f>
        <v>437.61</v>
      </c>
    </row>
    <row r="198" spans="1:3" x14ac:dyDescent="0.2">
      <c r="A198" s="4">
        <f ca="1">IFERROR(__xludf.DUMMYFUNCTION("""COMPUTED_VALUE"""),268407)</f>
        <v>268407</v>
      </c>
      <c r="B198" s="4" t="str">
        <f ca="1">IFERROR(__xludf.DUMMYFUNCTION("""COMPUTED_VALUE"""),"PNEU 6.00-16 IMPL (16TT 8PR RA45)")</f>
        <v>PNEU 6.00-16 IMPL (16TT 8PR RA45)</v>
      </c>
      <c r="C198" s="22">
        <f ca="1">IFERROR(__xludf.DUMMYFUNCTION("""COMPUTED_VALUE"""),160.83)</f>
        <v>160.83000000000001</v>
      </c>
    </row>
    <row r="199" spans="1:3" x14ac:dyDescent="0.2">
      <c r="A199" s="4">
        <f ca="1">IFERROR(__xludf.DUMMYFUNCTION("""COMPUTED_VALUE"""),268501)</f>
        <v>268501</v>
      </c>
      <c r="B199" s="4" t="str">
        <f ca="1">IFERROR(__xludf.DUMMYFUNCTION("""COMPUTED_VALUE"""),"PNEU RODOV. 700X16 CT52 10 Pr - 10 LONAS")</f>
        <v>PNEU RODOV. 700X16 CT52 10 Pr - 10 LONAS</v>
      </c>
      <c r="C199" s="22">
        <f ca="1">IFERROR(__xludf.DUMMYFUNCTION("""COMPUTED_VALUE"""),485.35)</f>
        <v>485.35</v>
      </c>
    </row>
    <row r="200" spans="1:3" x14ac:dyDescent="0.2">
      <c r="A200" s="4">
        <f ca="1">IFERROR(__xludf.DUMMYFUNCTION("""COMPUTED_VALUE"""),272152)</f>
        <v>272152</v>
      </c>
      <c r="B200" s="4" t="str">
        <f ca="1">IFERROR(__xludf.DUMMYFUNCTION("""COMPUTED_VALUE"""),"PORCA CAST. DE 3/4"" UNF ZB")</f>
        <v>PORCA CAST. DE 3/4" UNF ZB</v>
      </c>
      <c r="C200" s="22">
        <f ca="1">IFERROR(__xludf.DUMMYFUNCTION("""COMPUTED_VALUE"""),1.06)</f>
        <v>1.06</v>
      </c>
    </row>
    <row r="201" spans="1:3" x14ac:dyDescent="0.2">
      <c r="A201" s="4">
        <f ca="1">IFERROR(__xludf.DUMMYFUNCTION("""COMPUTED_VALUE"""),272401)</f>
        <v>272401</v>
      </c>
      <c r="B201" s="4" t="str">
        <f ca="1">IFERROR(__xludf.DUMMYFUNCTION("""COMPUTED_VALUE"""),"PORCA CAST. DE 1"" UNS-14 FIOS ZB")</f>
        <v>PORCA CAST. DE 1" UNS-14 FIOS ZB</v>
      </c>
      <c r="C201" s="22">
        <f ca="1">IFERROR(__xludf.DUMMYFUNCTION("""COMPUTED_VALUE"""),2.7)</f>
        <v>2.7</v>
      </c>
    </row>
    <row r="202" spans="1:3" x14ac:dyDescent="0.2">
      <c r="A202" s="4">
        <f ca="1">IFERROR(__xludf.DUMMYFUNCTION("""COMPUTED_VALUE"""),272504)</f>
        <v>272504</v>
      </c>
      <c r="B202" s="4" t="str">
        <f ca="1">IFERROR(__xludf.DUMMYFUNCTION("""COMPUTED_VALUE"""),"PORCA CAST 1.1/2 S/COROA - UNC ZB")</f>
        <v>PORCA CAST 1.1/2 S/COROA - UNC ZB</v>
      </c>
      <c r="C202" s="22">
        <f ca="1">IFERROR(__xludf.DUMMYFUNCTION("""COMPUTED_VALUE"""),8.7)</f>
        <v>8.6999999999999993</v>
      </c>
    </row>
    <row r="203" spans="1:3" x14ac:dyDescent="0.2">
      <c r="A203" s="4">
        <f ca="1">IFERROR(__xludf.DUMMYFUNCTION("""COMPUTED_VALUE"""),273405)</f>
        <v>273405</v>
      </c>
      <c r="B203" s="4" t="str">
        <f ca="1">IFERROR(__xludf.DUMMYFUNCTION("""COMPUTED_VALUE"""),"PORCA CÔN. 1/2"" UNF - CH-13/16"" ZB")</f>
        <v>PORCA CÔN. 1/2" UNF - CH-13/16" ZB</v>
      </c>
      <c r="C203" s="22">
        <f ca="1">IFERROR(__xludf.DUMMYFUNCTION("""COMPUTED_VALUE"""),0.53)</f>
        <v>0.53</v>
      </c>
    </row>
    <row r="204" spans="1:3" x14ac:dyDescent="0.2">
      <c r="A204" s="4">
        <f ca="1">IFERROR(__xludf.DUMMYFUNCTION("""COMPUTED_VALUE"""),273600)</f>
        <v>273600</v>
      </c>
      <c r="B204" s="4" t="str">
        <f ca="1">IFERROR(__xludf.DUMMYFUNCTION("""COMPUTED_VALUE"""),"PORCA CON. 5/8"" UNF CH-1.1/16"" ZB")</f>
        <v>PORCA CON. 5/8" UNF CH-1.1/16" ZB</v>
      </c>
      <c r="C204" s="22">
        <f ca="1">IFERROR(__xludf.DUMMYFUNCTION("""COMPUTED_VALUE"""),0.93)</f>
        <v>0.93</v>
      </c>
    </row>
    <row r="205" spans="1:3" x14ac:dyDescent="0.2">
      <c r="A205" s="4">
        <f ca="1">IFERROR(__xludf.DUMMYFUNCTION("""COMPUTED_VALUE"""),274033)</f>
        <v>274033</v>
      </c>
      <c r="B205" s="4" t="str">
        <f ca="1">IFERROR(__xludf.DUMMYFUNCTION("""COMPUTED_VALUE"""),"PORCA CAST. DE 7/8"" UNF ZB")</f>
        <v>PORCA CAST. DE 7/8" UNF ZB</v>
      </c>
      <c r="C205" s="22">
        <f ca="1">IFERROR(__xludf.DUMMYFUNCTION("""COMPUTED_VALUE"""),4.08)</f>
        <v>4.08</v>
      </c>
    </row>
    <row r="206" spans="1:3" x14ac:dyDescent="0.2">
      <c r="A206" s="4">
        <f ca="1">IFERROR(__xludf.DUMMYFUNCTION("""COMPUTED_VALUE"""),274057)</f>
        <v>274057</v>
      </c>
      <c r="B206" s="4" t="str">
        <f ca="1">IFERROR(__xludf.DUMMYFUNCTION("""COMPUTED_VALUE"""),"PORCA SEX 1/2 UNF ZB")</f>
        <v>PORCA SEX 1/2 UNF ZB</v>
      </c>
      <c r="C206" s="22">
        <f ca="1">IFERROR(__xludf.DUMMYFUNCTION("""COMPUTED_VALUE"""),0.95)</f>
        <v>0.95</v>
      </c>
    </row>
    <row r="207" spans="1:3" x14ac:dyDescent="0.2">
      <c r="A207" s="4">
        <f ca="1">IFERROR(__xludf.DUMMYFUNCTION("""COMPUTED_VALUE"""),274124)</f>
        <v>274124</v>
      </c>
      <c r="B207" s="4" t="str">
        <f ca="1">IFERROR(__xludf.DUMMYFUNCTION("""COMPUTED_VALUE"""),"PORCA SEX 1/2 UNC ZB")</f>
        <v>PORCA SEX 1/2 UNC ZB</v>
      </c>
      <c r="C207" s="22">
        <f ca="1">IFERROR(__xludf.DUMMYFUNCTION("""COMPUTED_VALUE"""),0.64)</f>
        <v>0.64</v>
      </c>
    </row>
    <row r="208" spans="1:3" x14ac:dyDescent="0.2">
      <c r="A208" s="4">
        <f ca="1">IFERROR(__xludf.DUMMYFUNCTION("""COMPUTED_VALUE"""),274203)</f>
        <v>274203</v>
      </c>
      <c r="B208" s="4" t="str">
        <f ca="1">IFERROR(__xludf.DUMMYFUNCTION("""COMPUTED_VALUE"""),"PORCA SEX 3/4"" UNC ZB")</f>
        <v>PORCA SEX 3/4" UNC ZB</v>
      </c>
      <c r="C208" s="22">
        <f ca="1">IFERROR(__xludf.DUMMYFUNCTION("""COMPUTED_VALUE"""),0.86)</f>
        <v>0.86</v>
      </c>
    </row>
    <row r="209" spans="1:3" x14ac:dyDescent="0.2">
      <c r="A209" s="4">
        <f ca="1">IFERROR(__xludf.DUMMYFUNCTION("""COMPUTED_VALUE"""),274252)</f>
        <v>274252</v>
      </c>
      <c r="B209" s="4" t="str">
        <f ca="1">IFERROR(__xludf.DUMMYFUNCTION("""COMPUTED_VALUE"""),"PORCA SEX 5/16"" UNC ZB")</f>
        <v>PORCA SEX 5/16" UNC ZB</v>
      </c>
      <c r="C209" s="22">
        <f ca="1">IFERROR(__xludf.DUMMYFUNCTION("""COMPUTED_VALUE"""),0.14)</f>
        <v>0.14000000000000001</v>
      </c>
    </row>
    <row r="210" spans="1:3" x14ac:dyDescent="0.2">
      <c r="A210" s="4">
        <f ca="1">IFERROR(__xludf.DUMMYFUNCTION("""COMPUTED_VALUE"""),274288)</f>
        <v>274288</v>
      </c>
      <c r="B210" s="4" t="str">
        <f ca="1">IFERROR(__xludf.DUMMYFUNCTION("""COMPUTED_VALUE"""),"PORCA SEX 5/8"" UNF ZB")</f>
        <v>PORCA SEX 5/8" UNF ZB</v>
      </c>
      <c r="C210" s="22">
        <f ca="1">IFERROR(__xludf.DUMMYFUNCTION("""COMPUTED_VALUE"""),1.94)</f>
        <v>1.94</v>
      </c>
    </row>
    <row r="211" spans="1:3" x14ac:dyDescent="0.2">
      <c r="A211" s="4">
        <f ca="1">IFERROR(__xludf.DUMMYFUNCTION("""COMPUTED_VALUE"""),274306)</f>
        <v>274306</v>
      </c>
      <c r="B211" s="4" t="str">
        <f ca="1">IFERROR(__xludf.DUMMYFUNCTION("""COMPUTED_VALUE"""),"PORCA SEX 5/8"" UNC ZB")</f>
        <v>PORCA SEX 5/8" UNC ZB</v>
      </c>
      <c r="C211" s="22">
        <f ca="1">IFERROR(__xludf.DUMMYFUNCTION("""COMPUTED_VALUE"""),0.56)</f>
        <v>0.56000000000000005</v>
      </c>
    </row>
    <row r="212" spans="1:3" x14ac:dyDescent="0.2">
      <c r="A212" s="4">
        <f ca="1">IFERROR(__xludf.DUMMYFUNCTION("""COMPUTED_VALUE"""),274355)</f>
        <v>274355</v>
      </c>
      <c r="B212" s="4" t="str">
        <f ca="1">IFERROR(__xludf.DUMMYFUNCTION("""COMPUTED_VALUE"""),"PORCA SEX 1/4 UNF")</f>
        <v>PORCA SEX 1/4 UNF</v>
      </c>
      <c r="C212" s="22">
        <f ca="1">IFERROR(__xludf.DUMMYFUNCTION("""COMPUTED_VALUE"""),0.06)</f>
        <v>0.06</v>
      </c>
    </row>
    <row r="213" spans="1:3" x14ac:dyDescent="0.2">
      <c r="A213" s="4">
        <f ca="1">IFERROR(__xludf.DUMMYFUNCTION("""COMPUTED_VALUE"""),274604)</f>
        <v>274604</v>
      </c>
      <c r="B213" s="4" t="str">
        <f ca="1">IFERROR(__xludf.DUMMYFUNCTION("""COMPUTED_VALUE"""),"PORCA SEX 3/8"" UNC ZB")</f>
        <v>PORCA SEX 3/8" UNC ZB</v>
      </c>
      <c r="C213" s="22">
        <f ca="1">IFERROR(__xludf.DUMMYFUNCTION("""COMPUTED_VALUE"""),0.35)</f>
        <v>0.35</v>
      </c>
    </row>
    <row r="214" spans="1:3" x14ac:dyDescent="0.2">
      <c r="A214" s="4">
        <f ca="1">IFERROR(__xludf.DUMMYFUNCTION("""COMPUTED_VALUE"""),275098)</f>
        <v>275098</v>
      </c>
      <c r="B214" s="4" t="str">
        <f ca="1">IFERROR(__xludf.DUMMYFUNCTION("""COMPUTED_VALUE"""),"PORCA A/T. NY 3/4"" ALTA UNF-ZB")</f>
        <v>PORCA A/T. NY 3/4" ALTA UNF-ZB</v>
      </c>
      <c r="C214" s="22">
        <f ca="1">IFERROR(__xludf.DUMMYFUNCTION("""COMPUTED_VALUE"""),1.29)</f>
        <v>1.29</v>
      </c>
    </row>
    <row r="215" spans="1:3" x14ac:dyDescent="0.2">
      <c r="A215" s="4">
        <f ca="1">IFERROR(__xludf.DUMMYFUNCTION("""COMPUTED_VALUE"""),279419)</f>
        <v>279419</v>
      </c>
      <c r="B215" s="4" t="str">
        <f ca="1">IFERROR(__xludf.DUMMYFUNCTION("""COMPUTED_VALUE"""),"PORCA DUPLA DE 1/2"" UNF - ZB")</f>
        <v>PORCA DUPLA DE 1/2" UNF - ZB</v>
      </c>
      <c r="C215" s="22">
        <f ca="1">IFERROR(__xludf.DUMMYFUNCTION("""COMPUTED_VALUE"""),0.82)</f>
        <v>0.82</v>
      </c>
    </row>
    <row r="216" spans="1:3" x14ac:dyDescent="0.2">
      <c r="A216" s="4">
        <f ca="1">IFERROR(__xludf.DUMMYFUNCTION("""COMPUTED_VALUE"""),282005)</f>
        <v>282005</v>
      </c>
      <c r="B216" s="4" t="str">
        <f ca="1">IFERROR(__xludf.DUMMYFUNCTION("""COMPUTED_VALUE"""),"REBITE DE ALUMINIO 4X5")</f>
        <v>REBITE DE ALUMINIO 4X5</v>
      </c>
      <c r="C216" s="22">
        <f ca="1">IFERROR(__xludf.DUMMYFUNCTION("""COMPUTED_VALUE"""),0.06)</f>
        <v>0.06</v>
      </c>
    </row>
    <row r="217" spans="1:3" x14ac:dyDescent="0.2">
      <c r="A217" s="4">
        <f ca="1">IFERROR(__xludf.DUMMYFUNCTION("""COMPUTED_VALUE"""),282169)</f>
        <v>282169</v>
      </c>
      <c r="B217" s="4" t="str">
        <f ca="1">IFERROR(__xludf.DUMMYFUNCTION("""COMPUTED_VALUE"""),"REBITE DE ALUMINIO 6X12")</f>
        <v>REBITE DE ALUMINIO 6X12</v>
      </c>
      <c r="C217" s="22">
        <f ca="1">IFERROR(__xludf.DUMMYFUNCTION("""COMPUTED_VALUE"""),0.22)</f>
        <v>0.22</v>
      </c>
    </row>
    <row r="218" spans="1:3" x14ac:dyDescent="0.2">
      <c r="A218" s="4">
        <f ca="1">IFERROR(__xludf.DUMMYFUNCTION("""COMPUTED_VALUE"""),284191)</f>
        <v>284191</v>
      </c>
      <c r="B218" s="4" t="str">
        <f ca="1">IFERROR(__xludf.DUMMYFUNCTION("""COMPUTED_VALUE"""),"RETENTOR REF 1707 BR (AR-5045)")</f>
        <v>RETENTOR REF 1707 BR (AR-5045)</v>
      </c>
      <c r="C218" s="22">
        <f ca="1">IFERROR(__xludf.DUMMYFUNCTION("""COMPUTED_VALUE"""),3.78)</f>
        <v>3.78</v>
      </c>
    </row>
    <row r="219" spans="1:3" x14ac:dyDescent="0.2">
      <c r="A219" s="4">
        <f ca="1">IFERROR(__xludf.DUMMYFUNCTION("""COMPUTED_VALUE"""),284210)</f>
        <v>284210</v>
      </c>
      <c r="B219" s="4" t="str">
        <f ca="1">IFERROR(__xludf.DUMMYFUNCTION("""COMPUTED_VALUE"""),"RETENTOR REF 1552 BR (AR-5363)")</f>
        <v>RETENTOR REF 1552 BR (AR-5363)</v>
      </c>
      <c r="C219" s="22">
        <f ca="1">IFERROR(__xludf.DUMMYFUNCTION("""COMPUTED_VALUE"""),7.74)</f>
        <v>7.74</v>
      </c>
    </row>
    <row r="220" spans="1:3" x14ac:dyDescent="0.2">
      <c r="A220" s="4">
        <f ca="1">IFERROR(__xludf.DUMMYFUNCTION("""COMPUTED_VALUE"""),284245)</f>
        <v>284245</v>
      </c>
      <c r="B220" s="4" t="str">
        <f ca="1">IFERROR(__xludf.DUMMYFUNCTION("""COMPUTED_VALUE"""),"RETENTOR REF 00517 BR (AR-5346)")</f>
        <v>RETENTOR REF 00517 BR (AR-5346)</v>
      </c>
      <c r="C220" s="22">
        <f ca="1">IFERROR(__xludf.DUMMYFUNCTION("""COMPUTED_VALUE"""),6.13)</f>
        <v>6.13</v>
      </c>
    </row>
    <row r="221" spans="1:3" x14ac:dyDescent="0.2">
      <c r="A221" s="4">
        <f ca="1">IFERROR(__xludf.DUMMYFUNCTION("""COMPUTED_VALUE"""),284282)</f>
        <v>284282</v>
      </c>
      <c r="B221" s="4" t="str">
        <f ca="1">IFERROR(__xludf.DUMMYFUNCTION("""COMPUTED_VALUE"""),"RETENTOR REF 00793 BA (AR-5006)")</f>
        <v>RETENTOR REF 00793 BA (AR-5006)</v>
      </c>
      <c r="C221" s="22">
        <f ca="1">IFERROR(__xludf.DUMMYFUNCTION("""COMPUTED_VALUE"""),5.34)</f>
        <v>5.34</v>
      </c>
    </row>
    <row r="222" spans="1:3" x14ac:dyDescent="0.2">
      <c r="A222" s="4">
        <f ca="1">IFERROR(__xludf.DUMMYFUNCTION("""COMPUTED_VALUE"""),288603)</f>
        <v>288603</v>
      </c>
      <c r="B222" s="4" t="str">
        <f ca="1">IFERROR(__xludf.DUMMYFUNCTION("""COMPUTED_VALUE"""),"ROLAMENTO 30206 SPZ/ZWZ/GBR/1ªL")</f>
        <v>ROLAMENTO 30206 SPZ/ZWZ/GBR/1ªL</v>
      </c>
      <c r="C222" s="22">
        <f ca="1">IFERROR(__xludf.DUMMYFUNCTION("""COMPUTED_VALUE"""),7.76)</f>
        <v>7.76</v>
      </c>
    </row>
    <row r="223" spans="1:3" x14ac:dyDescent="0.2">
      <c r="A223" s="4">
        <f ca="1">IFERROR(__xludf.DUMMYFUNCTION("""COMPUTED_VALUE"""),288986)</f>
        <v>288986</v>
      </c>
      <c r="B223" s="4" t="str">
        <f ca="1">IFERROR(__xludf.DUMMYFUNCTION("""COMPUTED_VALUE"""),"ROLAMENTO 30207 SPZ/ZWZ/GBR/1ª L")</f>
        <v>ROLAMENTO 30207 SPZ/ZWZ/GBR/1ª L</v>
      </c>
      <c r="C223" s="22">
        <f ca="1">IFERROR(__xludf.DUMMYFUNCTION("""COMPUTED_VALUE"""),11.56)</f>
        <v>11.56</v>
      </c>
    </row>
    <row r="224" spans="1:3" x14ac:dyDescent="0.2">
      <c r="A224" s="4">
        <f ca="1">IFERROR(__xludf.DUMMYFUNCTION("""COMPUTED_VALUE"""),289024)</f>
        <v>289024</v>
      </c>
      <c r="B224" s="4" t="str">
        <f ca="1">IFERROR(__xludf.DUMMYFUNCTION("""COMPUTED_VALUE"""),"ROLAMENTO 30208 SPZ/ZWZ/GBR/1ª L")</f>
        <v>ROLAMENTO 30208 SPZ/ZWZ/GBR/1ª L</v>
      </c>
      <c r="C224" s="22">
        <f ca="1">IFERROR(__xludf.DUMMYFUNCTION("""COMPUTED_VALUE"""),13.1)</f>
        <v>13.1</v>
      </c>
    </row>
    <row r="225" spans="1:3" x14ac:dyDescent="0.2">
      <c r="A225" s="4">
        <f ca="1">IFERROR(__xludf.DUMMYFUNCTION("""COMPUTED_VALUE"""),289206)</f>
        <v>289206</v>
      </c>
      <c r="B225" s="4" t="str">
        <f ca="1">IFERROR(__xludf.DUMMYFUNCTION("""COMPUTED_VALUE"""),"ROLAMENTO 30210 SPZ/ZWZ/GBR/1ª L")</f>
        <v>ROLAMENTO 30210 SPZ/ZWZ/GBR/1ª L</v>
      </c>
      <c r="C225" s="22">
        <f ca="1">IFERROR(__xludf.DUMMYFUNCTION("""COMPUTED_VALUE"""),15.52)</f>
        <v>15.52</v>
      </c>
    </row>
    <row r="226" spans="1:3" x14ac:dyDescent="0.2">
      <c r="A226" s="4">
        <f ca="1">IFERROR(__xludf.DUMMYFUNCTION("""COMPUTED_VALUE"""),289220)</f>
        <v>289220</v>
      </c>
      <c r="B226" s="4" t="str">
        <f ca="1">IFERROR(__xludf.DUMMYFUNCTION("""COMPUTED_VALUE"""),"ROLAMENTO 33210 SPZ/ZWZ/GBR/1ª L")</f>
        <v>ROLAMENTO 33210 SPZ/ZWZ/GBR/1ª L</v>
      </c>
      <c r="C226" s="22">
        <f ca="1">IFERROR(__xludf.DUMMYFUNCTION("""COMPUTED_VALUE"""),25.03)</f>
        <v>25.03</v>
      </c>
    </row>
    <row r="227" spans="1:3" x14ac:dyDescent="0.2">
      <c r="A227" s="4">
        <f ca="1">IFERROR(__xludf.DUMMYFUNCTION("""COMPUTED_VALUE"""),289231)</f>
        <v>289231</v>
      </c>
      <c r="B227" s="4" t="str">
        <f ca="1">IFERROR(__xludf.DUMMYFUNCTION("""COMPUTED_VALUE"""),"ROLAMENTO 32207 SPZ/ZWZ/GBR/1ª L")</f>
        <v>ROLAMENTO 32207 SPZ/ZWZ/GBR/1ª L</v>
      </c>
      <c r="C227" s="22">
        <f ca="1">IFERROR(__xludf.DUMMYFUNCTION("""COMPUTED_VALUE"""),15.25)</f>
        <v>15.25</v>
      </c>
    </row>
    <row r="228" spans="1:3" x14ac:dyDescent="0.2">
      <c r="A228" s="4">
        <f ca="1">IFERROR(__xludf.DUMMYFUNCTION("""COMPUTED_VALUE"""),292023)</f>
        <v>292023</v>
      </c>
      <c r="B228" s="4" t="str">
        <f ca="1">IFERROR(__xludf.DUMMYFUNCTION("""COMPUTED_VALUE"""),"LUVA SIMPLES GALV 2"" BSP")</f>
        <v>LUVA SIMPLES GALV 2" BSP</v>
      </c>
      <c r="C228" s="22">
        <f ca="1">IFERROR(__xludf.DUMMYFUNCTION("""COMPUTED_VALUE"""),26.43)</f>
        <v>26.43</v>
      </c>
    </row>
    <row r="229" spans="1:3" x14ac:dyDescent="0.2">
      <c r="A229" s="4">
        <f ca="1">IFERROR(__xludf.DUMMYFUNCTION("""COMPUTED_VALUE"""),292205)</f>
        <v>292205</v>
      </c>
      <c r="B229" s="4" t="str">
        <f ca="1">IFERROR(__xludf.DUMMYFUNCTION("""COMPUTED_VALUE"""),"VALVULA DE GAVETA 1.1/2""")</f>
        <v>VALVULA DE GAVETA 1.1/2"</v>
      </c>
      <c r="C229" s="22">
        <f ca="1">IFERROR(__xludf.DUMMYFUNCTION("""COMPUTED_VALUE"""),52.7)</f>
        <v>52.7</v>
      </c>
    </row>
    <row r="230" spans="1:3" x14ac:dyDescent="0.2">
      <c r="A230" s="4">
        <f ca="1">IFERROR(__xludf.DUMMYFUNCTION("""COMPUTED_VALUE"""),292254)</f>
        <v>292254</v>
      </c>
      <c r="B230" s="4" t="str">
        <f ca="1">IFERROR(__xludf.DUMMYFUNCTION("""COMPUTED_VALUE"""),"VALVULA DE GAVETA 2""")</f>
        <v>VALVULA DE GAVETA 2"</v>
      </c>
      <c r="C230" s="22">
        <f ca="1">IFERROR(__xludf.DUMMYFUNCTION("""COMPUTED_VALUE"""),95.18)</f>
        <v>95.18</v>
      </c>
    </row>
    <row r="231" spans="1:3" x14ac:dyDescent="0.2">
      <c r="A231" s="4">
        <f ca="1">IFERROR(__xludf.DUMMYFUNCTION("""COMPUTED_VALUE"""),298876)</f>
        <v>298876</v>
      </c>
      <c r="B231" s="4" t="str">
        <f ca="1">IFERROR(__xludf.DUMMYFUNCTION("""COMPUTED_VALUE"""),"MACHO ENG RÁPIDO DE 1/2"" C/PROTETOR")</f>
        <v>MACHO ENG RÁPIDO DE 1/2" C/PROTETOR</v>
      </c>
      <c r="C231" s="22">
        <f ca="1">IFERROR(__xludf.DUMMYFUNCTION("""COMPUTED_VALUE"""),11.36)</f>
        <v>11.36</v>
      </c>
    </row>
    <row r="232" spans="1:3" x14ac:dyDescent="0.2">
      <c r="A232" s="4">
        <f ca="1">IFERROR(__xludf.DUMMYFUNCTION("""COMPUTED_VALUE"""),299108)</f>
        <v>299108</v>
      </c>
      <c r="B232" s="4" t="str">
        <f ca="1">IFERROR(__xludf.DUMMYFUNCTION("""COMPUTED_VALUE"""),"CABO DE ACO 3/16"" GALV. 6X7 + AF.")</f>
        <v>CABO DE ACO 3/16" GALV. 6X7 + AF.</v>
      </c>
      <c r="C232" s="22">
        <f ca="1">IFERROR(__xludf.DUMMYFUNCTION("""COMPUTED_VALUE"""),2.66)</f>
        <v>2.66</v>
      </c>
    </row>
    <row r="233" spans="1:3" x14ac:dyDescent="0.2">
      <c r="A233" s="4">
        <f ca="1">IFERROR(__xludf.DUMMYFUNCTION("""COMPUTED_VALUE"""),299534)</f>
        <v>299534</v>
      </c>
      <c r="B233" s="4" t="str">
        <f ca="1">IFERROR(__xludf.DUMMYFUNCTION("""COMPUTED_VALUE"""),"LONA DE FREIO MOLDADA 1/4X2""")</f>
        <v>LONA DE FREIO MOLDADA 1/4X2"</v>
      </c>
      <c r="C233" s="22">
        <f ca="1">IFERROR(__xludf.DUMMYFUNCTION("""COMPUTED_VALUE"""),55.43)</f>
        <v>55.43</v>
      </c>
    </row>
    <row r="234" spans="1:3" x14ac:dyDescent="0.2">
      <c r="A234" s="4">
        <f ca="1">IFERROR(__xludf.DUMMYFUNCTION("""COMPUTED_VALUE"""),313131)</f>
        <v>313131</v>
      </c>
      <c r="B234" s="4" t="str">
        <f ca="1">IFERROR(__xludf.DUMMYFUNCTION("""COMPUTED_VALUE"""),"ESM. PU ACRILICO LARANJA")</f>
        <v>ESM. PU ACRILICO LARANJA</v>
      </c>
      <c r="C234" s="22">
        <f ca="1">IFERROR(__xludf.DUMMYFUNCTION("""COMPUTED_VALUE"""),54.25)</f>
        <v>54.25</v>
      </c>
    </row>
    <row r="235" spans="1:3" x14ac:dyDescent="0.2">
      <c r="A235" s="4">
        <f ca="1">IFERROR(__xludf.DUMMYFUNCTION("""COMPUTED_VALUE"""),313210)</f>
        <v>313210</v>
      </c>
      <c r="B235" s="4" t="str">
        <f ca="1">IFERROR(__xludf.DUMMYFUNCTION("""COMPUTED_VALUE"""),"CATALIZADOR PU 1/1")</f>
        <v>CATALIZADOR PU 1/1</v>
      </c>
      <c r="C235" s="22">
        <f ca="1">IFERROR(__xludf.DUMMYFUNCTION("""COMPUTED_VALUE"""),68.62)</f>
        <v>68.62</v>
      </c>
    </row>
    <row r="236" spans="1:3" x14ac:dyDescent="0.2">
      <c r="A236" s="4">
        <f ca="1">IFERROR(__xludf.DUMMYFUNCTION("""COMPUTED_VALUE"""),318131)</f>
        <v>318131</v>
      </c>
      <c r="B236" s="4" t="str">
        <f ca="1">IFERROR(__xludf.DUMMYFUNCTION("""COMPUTED_VALUE"""),"ESM. SINT. PRETO FOSCO")</f>
        <v>ESM. SINT. PRETO FOSCO</v>
      </c>
      <c r="C236" s="22">
        <f ca="1">IFERROR(__xludf.DUMMYFUNCTION("""COMPUTED_VALUE"""),15.16)</f>
        <v>15.16</v>
      </c>
    </row>
    <row r="237" spans="1:3" x14ac:dyDescent="0.2">
      <c r="A237" s="4">
        <f ca="1">IFERROR(__xludf.DUMMYFUNCTION("""COMPUTED_VALUE"""),318133)</f>
        <v>318133</v>
      </c>
      <c r="B237" s="4" t="str">
        <f ca="1">IFERROR(__xludf.DUMMYFUNCTION("""COMPUTED_VALUE"""),"ESM. SINT. PRETO BRILHANTE")</f>
        <v>ESM. SINT. PRETO BRILHANTE</v>
      </c>
      <c r="C237" s="22">
        <f ca="1">IFERROR(__xludf.DUMMYFUNCTION("""COMPUTED_VALUE"""),16.04)</f>
        <v>16.04</v>
      </c>
    </row>
    <row r="238" spans="1:3" x14ac:dyDescent="0.2">
      <c r="A238" s="4">
        <f ca="1">IFERROR(__xludf.DUMMYFUNCTION("""COMPUTED_VALUE"""),318139)</f>
        <v>318139</v>
      </c>
      <c r="B238" s="4" t="str">
        <f ca="1">IFERROR(__xludf.DUMMYFUNCTION("""COMPUTED_VALUE"""),"ESM. SINT. AMARELO VALMET")</f>
        <v>ESM. SINT. AMARELO VALMET</v>
      </c>
      <c r="C238" s="22">
        <f ca="1">IFERROR(__xludf.DUMMYFUNCTION("""COMPUTED_VALUE"""),36.38)</f>
        <v>36.380000000000003</v>
      </c>
    </row>
    <row r="239" spans="1:3" x14ac:dyDescent="0.2">
      <c r="A239" s="4">
        <f ca="1">IFERROR(__xludf.DUMMYFUNCTION("""COMPUTED_VALUE"""),318280)</f>
        <v>318280</v>
      </c>
      <c r="B239" s="4" t="str">
        <f ca="1">IFERROR(__xludf.DUMMYFUNCTION("""COMPUTED_VALUE"""),"ESM. SINT. CINZA OPALESCENTE")</f>
        <v>ESM. SINT. CINZA OPALESCENTE</v>
      </c>
      <c r="C239" s="22">
        <f ca="1">IFERROR(__xludf.DUMMYFUNCTION("""COMPUTED_VALUE"""),0)</f>
        <v>0</v>
      </c>
    </row>
    <row r="240" spans="1:3" x14ac:dyDescent="0.2">
      <c r="A240" s="4">
        <f ca="1">IFERROR(__xludf.DUMMYFUNCTION("""COMPUTED_VALUE"""),318346)</f>
        <v>318346</v>
      </c>
      <c r="B240" s="4" t="str">
        <f ca="1">IFERROR(__xludf.DUMMYFUNCTION("""COMPUTED_VALUE"""),"ESM. SINT. VERMELHO M.F.")</f>
        <v>ESM. SINT. VERMELHO M.F.</v>
      </c>
      <c r="C240" s="22">
        <f ca="1">IFERROR(__xludf.DUMMYFUNCTION("""COMPUTED_VALUE"""),0)</f>
        <v>0</v>
      </c>
    </row>
    <row r="241" spans="1:3" x14ac:dyDescent="0.2">
      <c r="A241" s="4">
        <f ca="1">IFERROR(__xludf.DUMMYFUNCTION("""COMPUTED_VALUE"""),318358)</f>
        <v>318358</v>
      </c>
      <c r="B241" s="4" t="str">
        <f ca="1">IFERROR(__xludf.DUMMYFUNCTION("""COMPUTED_VALUE"""),"PRIMER ANTI-CORR. - CINZA")</f>
        <v>PRIMER ANTI-CORR. - CINZA</v>
      </c>
      <c r="C241" s="22">
        <f ca="1">IFERROR(__xludf.DUMMYFUNCTION("""COMPUTED_VALUE"""),18.88)</f>
        <v>18.88</v>
      </c>
    </row>
    <row r="242" spans="1:3" x14ac:dyDescent="0.2">
      <c r="A242" s="4">
        <f ca="1">IFERROR(__xludf.DUMMYFUNCTION("""COMPUTED_VALUE"""),318413)</f>
        <v>318413</v>
      </c>
      <c r="B242" s="4" t="str">
        <f ca="1">IFERROR(__xludf.DUMMYFUNCTION("""COMPUTED_VALUE"""),"ESM. SINT. LARANJA")</f>
        <v>ESM. SINT. LARANJA</v>
      </c>
      <c r="C242" s="22">
        <f ca="1">IFERROR(__xludf.DUMMYFUNCTION("""COMPUTED_VALUE"""),0)</f>
        <v>0</v>
      </c>
    </row>
    <row r="243" spans="1:3" x14ac:dyDescent="0.2">
      <c r="A243" s="4">
        <f ca="1">IFERROR(__xludf.DUMMYFUNCTION("""COMPUTED_VALUE"""),318416)</f>
        <v>318416</v>
      </c>
      <c r="B243" s="4" t="str">
        <f ca="1">IFERROR(__xludf.DUMMYFUNCTION("""COMPUTED_VALUE"""),"TINTA PÓ 26 LI LARANJA W RAL 2002 BR")</f>
        <v>TINTA PÓ 26 LI LARANJA W RAL 2002 BR</v>
      </c>
      <c r="C243" s="22">
        <f ca="1">IFERROR(__xludf.DUMMYFUNCTION("""COMPUTED_VALUE"""),38.83)</f>
        <v>38.83</v>
      </c>
    </row>
    <row r="244" spans="1:3" x14ac:dyDescent="0.2">
      <c r="A244" s="4">
        <f ca="1">IFERROR(__xludf.DUMMYFUNCTION("""COMPUTED_VALUE"""),318417)</f>
        <v>318417</v>
      </c>
      <c r="B244" s="4" t="str">
        <f ca="1">IFERROR(__xludf.DUMMYFUNCTION("""COMPUTED_VALUE"""),"TINTA PÓ 26 R LI CINZA FUMAÇA EMA 022 167")</f>
        <v>TINTA PÓ 26 R LI CINZA FUMAÇA EMA 022 167</v>
      </c>
      <c r="C244" s="22">
        <f ca="1">IFERROR(__xludf.DUMMYFUNCTION("""COMPUTED_VALUE"""),30.52)</f>
        <v>30.52</v>
      </c>
    </row>
    <row r="245" spans="1:3" x14ac:dyDescent="0.2">
      <c r="A245" s="4">
        <f ca="1">IFERROR(__xludf.DUMMYFUNCTION("""COMPUTED_VALUE"""),318449)</f>
        <v>318449</v>
      </c>
      <c r="B245" s="4" t="str">
        <f ca="1">IFERROR(__xludf.DUMMYFUNCTION("""COMPUTED_VALUE"""),"PRIMER ACRILICO CINZA")</f>
        <v>PRIMER ACRILICO CINZA</v>
      </c>
      <c r="C245" s="22">
        <f ca="1">IFERROR(__xludf.DUMMYFUNCTION("""COMPUTED_VALUE"""),4.15)</f>
        <v>4.1500000000000004</v>
      </c>
    </row>
    <row r="246" spans="1:3" x14ac:dyDescent="0.2">
      <c r="A246" s="4">
        <f ca="1">IFERROR(__xludf.DUMMYFUNCTION("""COMPUTED_VALUE"""),318504)</f>
        <v>318504</v>
      </c>
      <c r="B246" s="4" t="str">
        <f ca="1">IFERROR(__xludf.DUMMYFUNCTION("""COMPUTED_VALUE"""),"ESM. SINT. VERDE J. DEERE")</f>
        <v>ESM. SINT. VERDE J. DEERE</v>
      </c>
      <c r="C246" s="22">
        <f ca="1">IFERROR(__xludf.DUMMYFUNCTION("""COMPUTED_VALUE"""),0)</f>
        <v>0</v>
      </c>
    </row>
    <row r="247" spans="1:3" x14ac:dyDescent="0.2">
      <c r="A247" s="4">
        <f ca="1">IFERROR(__xludf.DUMMYFUNCTION("""COMPUTED_VALUE"""),318656)</f>
        <v>318656</v>
      </c>
      <c r="B247" s="4" t="str">
        <f ca="1">IFERROR(__xludf.DUMMYFUNCTION("""COMPUTED_VALUE"""),"ESM. SINT. AZUL N. HOLLAND")</f>
        <v>ESM. SINT. AZUL N. HOLLAND</v>
      </c>
      <c r="C247" s="22">
        <f ca="1">IFERROR(__xludf.DUMMYFUNCTION("""COMPUTED_VALUE"""),50.12)</f>
        <v>50.12</v>
      </c>
    </row>
    <row r="248" spans="1:3" x14ac:dyDescent="0.2">
      <c r="A248" s="4">
        <f ca="1">IFERROR(__xludf.DUMMYFUNCTION("""COMPUTED_VALUE"""),326409)</f>
        <v>326409</v>
      </c>
      <c r="B248" s="4" t="str">
        <f ca="1">IFERROR(__xludf.DUMMYFUNCTION("""COMPUTED_VALUE"""),"VERNIZ SINTÉTICO - TINGIDO")</f>
        <v>VERNIZ SINTÉTICO - TINGIDO</v>
      </c>
      <c r="C248" s="22">
        <f ca="1">IFERROR(__xludf.DUMMYFUNCTION("""COMPUTED_VALUE"""),24.96)</f>
        <v>24.96</v>
      </c>
    </row>
    <row r="249" spans="1:3" x14ac:dyDescent="0.2">
      <c r="A249" s="4">
        <f ca="1">IFERROR(__xludf.DUMMYFUNCTION("""COMPUTED_VALUE"""),350102)</f>
        <v>350102</v>
      </c>
      <c r="B249" s="4" t="str">
        <f ca="1">IFERROR(__xludf.DUMMYFUNCTION("""COMPUTED_VALUE"""),"ARAME COBREADO MIG 1.2 (ER70S6)")</f>
        <v>ARAME COBREADO MIG 1.2 (ER70S6)</v>
      </c>
      <c r="C249" s="22">
        <f ca="1">IFERROR(__xludf.DUMMYFUNCTION("""COMPUTED_VALUE"""),14.37)</f>
        <v>14.37</v>
      </c>
    </row>
    <row r="250" spans="1:3" x14ac:dyDescent="0.2">
      <c r="A250" s="4">
        <f ca="1">IFERROR(__xludf.DUMMYFUNCTION("""COMPUTED_VALUE"""),350620)</f>
        <v>350620</v>
      </c>
      <c r="B250" s="4" t="str">
        <f ca="1">IFERROR(__xludf.DUMMYFUNCTION("""COMPUTED_VALUE"""),"THINNER P/ ESMALTE SINTETICO")</f>
        <v>THINNER P/ ESMALTE SINTETICO</v>
      </c>
      <c r="C250" s="22">
        <f ca="1">IFERROR(__xludf.DUMMYFUNCTION("""COMPUTED_VALUE"""),23.27)</f>
        <v>23.27</v>
      </c>
    </row>
    <row r="251" spans="1:3" x14ac:dyDescent="0.2">
      <c r="A251" s="4">
        <f ca="1">IFERROR(__xludf.DUMMYFUNCTION("""COMPUTED_VALUE"""),400025)</f>
        <v>400025</v>
      </c>
      <c r="B251" s="4" t="str">
        <f ca="1">IFERROR(__xludf.DUMMYFUNCTION("""COMPUTED_VALUE"""),"MAD. BARROTE P/EMBALAGEM 0.045X0.05X3.0M")</f>
        <v>MAD. BARROTE P/EMBALAGEM 0.045X0.05X3.0M</v>
      </c>
      <c r="C251" s="22">
        <f ca="1">IFERROR(__xludf.DUMMYFUNCTION("""COMPUTED_VALUE"""),20.42)</f>
        <v>20.420000000000002</v>
      </c>
    </row>
    <row r="252" spans="1:3" x14ac:dyDescent="0.2">
      <c r="A252" s="4">
        <f ca="1">IFERROR(__xludf.DUMMYFUNCTION("""COMPUTED_VALUE"""),497820)</f>
        <v>497820</v>
      </c>
      <c r="B252" s="4" t="str">
        <f ca="1">IFERROR(__xludf.DUMMYFUNCTION("""COMPUTED_VALUE"""),"MANTA FILMA POLIET. 2mm. X 1,20 MT.")</f>
        <v>MANTA FILMA POLIET. 2mm. X 1,20 MT.</v>
      </c>
      <c r="C252" s="22">
        <f ca="1">IFERROR(__xludf.DUMMYFUNCTION("""COMPUTED_VALUE"""),2.23)</f>
        <v>2.23</v>
      </c>
    </row>
    <row r="253" spans="1:3" x14ac:dyDescent="0.2">
      <c r="A253" s="4">
        <f ca="1">IFERROR(__xludf.DUMMYFUNCTION("""COMPUTED_VALUE"""),497822)</f>
        <v>497822</v>
      </c>
      <c r="B253" s="4" t="str">
        <f ca="1">IFERROR(__xludf.DUMMYFUNCTION("""COMPUTED_VALUE"""),"TUBO EPE DIAM. 30 X 3MM X 1,6M CÓD.T30.3.1,6D30")</f>
        <v>TUBO EPE DIAM. 30 X 3MM X 1,6M CÓD.T30.3.1,6D30</v>
      </c>
      <c r="C253" s="22">
        <f ca="1">IFERROR(__xludf.DUMMYFUNCTION("""COMPUTED_VALUE"""),1)</f>
        <v>1</v>
      </c>
    </row>
    <row r="254" spans="1:3" x14ac:dyDescent="0.2">
      <c r="A254" s="4">
        <f ca="1">IFERROR(__xludf.DUMMYFUNCTION("""COMPUTED_VALUE"""),497850)</f>
        <v>497850</v>
      </c>
      <c r="B254" s="4" t="str">
        <f ca="1">IFERROR(__xludf.DUMMYFUNCTION("""COMPUTED_VALUE"""),"MAD. P/ EMBALAGEM PINOS")</f>
        <v>MAD. P/ EMBALAGEM PINOS</v>
      </c>
      <c r="C254" s="22">
        <f ca="1">IFERROR(__xludf.DUMMYFUNCTION("""COMPUTED_VALUE"""),2268.74)</f>
        <v>2268.7399999999998</v>
      </c>
    </row>
    <row r="255" spans="1:3" x14ac:dyDescent="0.2">
      <c r="A255" s="4">
        <f ca="1">IFERROR(__xludf.DUMMYFUNCTION("""COMPUTED_VALUE"""),497885)</f>
        <v>497885</v>
      </c>
      <c r="B255" s="4" t="str">
        <f ca="1">IFERROR(__xludf.DUMMYFUNCTION("""COMPUTED_VALUE"""),"FITA MET.P/EMB. - 1mm X 1''")</f>
        <v>FITA MET.P/EMB. - 1mm X 1''</v>
      </c>
      <c r="C255" s="22">
        <f ca="1">IFERROR(__xludf.DUMMYFUNCTION("""COMPUTED_VALUE"""),13.79)</f>
        <v>13.79</v>
      </c>
    </row>
    <row r="256" spans="1:3" x14ac:dyDescent="0.2">
      <c r="A256" s="4">
        <f ca="1">IFERROR(__xludf.DUMMYFUNCTION("""COMPUTED_VALUE"""),801084)</f>
        <v>801084</v>
      </c>
      <c r="B256" s="4" t="str">
        <f ca="1">IFERROR(__xludf.DUMMYFUNCTION("""COMPUTED_VALUE"""),"DIOXIDO DE CARBONO 2.2 NA (25KG)")</f>
        <v>DIOXIDO DE CARBONO 2.2 NA (25KG)</v>
      </c>
      <c r="C256" s="22">
        <f ca="1">IFERROR(__xludf.DUMMYFUNCTION("""COMPUTED_VALUE"""),13.8)</f>
        <v>13.8</v>
      </c>
    </row>
    <row r="257" spans="1:3" x14ac:dyDescent="0.2">
      <c r="A257" s="4">
        <f ca="1">IFERROR(__xludf.DUMMYFUNCTION("""COMPUTED_VALUE"""),801112)</f>
        <v>801112</v>
      </c>
      <c r="B257" s="4" t="str">
        <f ca="1">IFERROR(__xludf.DUMMYFUNCTION("""COMPUTED_VALUE"""),"ARGONIO LIQUIDO")</f>
        <v>ARGONIO LIQUIDO</v>
      </c>
      <c r="C257" s="22">
        <f ca="1">IFERROR(__xludf.DUMMYFUNCTION("""COMPUTED_VALUE"""),18.07)</f>
        <v>18.07</v>
      </c>
    </row>
    <row r="258" spans="1:3" x14ac:dyDescent="0.2">
      <c r="A258" s="4">
        <f ca="1">IFERROR(__xludf.DUMMYFUNCTION("""COMPUTED_VALUE"""),802013)</f>
        <v>802013</v>
      </c>
      <c r="B258" s="4" t="str">
        <f ca="1">IFERROR(__xludf.DUMMYFUNCTION("""COMPUTED_VALUE"""),"GRAXA LUBRIFICANTE")</f>
        <v>GRAXA LUBRIFICANTE</v>
      </c>
      <c r="C258" s="22">
        <f ca="1">IFERROR(__xludf.DUMMYFUNCTION("""COMPUTED_VALUE"""),28.08)</f>
        <v>28.08</v>
      </c>
    </row>
    <row r="259" spans="1:3" x14ac:dyDescent="0.2">
      <c r="A259" s="4">
        <f ca="1">IFERROR(__xludf.DUMMYFUNCTION("""COMPUTED_VALUE"""),116611)</f>
        <v>116611</v>
      </c>
      <c r="B259" s="4" t="str">
        <f ca="1">IFERROR(__xludf.DUMMYFUNCTION("""COMPUTED_VALUE"""),"COMP. NAVAL SOMASSOALHO 3090 X 1795 X 20MM")</f>
        <v>COMP. NAVAL SOMASSOALHO 3090 X 1795 X 20MM</v>
      </c>
      <c r="C259" s="22">
        <f ca="1">IFERROR(__xludf.DUMMYFUNCTION("""COMPUTED_VALUE"""),689.61)</f>
        <v>689.61</v>
      </c>
    </row>
    <row r="260" spans="1:3" x14ac:dyDescent="0.2">
      <c r="A260" s="4">
        <f ca="1">IFERROR(__xludf.DUMMYFUNCTION("""COMPUTED_VALUE"""),116612)</f>
        <v>116612</v>
      </c>
      <c r="B260" s="4" t="str">
        <f ca="1">IFERROR(__xludf.DUMMYFUNCTION("""COMPUTED_VALUE"""),"COMP. NAVAL SOMASSOALHO 3070 X 450 X 20MM")</f>
        <v>COMP. NAVAL SOMASSOALHO 3070 X 450 X 20MM</v>
      </c>
      <c r="C260" s="22">
        <f ca="1">IFERROR(__xludf.DUMMYFUNCTION("""COMPUTED_VALUE"""),171.29)</f>
        <v>171.29</v>
      </c>
    </row>
    <row r="261" spans="1:3" x14ac:dyDescent="0.2">
      <c r="A261" s="4">
        <f ca="1">IFERROR(__xludf.DUMMYFUNCTION("""COMPUTED_VALUE"""),116613)</f>
        <v>116613</v>
      </c>
      <c r="B261" s="4" t="str">
        <f ca="1">IFERROR(__xludf.DUMMYFUNCTION("""COMPUTED_VALUE"""),"COMP. NAVAL SOMASSOALHO 1890X 450 X 20MM")</f>
        <v>COMP. NAVAL SOMASSOALHO 1890X 450 X 20MM</v>
      </c>
      <c r="C261" s="22">
        <f ca="1">IFERROR(__xludf.DUMMYFUNCTION("""COMPUTED_VALUE"""),105.45)</f>
        <v>105.45</v>
      </c>
    </row>
    <row r="262" spans="1:3" x14ac:dyDescent="0.2">
      <c r="A262" s="4">
        <f ca="1">IFERROR(__xludf.DUMMYFUNCTION("""COMPUTED_VALUE"""),116614)</f>
        <v>116614</v>
      </c>
      <c r="B262" s="4" t="str">
        <f ca="1">IFERROR(__xludf.DUMMYFUNCTION("""COMPUTED_VALUE"""),"COMP. NAVAL SOMASSOALHO 3095 X 1795 X 20MM")</f>
        <v>COMP. NAVAL SOMASSOALHO 3095 X 1795 X 20MM</v>
      </c>
      <c r="C262" s="22">
        <f ca="1">IFERROR(__xludf.DUMMYFUNCTION("""COMPUTED_VALUE"""),672.56)</f>
        <v>672.56</v>
      </c>
    </row>
    <row r="263" spans="1:3" x14ac:dyDescent="0.2">
      <c r="A263" s="4">
        <f ca="1">IFERROR(__xludf.DUMMYFUNCTION("""COMPUTED_VALUE"""),116615)</f>
        <v>116615</v>
      </c>
      <c r="B263" s="4" t="str">
        <f ca="1">IFERROR(__xludf.DUMMYFUNCTION("""COMPUTED_VALUE"""),"COMP. NAVAL SOMASSOALHO 3870 X 450 X 20MM")</f>
        <v>COMP. NAVAL SOMASSOALHO 3870 X 450 X 20MM</v>
      </c>
      <c r="C263" s="22">
        <f ca="1">IFERROR(__xludf.DUMMYFUNCTION("""COMPUTED_VALUE"""),215.92)</f>
        <v>215.92</v>
      </c>
    </row>
    <row r="264" spans="1:3" x14ac:dyDescent="0.2">
      <c r="A264" s="4">
        <f ca="1">IFERROR(__xludf.DUMMYFUNCTION("""COMPUTED_VALUE"""),116616)</f>
        <v>116616</v>
      </c>
      <c r="B264" s="4" t="str">
        <f ca="1">IFERROR(__xludf.DUMMYFUNCTION("""COMPUTED_VALUE"""),"COMP. NAVAL SOMASSOALHO 1890 X 900 X 20MM")</f>
        <v>COMP. NAVAL SOMASSOALHO 1890 X 900 X 20MM</v>
      </c>
      <c r="C264" s="22">
        <f ca="1">IFERROR(__xludf.DUMMYFUNCTION("""COMPUTED_VALUE"""),213.73)</f>
        <v>213.73</v>
      </c>
    </row>
    <row r="265" spans="1:3" x14ac:dyDescent="0.2">
      <c r="A265" s="4">
        <f ca="1">IFERROR(__xludf.DUMMYFUNCTION("""COMPUTED_VALUE"""),116617)</f>
        <v>116617</v>
      </c>
      <c r="B265" s="4" t="str">
        <f ca="1">IFERROR(__xludf.DUMMYFUNCTION("""COMPUTED_VALUE"""),"COMP. NAVAL SOMASSOALHO 3890 X 1795 X 20MM")</f>
        <v>COMP. NAVAL SOMASSOALHO 3890 X 1795 X 20MM</v>
      </c>
      <c r="C265" s="22">
        <f ca="1">IFERROR(__xludf.DUMMYFUNCTION("""COMPUTED_VALUE"""),868.16)</f>
        <v>868.16</v>
      </c>
    </row>
    <row r="266" spans="1:3" x14ac:dyDescent="0.2">
      <c r="A266" s="4">
        <f ca="1">IFERROR(__xludf.DUMMYFUNCTION("""COMPUTED_VALUE"""),116618)</f>
        <v>116618</v>
      </c>
      <c r="B266" s="4" t="str">
        <f ca="1">IFERROR(__xludf.DUMMYFUNCTION("""COMPUTED_VALUE"""),"COMP. NAVAL SOMASSOALHO 1890 X 600 X 20MM")</f>
        <v>COMP. NAVAL SOMASSOALHO 1890 X 600 X 20MM</v>
      </c>
      <c r="C266" s="22">
        <f ca="1">IFERROR(__xludf.DUMMYFUNCTION("""COMPUTED_VALUE"""),140.6)</f>
        <v>140.6</v>
      </c>
    </row>
    <row r="267" spans="1:3" x14ac:dyDescent="0.2">
      <c r="A267" s="4">
        <f ca="1">IFERROR(__xludf.DUMMYFUNCTION("""COMPUTED_VALUE"""),116619)</f>
        <v>116619</v>
      </c>
      <c r="B267" s="4" t="str">
        <f ca="1">IFERROR(__xludf.DUMMYFUNCTION("""COMPUTED_VALUE"""),"COMP. NAVAL SOMASSOALHO 3870 X 600 X 20MM")</f>
        <v>COMP. NAVAL SOMASSOALHO 3870 X 600 X 20MM</v>
      </c>
      <c r="C267" s="22">
        <f ca="1">IFERROR(__xludf.DUMMYFUNCTION("""COMPUTED_VALUE"""),287.89)</f>
        <v>287.89</v>
      </c>
    </row>
    <row r="268" spans="1:3" x14ac:dyDescent="0.2">
      <c r="A268" s="4">
        <f ca="1">IFERROR(__xludf.DUMMYFUNCTION("""COMPUTED_VALUE"""),116620)</f>
        <v>116620</v>
      </c>
      <c r="B268" s="4" t="str">
        <f ca="1">IFERROR(__xludf.DUMMYFUNCTION("""COMPUTED_VALUE"""),"COMP. NAVAL SOMASSOALHO 3070 X 600 X 20MM")</f>
        <v>COMP. NAVAL SOMASSOALHO 3070 X 600 X 20MM</v>
      </c>
      <c r="C268" s="22">
        <f ca="1">IFERROR(__xludf.DUMMYFUNCTION("""COMPUTED_VALUE"""),228.36)</f>
        <v>228.36</v>
      </c>
    </row>
    <row r="269" spans="1:3" x14ac:dyDescent="0.2">
      <c r="A269" s="4">
        <f ca="1">IFERROR(__xludf.DUMMYFUNCTION("""COMPUTED_VALUE"""),120706)</f>
        <v>120706</v>
      </c>
      <c r="B269" s="4" t="str">
        <f ca="1">IFERROR(__xludf.DUMMYFUNCTION("""COMPUTED_VALUE"""),"CHAPA FQ #13 (1,20 x 2,40m) 1010")</f>
        <v>CHAPA FQ #13 (1,20 x 2,40m) 1010</v>
      </c>
      <c r="C269" s="22">
        <f ca="1">IFERROR(__xludf.DUMMYFUNCTION("""COMPUTED_VALUE"""),6.57)</f>
        <v>6.57</v>
      </c>
    </row>
    <row r="270" spans="1:3" x14ac:dyDescent="0.2">
      <c r="A270" s="4">
        <f ca="1">IFERROR(__xludf.DUMMYFUNCTION("""COMPUTED_VALUE"""),313137)</f>
        <v>313137</v>
      </c>
      <c r="B270" s="4" t="str">
        <f ca="1">IFERROR(__xludf.DUMMYFUNCTION("""COMPUTED_VALUE"""),"ESM. PU CINZA OPALESCENTE")</f>
        <v>ESM. PU CINZA OPALESCENTE</v>
      </c>
      <c r="C270" s="22">
        <f ca="1">IFERROR(__xludf.DUMMYFUNCTION("""COMPUTED_VALUE"""),38.08)</f>
        <v>38.08</v>
      </c>
    </row>
    <row r="271" spans="1:3" x14ac:dyDescent="0.2">
      <c r="A271" s="4">
        <f ca="1">IFERROR(__xludf.DUMMYFUNCTION("""COMPUTED_VALUE"""),120706)</f>
        <v>120706</v>
      </c>
      <c r="B271" s="4" t="str">
        <f ca="1">IFERROR(__xludf.DUMMYFUNCTION("""COMPUTED_VALUE"""),"CHAPA FQ #13 (1,20 x 2,40m) 1010")</f>
        <v>CHAPA FQ #13 (1,20 x 2,40m) 1010</v>
      </c>
      <c r="C271" s="22">
        <f ca="1">IFERROR(__xludf.DUMMYFUNCTION("""COMPUTED_VALUE"""),6.57)</f>
        <v>6.57</v>
      </c>
    </row>
    <row r="272" spans="1:3" x14ac:dyDescent="0.2">
      <c r="A272" s="4">
        <f ca="1">IFERROR(__xludf.DUMMYFUNCTION("""COMPUTED_VALUE"""),120307)</f>
        <v>120307</v>
      </c>
      <c r="B272" s="4" t="str">
        <f ca="1">IFERROR(__xludf.DUMMYFUNCTION("""COMPUTED_VALUE"""),"CHAPA FQ #12 (1,20 x 4,00m) 1010")</f>
        <v>CHAPA FQ #12 (1,20 x 4,00m) 1010</v>
      </c>
      <c r="C272" s="22">
        <f ca="1">IFERROR(__xludf.DUMMYFUNCTION("""COMPUTED_VALUE"""),6.93)</f>
        <v>6.93</v>
      </c>
    </row>
    <row r="273" spans="1:3" x14ac:dyDescent="0.2">
      <c r="A273" s="4">
        <f ca="1">IFERROR(__xludf.DUMMYFUNCTION("""COMPUTED_VALUE"""),120926)</f>
        <v>120926</v>
      </c>
      <c r="B273" s="4" t="str">
        <f ca="1">IFERROR(__xludf.DUMMYFUNCTION("""COMPUTED_VALUE"""),"CHAPA FQ #12 (1,20 x 2,55m) 1010")</f>
        <v>CHAPA FQ #12 (1,20 x 2,55m) 1010</v>
      </c>
      <c r="C273" s="22">
        <f ca="1">IFERROR(__xludf.DUMMYFUNCTION("""COMPUTED_VALUE"""),6.06)</f>
        <v>6.06</v>
      </c>
    </row>
    <row r="274" spans="1:3" x14ac:dyDescent="0.2">
      <c r="A274" s="4">
        <f ca="1">IFERROR(__xludf.DUMMYFUNCTION("""COMPUTED_VALUE"""),120927)</f>
        <v>120927</v>
      </c>
      <c r="B274" s="4" t="str">
        <f ca="1">IFERROR(__xludf.DUMMYFUNCTION("""COMPUTED_VALUE"""),"CHAPA FQ #12 (1,50 x 2,55m) 1010")</f>
        <v>CHAPA FQ #12 (1,50 x 2,55m) 1010</v>
      </c>
      <c r="C274" s="22">
        <f ca="1">IFERROR(__xludf.DUMMYFUNCTION("""COMPUTED_VALUE"""),6.93)</f>
        <v>6.93</v>
      </c>
    </row>
    <row r="275" spans="1:3" x14ac:dyDescent="0.2">
      <c r="A275" s="4">
        <f ca="1">IFERROR(__xludf.DUMMYFUNCTION("""COMPUTED_VALUE"""),292242)</f>
        <v>292242</v>
      </c>
      <c r="B275" s="4" t="str">
        <f ca="1">IFERROR(__xludf.DUMMYFUNCTION("""COMPUTED_VALUE"""),"TAMPAO PVC 2""")</f>
        <v>TAMPAO PVC 2"</v>
      </c>
      <c r="C275" s="22">
        <f ca="1">IFERROR(__xludf.DUMMYFUNCTION("""COMPUTED_VALUE"""),16.44)</f>
        <v>16.440000000000001</v>
      </c>
    </row>
    <row r="276" spans="1:3" x14ac:dyDescent="0.2">
      <c r="A276" s="4">
        <f ca="1">IFERROR(__xludf.DUMMYFUNCTION("""COMPUTED_VALUE"""),258416)</f>
        <v>258416</v>
      </c>
      <c r="B276" s="4" t="str">
        <f ca="1">IFERROR(__xludf.DUMMYFUNCTION("""COMPUTED_VALUE"""),"PARAF SEX 5/16X 1.1/4 UNC")</f>
        <v>PARAF SEX 5/16X 1.1/4 UNC</v>
      </c>
      <c r="C276" s="22">
        <f ca="1">IFERROR(__xludf.DUMMYFUNCTION("""COMPUTED_VALUE"""),0.75)</f>
        <v>0.75</v>
      </c>
    </row>
    <row r="277" spans="1:3" x14ac:dyDescent="0.2">
      <c r="A277" s="4">
        <f ca="1">IFERROR(__xludf.DUMMYFUNCTION("""COMPUTED_VALUE"""),120306)</f>
        <v>120306</v>
      </c>
      <c r="B277" s="4" t="str">
        <f ca="1">IFERROR(__xludf.DUMMYFUNCTION("""COMPUTED_VALUE"""),"CHAPA FQ #12 (1,50 x 3,00m) 1010")</f>
        <v>CHAPA FQ #12 (1,50 x 3,00m) 1010</v>
      </c>
      <c r="C277" s="22">
        <f ca="1">IFERROR(__xludf.DUMMYFUNCTION("""COMPUTED_VALUE"""),8.03)</f>
        <v>8.0299999999999994</v>
      </c>
    </row>
    <row r="278" spans="1:3" x14ac:dyDescent="0.2">
      <c r="A278" s="4">
        <f ca="1">IFERROR(__xludf.DUMMYFUNCTION("""COMPUTED_VALUE"""),120548)</f>
        <v>120548</v>
      </c>
      <c r="B278" s="4" t="str">
        <f ca="1">IFERROR(__xludf.DUMMYFUNCTION("""COMPUTED_VALUE"""),"CHAPA FQ #12 (1,50 x 4,00m) 1010")</f>
        <v>CHAPA FQ #12 (1,50 x 4,00m) 1010</v>
      </c>
      <c r="C278" s="22">
        <f ca="1">IFERROR(__xludf.DUMMYFUNCTION("""COMPUTED_VALUE"""),8.03)</f>
        <v>8.0299999999999994</v>
      </c>
    </row>
    <row r="279" spans="1:3" x14ac:dyDescent="0.2">
      <c r="A279" s="4">
        <f ca="1">IFERROR(__xludf.DUMMYFUNCTION("""COMPUTED_VALUE"""),350106)</f>
        <v>350106</v>
      </c>
      <c r="B279" s="4" t="str">
        <f ca="1">IFERROR(__xludf.DUMMYFUNCTION("""COMPUTED_VALUE"""),"ARAME COBRE MIG 1.2 BARRICA 140KG")</f>
        <v>ARAME COBRE MIG 1.2 BARRICA 140KG</v>
      </c>
      <c r="C279" s="22">
        <f ca="1">IFERROR(__xludf.DUMMYFUNCTION("""COMPUTED_VALUE"""),14.46)</f>
        <v>14.46</v>
      </c>
    </row>
    <row r="280" spans="1:3" x14ac:dyDescent="0.2">
      <c r="A280" s="4">
        <f ca="1">IFERROR(__xludf.DUMMYFUNCTION("""COMPUTED_VALUE"""),113050)</f>
        <v>113050</v>
      </c>
      <c r="B280" s="4" t="str">
        <f ca="1">IFERROR(__xludf.DUMMYFUNCTION("""COMPUTED_VALUE"""),"ACO TREF. RED. SAE-1020 - 1.1/2""")</f>
        <v>ACO TREF. RED. SAE-1020 - 1.1/2"</v>
      </c>
      <c r="C280" s="22">
        <f ca="1">IFERROR(__xludf.DUMMYFUNCTION("""COMPUTED_VALUE"""),10.34)</f>
        <v>10.34</v>
      </c>
    </row>
    <row r="281" spans="1:3" x14ac:dyDescent="0.2">
      <c r="A281" s="4">
        <f ca="1">IFERROR(__xludf.DUMMYFUNCTION("""COMPUTED_VALUE"""),256020)</f>
        <v>256020</v>
      </c>
      <c r="B281" s="4" t="str">
        <f ca="1">IFERROR(__xludf.DUMMYFUNCTION("""COMPUTED_VALUE"""),"PARAF FRANC 1/2 X 1.1/2 GALV")</f>
        <v>PARAF FRANC 1/2 X 1.1/2 GALV</v>
      </c>
      <c r="C281" s="22">
        <f ca="1">IFERROR(__xludf.DUMMYFUNCTION("""COMPUTED_VALUE"""),10.89)</f>
        <v>10.89</v>
      </c>
    </row>
    <row r="282" spans="1:3" x14ac:dyDescent="0.2">
      <c r="A282" s="4">
        <f ca="1">IFERROR(__xludf.DUMMYFUNCTION("""COMPUTED_VALUE"""),260484)</f>
        <v>260484</v>
      </c>
      <c r="B282" s="4" t="str">
        <f ca="1">IFERROR(__xludf.DUMMYFUNCTION("""COMPUTED_VALUE"""),"PARAF SEX 1/2 X 1.1/4 UNC")</f>
        <v>PARAF SEX 1/2 X 1.1/4 UNC</v>
      </c>
      <c r="C282" s="22">
        <f ca="1">IFERROR(__xludf.DUMMYFUNCTION("""COMPUTED_VALUE"""),8.7)</f>
        <v>8.6999999999999993</v>
      </c>
    </row>
    <row r="283" spans="1:3" x14ac:dyDescent="0.2">
      <c r="A283" s="4">
        <f ca="1">IFERROR(__xludf.DUMMYFUNCTION("""COMPUTED_VALUE"""),120258)</f>
        <v>120258</v>
      </c>
      <c r="B283" s="4" t="str">
        <f ca="1">IFERROR(__xludf.DUMMYFUNCTION("""COMPUTED_VALUE"""),"CHAPA FQ #13 (1.20 x 4,00m) 1010")</f>
        <v>CHAPA FQ #13 (1.20 x 4,00m) 1010</v>
      </c>
      <c r="C283" s="22">
        <f ca="1">IFERROR(__xludf.DUMMYFUNCTION("""COMPUTED_VALUE"""),6.38)</f>
        <v>6.38</v>
      </c>
    </row>
    <row r="284" spans="1:3" x14ac:dyDescent="0.2">
      <c r="A284" s="4">
        <f ca="1">IFERROR(__xludf.DUMMYFUNCTION("""COMPUTED_VALUE"""),120264)</f>
        <v>120264</v>
      </c>
      <c r="B284" s="4" t="str">
        <f ca="1">IFERROR(__xludf.DUMMYFUNCTION("""COMPUTED_VALUE"""),"CHAPA FQ #13 (1.20 x 3,20m) 1010")</f>
        <v>CHAPA FQ #13 (1.20 x 3,20m) 1010</v>
      </c>
      <c r="C284" s="22">
        <f ca="1">IFERROR(__xludf.DUMMYFUNCTION("""COMPUTED_VALUE"""),6.38)</f>
        <v>6.38</v>
      </c>
    </row>
    <row r="285" spans="1:3" x14ac:dyDescent="0.2">
      <c r="A285" s="4">
        <f ca="1">IFERROR(__xludf.DUMMYFUNCTION("""COMPUTED_VALUE"""),120262)</f>
        <v>120262</v>
      </c>
      <c r="B285" s="4" t="str">
        <f ca="1">IFERROR(__xludf.DUMMYFUNCTION("""COMPUTED_VALUE"""),"CHAPA FQ #13 (1.50 x 4,00m) 1010")</f>
        <v>CHAPA FQ #13 (1.50 x 4,00m) 1010</v>
      </c>
      <c r="C285" s="22">
        <f ca="1">IFERROR(__xludf.DUMMYFUNCTION("""COMPUTED_VALUE"""),6.38)</f>
        <v>6.38</v>
      </c>
    </row>
    <row r="286" spans="1:3" x14ac:dyDescent="0.2">
      <c r="A286" s="4">
        <f ca="1">IFERROR(__xludf.DUMMYFUNCTION("""COMPUTED_VALUE"""),120534)</f>
        <v>120534</v>
      </c>
      <c r="B286" s="4" t="str">
        <f ca="1">IFERROR(__xludf.DUMMYFUNCTION("""COMPUTED_VALUE"""),"CHAPA FQ #12 (1,00 x 3,80m) 1010")</f>
        <v>CHAPA FQ #12 (1,00 x 3,80m) 1010</v>
      </c>
      <c r="C286" s="22">
        <f ca="1">IFERROR(__xludf.DUMMYFUNCTION("""COMPUTED_VALUE"""),6.38)</f>
        <v>6.38</v>
      </c>
    </row>
    <row r="287" spans="1:3" x14ac:dyDescent="0.2">
      <c r="A287" s="4"/>
      <c r="B287" s="4"/>
      <c r="C287" s="22"/>
    </row>
    <row r="288" spans="1:3" x14ac:dyDescent="0.2">
      <c r="A288" s="4"/>
      <c r="B288" s="4"/>
      <c r="C288" s="22"/>
    </row>
    <row r="289" spans="1:3" x14ac:dyDescent="0.2">
      <c r="A289" s="4"/>
      <c r="B289" s="4"/>
      <c r="C289" s="22"/>
    </row>
    <row r="290" spans="1:3" x14ac:dyDescent="0.2">
      <c r="A290" s="4"/>
      <c r="B290" s="4"/>
      <c r="C290" s="22"/>
    </row>
    <row r="291" spans="1:3" x14ac:dyDescent="0.2">
      <c r="A291" s="4"/>
      <c r="B291" s="4"/>
      <c r="C291" s="22"/>
    </row>
    <row r="292" spans="1:3" x14ac:dyDescent="0.2">
      <c r="A292" s="4"/>
      <c r="B292" s="4"/>
      <c r="C292" s="22"/>
    </row>
    <row r="293" spans="1:3" x14ac:dyDescent="0.2">
      <c r="A293" s="4"/>
      <c r="B293" s="4"/>
      <c r="C293" s="22"/>
    </row>
    <row r="294" spans="1:3" x14ac:dyDescent="0.2">
      <c r="A294" s="4"/>
      <c r="B294" s="4"/>
      <c r="C294" s="22"/>
    </row>
    <row r="295" spans="1:3" x14ac:dyDescent="0.2">
      <c r="A295" s="4"/>
      <c r="B295" s="4"/>
      <c r="C295" s="22"/>
    </row>
    <row r="296" spans="1:3" x14ac:dyDescent="0.2">
      <c r="A296" s="4"/>
      <c r="B296" s="4"/>
      <c r="C296" s="22"/>
    </row>
    <row r="297" spans="1:3" x14ac:dyDescent="0.2">
      <c r="A297" s="4"/>
      <c r="B297" s="4"/>
      <c r="C297" s="22"/>
    </row>
    <row r="298" spans="1:3" x14ac:dyDescent="0.2">
      <c r="A298" s="4"/>
      <c r="B298" s="4"/>
      <c r="C298" s="22"/>
    </row>
    <row r="299" spans="1:3" x14ac:dyDescent="0.2">
      <c r="A299" s="11">
        <f ca="1">IFERROR(__xludf.DUMMYFUNCTION("""COMPUTED_VALUE"""),100000)</f>
        <v>100000</v>
      </c>
      <c r="B299" s="4"/>
      <c r="C299" s="22"/>
    </row>
    <row r="300" spans="1:3" x14ac:dyDescent="0.2">
      <c r="A300" s="11">
        <f ca="1">IFERROR(__xludf.DUMMYFUNCTION("""COMPUTED_VALUE"""),100000)</f>
        <v>100000</v>
      </c>
      <c r="B300" s="4"/>
      <c r="C300" s="22"/>
    </row>
    <row r="301" spans="1:3" x14ac:dyDescent="0.2">
      <c r="A301" s="11">
        <f ca="1">IFERROR(__xludf.DUMMYFUNCTION("""COMPUTED_VALUE"""),100000)</f>
        <v>100000</v>
      </c>
      <c r="B301" s="4"/>
      <c r="C301" s="22"/>
    </row>
    <row r="302" spans="1:3" x14ac:dyDescent="0.2">
      <c r="A302" s="11">
        <f ca="1">IFERROR(__xludf.DUMMYFUNCTION("""COMPUTED_VALUE"""),100000)</f>
        <v>100000</v>
      </c>
      <c r="B302" s="4">
        <f ca="1">IFERROR(__xludf.DUMMYFUNCTION("""COMPUTED_VALUE"""),14.96)</f>
        <v>14.96</v>
      </c>
      <c r="C302" s="22"/>
    </row>
    <row r="303" spans="1:3" x14ac:dyDescent="0.2">
      <c r="A303" s="4"/>
      <c r="B303" s="4"/>
      <c r="C303" s="22"/>
    </row>
    <row r="304" spans="1:3" x14ac:dyDescent="0.2">
      <c r="A304" s="4"/>
      <c r="B304" s="4"/>
      <c r="C304" s="22"/>
    </row>
    <row r="305" spans="1:3" x14ac:dyDescent="0.2">
      <c r="A305" s="4"/>
      <c r="B305" s="4"/>
      <c r="C305" s="22"/>
    </row>
    <row r="306" spans="1:3" x14ac:dyDescent="0.2">
      <c r="A306" s="4"/>
      <c r="B306" s="4"/>
      <c r="C306" s="22"/>
    </row>
    <row r="307" spans="1:3" x14ac:dyDescent="0.2">
      <c r="A307" s="4"/>
      <c r="B307" s="4"/>
      <c r="C307" s="22"/>
    </row>
    <row r="308" spans="1:3" x14ac:dyDescent="0.2">
      <c r="A308" s="4"/>
      <c r="B308" s="4"/>
      <c r="C308" s="22"/>
    </row>
    <row r="309" spans="1:3" x14ac:dyDescent="0.2">
      <c r="A309" s="4"/>
      <c r="B309" s="4"/>
      <c r="C309" s="22"/>
    </row>
    <row r="310" spans="1:3" x14ac:dyDescent="0.2">
      <c r="A310" s="4"/>
      <c r="B310" s="4"/>
      <c r="C310" s="22"/>
    </row>
    <row r="311" spans="1:3" x14ac:dyDescent="0.2">
      <c r="A311" s="4"/>
      <c r="B311" s="4"/>
      <c r="C311" s="22"/>
    </row>
    <row r="312" spans="1:3" x14ac:dyDescent="0.2">
      <c r="A312" s="4"/>
      <c r="B312" s="4"/>
      <c r="C312" s="22"/>
    </row>
    <row r="313" spans="1:3" x14ac:dyDescent="0.2">
      <c r="A313" s="4"/>
      <c r="B313" s="4"/>
      <c r="C313" s="22"/>
    </row>
    <row r="314" spans="1:3" x14ac:dyDescent="0.2">
      <c r="A314" s="4"/>
      <c r="B314" s="4"/>
      <c r="C314" s="22"/>
    </row>
    <row r="315" spans="1:3" x14ac:dyDescent="0.2">
      <c r="A315" s="4"/>
      <c r="B315" s="4"/>
      <c r="C315" s="22"/>
    </row>
    <row r="316" spans="1:3" x14ac:dyDescent="0.2">
      <c r="A316" s="4"/>
      <c r="B316" s="4"/>
      <c r="C316" s="22"/>
    </row>
    <row r="317" spans="1:3" x14ac:dyDescent="0.2">
      <c r="A317" s="4"/>
      <c r="B317" s="4"/>
      <c r="C317" s="22"/>
    </row>
    <row r="318" spans="1:3" x14ac:dyDescent="0.2">
      <c r="A318" s="4"/>
      <c r="B318" s="4"/>
      <c r="C318" s="22"/>
    </row>
    <row r="319" spans="1:3" x14ac:dyDescent="0.2">
      <c r="A319" s="4"/>
      <c r="B319" s="4"/>
      <c r="C319" s="22"/>
    </row>
    <row r="320" spans="1:3" x14ac:dyDescent="0.2">
      <c r="A320" s="4"/>
      <c r="B320" s="4"/>
      <c r="C320" s="22"/>
    </row>
    <row r="321" spans="1:3" x14ac:dyDescent="0.2">
      <c r="A321" s="4"/>
      <c r="B321" s="4"/>
      <c r="C321" s="22"/>
    </row>
    <row r="322" spans="1:3" x14ac:dyDescent="0.2">
      <c r="A322" s="4"/>
      <c r="B322" s="4"/>
      <c r="C322" s="22"/>
    </row>
    <row r="323" spans="1:3" x14ac:dyDescent="0.2">
      <c r="A323" s="4"/>
      <c r="B323" s="4"/>
      <c r="C323" s="22"/>
    </row>
    <row r="324" spans="1:3" x14ac:dyDescent="0.2">
      <c r="A324" s="4"/>
      <c r="B324" s="4"/>
      <c r="C324" s="22"/>
    </row>
    <row r="325" spans="1:3" x14ac:dyDescent="0.2">
      <c r="A325" s="4"/>
      <c r="B325" s="4"/>
      <c r="C325" s="22"/>
    </row>
    <row r="326" spans="1:3" x14ac:dyDescent="0.2">
      <c r="A326" s="4"/>
      <c r="B326" s="4"/>
      <c r="C326" s="22"/>
    </row>
    <row r="327" spans="1:3" x14ac:dyDescent="0.2">
      <c r="A327" s="4"/>
      <c r="B327" s="4"/>
      <c r="C327" s="22"/>
    </row>
    <row r="328" spans="1:3" x14ac:dyDescent="0.2">
      <c r="A328" s="4"/>
      <c r="B328" s="4"/>
      <c r="C328" s="22"/>
    </row>
    <row r="329" spans="1:3" x14ac:dyDescent="0.2">
      <c r="A329" s="4"/>
      <c r="B329" s="4"/>
      <c r="C329" s="22"/>
    </row>
    <row r="330" spans="1:3" x14ac:dyDescent="0.2">
      <c r="A330" s="4"/>
      <c r="B330" s="4"/>
      <c r="C330" s="22"/>
    </row>
    <row r="331" spans="1:3" x14ac:dyDescent="0.2">
      <c r="A331" s="4"/>
      <c r="B331" s="4"/>
      <c r="C331" s="22"/>
    </row>
    <row r="332" spans="1:3" x14ac:dyDescent="0.2">
      <c r="A332" s="4"/>
      <c r="B332" s="4"/>
      <c r="C332" s="22"/>
    </row>
    <row r="333" spans="1:3" x14ac:dyDescent="0.2">
      <c r="A333" s="4"/>
      <c r="B333" s="4"/>
      <c r="C333" s="22"/>
    </row>
    <row r="334" spans="1:3" x14ac:dyDescent="0.2">
      <c r="A334" s="4"/>
      <c r="B334" s="4"/>
      <c r="C334" s="22"/>
    </row>
    <row r="335" spans="1:3" x14ac:dyDescent="0.2">
      <c r="A335" s="4"/>
      <c r="B335" s="4"/>
      <c r="C335" s="22"/>
    </row>
    <row r="336" spans="1:3" x14ac:dyDescent="0.2">
      <c r="A336" s="4"/>
      <c r="B336" s="4"/>
      <c r="C336" s="22"/>
    </row>
    <row r="337" spans="1:3" x14ac:dyDescent="0.2">
      <c r="A337" s="4"/>
      <c r="B337" s="4"/>
      <c r="C337" s="22"/>
    </row>
    <row r="338" spans="1:3" x14ac:dyDescent="0.2">
      <c r="A338" s="4"/>
      <c r="B338" s="4"/>
      <c r="C338" s="22"/>
    </row>
    <row r="339" spans="1:3" x14ac:dyDescent="0.2">
      <c r="A339" s="4"/>
      <c r="B339" s="4"/>
      <c r="C339" s="22"/>
    </row>
    <row r="340" spans="1:3" x14ac:dyDescent="0.2">
      <c r="A340" s="4"/>
      <c r="B340" s="4"/>
      <c r="C340" s="22"/>
    </row>
    <row r="341" spans="1:3" x14ac:dyDescent="0.2">
      <c r="A341" s="4"/>
      <c r="B341" s="4"/>
      <c r="C341" s="22"/>
    </row>
    <row r="342" spans="1:3" x14ac:dyDescent="0.2">
      <c r="A342" s="4"/>
      <c r="B342" s="4"/>
      <c r="C342" s="22"/>
    </row>
    <row r="343" spans="1:3" x14ac:dyDescent="0.2">
      <c r="A343" s="4"/>
      <c r="B343" s="4"/>
      <c r="C343" s="22"/>
    </row>
    <row r="344" spans="1:3" x14ac:dyDescent="0.2">
      <c r="A344" s="4"/>
      <c r="B344" s="4"/>
      <c r="C344" s="22"/>
    </row>
    <row r="345" spans="1:3" x14ac:dyDescent="0.2">
      <c r="A345" s="4"/>
      <c r="B345" s="4"/>
      <c r="C345" s="22"/>
    </row>
    <row r="346" spans="1:3" x14ac:dyDescent="0.2">
      <c r="A346" s="4"/>
      <c r="B346" s="4"/>
      <c r="C346" s="22"/>
    </row>
    <row r="347" spans="1:3" x14ac:dyDescent="0.2">
      <c r="A347" s="4"/>
      <c r="B347" s="4"/>
      <c r="C347" s="22"/>
    </row>
    <row r="348" spans="1:3" x14ac:dyDescent="0.2">
      <c r="A348" s="4"/>
      <c r="B348" s="4"/>
      <c r="C348" s="22"/>
    </row>
    <row r="349" spans="1:3" x14ac:dyDescent="0.2">
      <c r="A349" s="4"/>
      <c r="B349" s="4"/>
      <c r="C349" s="22"/>
    </row>
    <row r="350" spans="1:3" x14ac:dyDescent="0.2">
      <c r="A350" s="4"/>
      <c r="B350" s="4"/>
      <c r="C350" s="22"/>
    </row>
    <row r="351" spans="1:3" x14ac:dyDescent="0.2">
      <c r="A351" s="4"/>
      <c r="B351" s="4"/>
      <c r="C351" s="22"/>
    </row>
    <row r="352" spans="1:3" x14ac:dyDescent="0.2">
      <c r="A352" s="4"/>
      <c r="B352" s="4"/>
      <c r="C352" s="22"/>
    </row>
    <row r="353" spans="1:3" x14ac:dyDescent="0.2">
      <c r="A353" s="4"/>
      <c r="B353" s="4"/>
      <c r="C353" s="22"/>
    </row>
    <row r="354" spans="1:3" x14ac:dyDescent="0.2">
      <c r="A354" s="4"/>
      <c r="B354" s="4"/>
      <c r="C354" s="22"/>
    </row>
    <row r="355" spans="1:3" x14ac:dyDescent="0.2">
      <c r="A355" s="4"/>
      <c r="B355" s="4"/>
      <c r="C355" s="22"/>
    </row>
    <row r="356" spans="1:3" x14ac:dyDescent="0.2">
      <c r="A356" s="4"/>
      <c r="B356" s="4"/>
      <c r="C356" s="22"/>
    </row>
    <row r="357" spans="1:3" x14ac:dyDescent="0.2">
      <c r="A357" s="4"/>
      <c r="B357" s="4"/>
      <c r="C357" s="22"/>
    </row>
    <row r="358" spans="1:3" x14ac:dyDescent="0.2">
      <c r="A358" s="4"/>
      <c r="B358" s="4"/>
      <c r="C358" s="22"/>
    </row>
    <row r="359" spans="1:3" x14ac:dyDescent="0.2">
      <c r="A359" s="4"/>
      <c r="B359" s="4"/>
      <c r="C359" s="22"/>
    </row>
    <row r="360" spans="1:3" x14ac:dyDescent="0.2">
      <c r="A360" s="4"/>
      <c r="B360" s="4"/>
      <c r="C360" s="22"/>
    </row>
    <row r="361" spans="1:3" x14ac:dyDescent="0.2">
      <c r="A361" s="4"/>
      <c r="B361" s="4"/>
      <c r="C361" s="22"/>
    </row>
    <row r="362" spans="1:3" x14ac:dyDescent="0.2">
      <c r="A362" s="4"/>
      <c r="B362" s="4"/>
      <c r="C362" s="22"/>
    </row>
    <row r="363" spans="1:3" x14ac:dyDescent="0.2">
      <c r="A363" s="4"/>
      <c r="B363" s="4"/>
      <c r="C363" s="22"/>
    </row>
    <row r="364" spans="1:3" x14ac:dyDescent="0.2">
      <c r="A364" s="4"/>
      <c r="B364" s="4"/>
      <c r="C364" s="22"/>
    </row>
    <row r="365" spans="1:3" x14ac:dyDescent="0.2">
      <c r="A365" s="4"/>
      <c r="B365" s="4"/>
      <c r="C365" s="22"/>
    </row>
    <row r="366" spans="1:3" x14ac:dyDescent="0.2">
      <c r="A366" s="4"/>
      <c r="B366" s="4"/>
      <c r="C366" s="22"/>
    </row>
    <row r="367" spans="1:3" x14ac:dyDescent="0.2">
      <c r="A367" s="4"/>
      <c r="B367" s="4"/>
      <c r="C367" s="22"/>
    </row>
    <row r="368" spans="1:3" x14ac:dyDescent="0.2">
      <c r="A368" s="4"/>
      <c r="B368" s="4"/>
      <c r="C368" s="22"/>
    </row>
    <row r="369" spans="1:3" x14ac:dyDescent="0.2">
      <c r="A369" s="4"/>
      <c r="B369" s="4"/>
      <c r="C369" s="22"/>
    </row>
    <row r="370" spans="1:3" x14ac:dyDescent="0.2">
      <c r="A370" s="4"/>
      <c r="B370" s="4"/>
      <c r="C370" s="22"/>
    </row>
    <row r="371" spans="1:3" x14ac:dyDescent="0.2">
      <c r="A371" s="4"/>
      <c r="B371" s="4"/>
      <c r="C371" s="22"/>
    </row>
    <row r="372" spans="1:3" x14ac:dyDescent="0.2">
      <c r="A372" s="4"/>
      <c r="B372" s="4"/>
      <c r="C372" s="22"/>
    </row>
    <row r="373" spans="1:3" x14ac:dyDescent="0.2">
      <c r="A373" s="4"/>
      <c r="B373" s="4"/>
      <c r="C373" s="22"/>
    </row>
    <row r="374" spans="1:3" x14ac:dyDescent="0.2">
      <c r="A374" s="4"/>
      <c r="B374" s="4"/>
      <c r="C374" s="22"/>
    </row>
    <row r="375" spans="1:3" x14ac:dyDescent="0.2">
      <c r="A375" s="4"/>
      <c r="B375" s="4"/>
      <c r="C375" s="22"/>
    </row>
    <row r="376" spans="1:3" x14ac:dyDescent="0.2">
      <c r="A376" s="4"/>
      <c r="B376" s="4"/>
      <c r="C376" s="22"/>
    </row>
    <row r="377" spans="1:3" x14ac:dyDescent="0.2">
      <c r="A377" s="4"/>
      <c r="B377" s="4"/>
      <c r="C377" s="22"/>
    </row>
    <row r="378" spans="1:3" x14ac:dyDescent="0.2">
      <c r="A378" s="4"/>
      <c r="B378" s="4"/>
      <c r="C378" s="22"/>
    </row>
    <row r="379" spans="1:3" x14ac:dyDescent="0.2">
      <c r="A379" s="4"/>
      <c r="B379" s="4"/>
      <c r="C379" s="22"/>
    </row>
    <row r="380" spans="1:3" x14ac:dyDescent="0.2">
      <c r="A380" s="4"/>
      <c r="B380" s="4"/>
      <c r="C380" s="22"/>
    </row>
    <row r="381" spans="1:3" x14ac:dyDescent="0.2">
      <c r="A381" s="4"/>
      <c r="B381" s="4"/>
      <c r="C381" s="22"/>
    </row>
    <row r="382" spans="1:3" x14ac:dyDescent="0.2">
      <c r="A382" s="4"/>
      <c r="B382" s="4"/>
      <c r="C382" s="22"/>
    </row>
    <row r="383" spans="1:3" x14ac:dyDescent="0.2">
      <c r="A383" s="4"/>
      <c r="B383" s="4"/>
      <c r="C383" s="22"/>
    </row>
    <row r="384" spans="1:3" x14ac:dyDescent="0.2">
      <c r="A384" s="4"/>
      <c r="B384" s="4"/>
      <c r="C384" s="22"/>
    </row>
    <row r="385" spans="1:3" x14ac:dyDescent="0.2">
      <c r="A385" s="4"/>
      <c r="B385" s="4"/>
      <c r="C385" s="22"/>
    </row>
    <row r="386" spans="1:3" x14ac:dyDescent="0.2">
      <c r="A386" s="4"/>
      <c r="B386" s="4"/>
      <c r="C386" s="22"/>
    </row>
    <row r="387" spans="1:3" x14ac:dyDescent="0.2">
      <c r="A387" s="4"/>
      <c r="B387" s="4"/>
      <c r="C387" s="22"/>
    </row>
    <row r="388" spans="1:3" x14ac:dyDescent="0.2">
      <c r="A388" s="4"/>
      <c r="B388" s="4"/>
      <c r="C388" s="22"/>
    </row>
    <row r="389" spans="1:3" x14ac:dyDescent="0.2">
      <c r="A389" s="4"/>
      <c r="B389" s="4"/>
      <c r="C389" s="22"/>
    </row>
    <row r="390" spans="1:3" x14ac:dyDescent="0.2">
      <c r="A390" s="4"/>
      <c r="B390" s="4"/>
      <c r="C390" s="22"/>
    </row>
    <row r="391" spans="1:3" x14ac:dyDescent="0.2">
      <c r="A391" s="4"/>
      <c r="B391" s="4"/>
      <c r="C391" s="22"/>
    </row>
    <row r="392" spans="1:3" x14ac:dyDescent="0.2">
      <c r="A392" s="4"/>
      <c r="B392" s="4"/>
      <c r="C392" s="22"/>
    </row>
    <row r="393" spans="1:3" x14ac:dyDescent="0.2">
      <c r="A393" s="4"/>
      <c r="B393" s="4"/>
      <c r="C393" s="22"/>
    </row>
    <row r="394" spans="1:3" x14ac:dyDescent="0.2">
      <c r="A394" s="4"/>
      <c r="B394" s="4"/>
      <c r="C394" s="22"/>
    </row>
    <row r="395" spans="1:3" x14ac:dyDescent="0.2">
      <c r="A395" s="4"/>
      <c r="B395" s="4"/>
      <c r="C395" s="22"/>
    </row>
    <row r="396" spans="1:3" x14ac:dyDescent="0.2">
      <c r="A396" s="4"/>
      <c r="B396" s="4"/>
      <c r="C396" s="22"/>
    </row>
    <row r="397" spans="1:3" x14ac:dyDescent="0.2">
      <c r="A397" s="4"/>
      <c r="B397" s="4"/>
      <c r="C397" s="22"/>
    </row>
    <row r="398" spans="1:3" x14ac:dyDescent="0.2">
      <c r="A398" s="4"/>
      <c r="B398" s="4"/>
      <c r="C398" s="22"/>
    </row>
    <row r="399" spans="1:3" x14ac:dyDescent="0.2">
      <c r="A399" s="4"/>
      <c r="B399" s="4"/>
      <c r="C399" s="22"/>
    </row>
    <row r="400" spans="1:3" x14ac:dyDescent="0.2">
      <c r="A400" s="4"/>
      <c r="B400" s="4"/>
      <c r="C400" s="22"/>
    </row>
    <row r="401" spans="1:3" x14ac:dyDescent="0.2">
      <c r="A401" s="4"/>
      <c r="B401" s="4"/>
      <c r="C401" s="22"/>
    </row>
    <row r="402" spans="1:3" x14ac:dyDescent="0.2">
      <c r="A402" s="4"/>
      <c r="B402" s="4"/>
      <c r="C402" s="22"/>
    </row>
    <row r="403" spans="1:3" x14ac:dyDescent="0.2">
      <c r="A403" s="4"/>
      <c r="B403" s="4"/>
      <c r="C403" s="22"/>
    </row>
    <row r="404" spans="1:3" x14ac:dyDescent="0.2">
      <c r="A404" s="4"/>
      <c r="B404" s="4"/>
      <c r="C404" s="22"/>
    </row>
    <row r="405" spans="1:3" x14ac:dyDescent="0.2">
      <c r="A405" s="4"/>
      <c r="B405" s="4"/>
      <c r="C405" s="22"/>
    </row>
    <row r="406" spans="1:3" x14ac:dyDescent="0.2">
      <c r="A406" s="4"/>
      <c r="B406" s="4"/>
      <c r="C406" s="22"/>
    </row>
    <row r="407" spans="1:3" x14ac:dyDescent="0.2">
      <c r="A407" s="4"/>
      <c r="B407" s="4"/>
      <c r="C407" s="22"/>
    </row>
    <row r="408" spans="1:3" x14ac:dyDescent="0.2">
      <c r="A408" s="4"/>
      <c r="B408" s="4"/>
      <c r="C408" s="22"/>
    </row>
    <row r="409" spans="1:3" x14ac:dyDescent="0.2">
      <c r="A409" s="4"/>
      <c r="B409" s="4"/>
      <c r="C409" s="22"/>
    </row>
    <row r="410" spans="1:3" x14ac:dyDescent="0.2">
      <c r="A410" s="4"/>
      <c r="B410" s="4"/>
      <c r="C410" s="22"/>
    </row>
    <row r="411" spans="1:3" x14ac:dyDescent="0.2">
      <c r="A411" s="4"/>
      <c r="B411" s="4"/>
      <c r="C411" s="22"/>
    </row>
    <row r="412" spans="1:3" x14ac:dyDescent="0.2">
      <c r="A412" s="4"/>
      <c r="B412" s="4"/>
      <c r="C412" s="22"/>
    </row>
    <row r="413" spans="1:3" x14ac:dyDescent="0.2">
      <c r="A413" s="4"/>
      <c r="B413" s="4"/>
      <c r="C413" s="22"/>
    </row>
    <row r="414" spans="1:3" x14ac:dyDescent="0.2">
      <c r="A414" s="4"/>
      <c r="B414" s="4"/>
      <c r="C414" s="22"/>
    </row>
    <row r="415" spans="1:3" x14ac:dyDescent="0.2">
      <c r="A415" s="4"/>
      <c r="B415" s="4"/>
      <c r="C415" s="22"/>
    </row>
    <row r="416" spans="1:3" x14ac:dyDescent="0.2">
      <c r="A416" s="4"/>
      <c r="B416" s="4"/>
      <c r="C416" s="22"/>
    </row>
    <row r="417" spans="1:3" x14ac:dyDescent="0.2">
      <c r="A417" s="4"/>
      <c r="B417" s="4"/>
      <c r="C417" s="22"/>
    </row>
    <row r="418" spans="1:3" x14ac:dyDescent="0.2">
      <c r="A418" s="4"/>
      <c r="B418" s="4"/>
      <c r="C418" s="22"/>
    </row>
    <row r="419" spans="1:3" x14ac:dyDescent="0.2">
      <c r="A419" s="4"/>
      <c r="B419" s="4"/>
      <c r="C419" s="22"/>
    </row>
    <row r="420" spans="1:3" x14ac:dyDescent="0.2">
      <c r="A420" s="4"/>
      <c r="B420" s="4"/>
      <c r="C420" s="22"/>
    </row>
    <row r="421" spans="1:3" x14ac:dyDescent="0.2">
      <c r="A421" s="4"/>
      <c r="B421" s="4"/>
      <c r="C421" s="22"/>
    </row>
    <row r="422" spans="1:3" x14ac:dyDescent="0.2">
      <c r="A422" s="4"/>
      <c r="B422" s="4"/>
      <c r="C422" s="22"/>
    </row>
    <row r="423" spans="1:3" x14ac:dyDescent="0.2">
      <c r="A423" s="4"/>
      <c r="B423" s="4"/>
      <c r="C423" s="22"/>
    </row>
    <row r="424" spans="1:3" x14ac:dyDescent="0.2">
      <c r="A424" s="4"/>
      <c r="B424" s="4"/>
      <c r="C424" s="22"/>
    </row>
    <row r="425" spans="1:3" x14ac:dyDescent="0.2">
      <c r="A425" s="4"/>
      <c r="B425" s="4"/>
      <c r="C425" s="22"/>
    </row>
    <row r="426" spans="1:3" x14ac:dyDescent="0.2">
      <c r="A426" s="4"/>
      <c r="B426" s="4"/>
      <c r="C426" s="22"/>
    </row>
    <row r="427" spans="1:3" x14ac:dyDescent="0.2">
      <c r="A427" s="4"/>
      <c r="B427" s="4"/>
      <c r="C427" s="22"/>
    </row>
    <row r="428" spans="1:3" x14ac:dyDescent="0.2">
      <c r="A428" s="4"/>
      <c r="B428" s="4"/>
      <c r="C428" s="22"/>
    </row>
    <row r="429" spans="1:3" x14ac:dyDescent="0.2">
      <c r="A429" s="4"/>
      <c r="B429" s="4"/>
      <c r="C429" s="22"/>
    </row>
    <row r="430" spans="1:3" x14ac:dyDescent="0.2">
      <c r="A430" s="4"/>
      <c r="B430" s="4"/>
      <c r="C430" s="22"/>
    </row>
    <row r="431" spans="1:3" x14ac:dyDescent="0.2">
      <c r="A431" s="4"/>
      <c r="B431" s="4"/>
      <c r="C431" s="22"/>
    </row>
    <row r="432" spans="1:3" x14ac:dyDescent="0.2">
      <c r="A432" s="4"/>
      <c r="B432" s="4"/>
      <c r="C432" s="22"/>
    </row>
    <row r="433" spans="1:3" x14ac:dyDescent="0.2">
      <c r="A433" s="4"/>
      <c r="B433" s="4"/>
      <c r="C433" s="22"/>
    </row>
    <row r="434" spans="1:3" x14ac:dyDescent="0.2">
      <c r="A434" s="4"/>
      <c r="B434" s="4"/>
      <c r="C434" s="22"/>
    </row>
    <row r="435" spans="1:3" x14ac:dyDescent="0.2">
      <c r="A435" s="4"/>
      <c r="B435" s="4"/>
      <c r="C435" s="22"/>
    </row>
    <row r="436" spans="1:3" x14ac:dyDescent="0.2">
      <c r="A436" s="4"/>
      <c r="B436" s="4"/>
      <c r="C436" s="22"/>
    </row>
    <row r="437" spans="1:3" x14ac:dyDescent="0.2">
      <c r="A437" s="4"/>
      <c r="B437" s="4"/>
      <c r="C437" s="22"/>
    </row>
    <row r="438" spans="1:3" x14ac:dyDescent="0.2">
      <c r="A438" s="4"/>
      <c r="B438" s="4"/>
      <c r="C438" s="22"/>
    </row>
    <row r="439" spans="1:3" x14ac:dyDescent="0.2">
      <c r="A439" s="4"/>
      <c r="B439" s="4"/>
      <c r="C439" s="22"/>
    </row>
    <row r="440" spans="1:3" x14ac:dyDescent="0.2">
      <c r="A440" s="4"/>
      <c r="B440" s="4"/>
      <c r="C440" s="22"/>
    </row>
    <row r="441" spans="1:3" x14ac:dyDescent="0.2">
      <c r="A441" s="4"/>
      <c r="B441" s="4"/>
      <c r="C441" s="22"/>
    </row>
    <row r="442" spans="1:3" x14ac:dyDescent="0.2">
      <c r="A442" s="4"/>
      <c r="B442" s="4"/>
      <c r="C442" s="22"/>
    </row>
    <row r="443" spans="1:3" x14ac:dyDescent="0.2">
      <c r="A443" s="4"/>
      <c r="B443" s="4"/>
      <c r="C443" s="22"/>
    </row>
    <row r="444" spans="1:3" x14ac:dyDescent="0.2">
      <c r="A444" s="4"/>
      <c r="B444" s="4"/>
      <c r="C444" s="22"/>
    </row>
    <row r="445" spans="1:3" x14ac:dyDescent="0.2">
      <c r="A445" s="4"/>
      <c r="B445" s="4"/>
      <c r="C445" s="22"/>
    </row>
    <row r="446" spans="1:3" x14ac:dyDescent="0.2">
      <c r="A446" s="4"/>
      <c r="B446" s="4"/>
      <c r="C446" s="22"/>
    </row>
    <row r="447" spans="1:3" x14ac:dyDescent="0.2">
      <c r="A447" s="4"/>
      <c r="B447" s="4"/>
      <c r="C447" s="22"/>
    </row>
    <row r="448" spans="1:3" x14ac:dyDescent="0.2">
      <c r="A448" s="4"/>
      <c r="B448" s="4"/>
      <c r="C448" s="22"/>
    </row>
    <row r="449" spans="1:3" x14ac:dyDescent="0.2">
      <c r="A449" s="4"/>
      <c r="B449" s="4"/>
      <c r="C449" s="22"/>
    </row>
    <row r="450" spans="1:3" x14ac:dyDescent="0.2">
      <c r="A450" s="4"/>
      <c r="B450" s="4"/>
      <c r="C450" s="22"/>
    </row>
    <row r="451" spans="1:3" x14ac:dyDescent="0.2">
      <c r="A451" s="4"/>
      <c r="B451" s="4"/>
      <c r="C451" s="22"/>
    </row>
    <row r="452" spans="1:3" x14ac:dyDescent="0.2">
      <c r="A452" s="4"/>
      <c r="B452" s="4"/>
      <c r="C452" s="22"/>
    </row>
    <row r="453" spans="1:3" x14ac:dyDescent="0.2">
      <c r="A453" s="4"/>
      <c r="B453" s="4"/>
      <c r="C453" s="22"/>
    </row>
    <row r="454" spans="1:3" x14ac:dyDescent="0.2">
      <c r="A454" s="4"/>
      <c r="B454" s="4"/>
      <c r="C454" s="22"/>
    </row>
    <row r="455" spans="1:3" x14ac:dyDescent="0.2">
      <c r="A455" s="4"/>
      <c r="B455" s="4"/>
      <c r="C455" s="22"/>
    </row>
    <row r="456" spans="1:3" x14ac:dyDescent="0.2">
      <c r="A456" s="4"/>
      <c r="B456" s="4"/>
      <c r="C456" s="22"/>
    </row>
    <row r="457" spans="1:3" x14ac:dyDescent="0.2">
      <c r="A457" s="4"/>
      <c r="B457" s="4"/>
      <c r="C457" s="22"/>
    </row>
    <row r="458" spans="1:3" x14ac:dyDescent="0.2">
      <c r="A458" s="4"/>
      <c r="B458" s="4"/>
      <c r="C458" s="22"/>
    </row>
    <row r="459" spans="1:3" x14ac:dyDescent="0.2">
      <c r="A459" s="4"/>
      <c r="B459" s="4"/>
      <c r="C459" s="22"/>
    </row>
    <row r="460" spans="1:3" x14ac:dyDescent="0.2">
      <c r="A460" s="4"/>
      <c r="B460" s="4"/>
      <c r="C460" s="22"/>
    </row>
    <row r="461" spans="1:3" x14ac:dyDescent="0.2">
      <c r="A461" s="4"/>
      <c r="B461" s="4"/>
      <c r="C461" s="22"/>
    </row>
    <row r="462" spans="1:3" x14ac:dyDescent="0.2">
      <c r="A462" s="4"/>
      <c r="B462" s="4"/>
      <c r="C462" s="22"/>
    </row>
    <row r="463" spans="1:3" x14ac:dyDescent="0.2">
      <c r="A463" s="4"/>
      <c r="B463" s="4"/>
      <c r="C463" s="22"/>
    </row>
    <row r="464" spans="1:3" x14ac:dyDescent="0.2">
      <c r="A464" s="4"/>
      <c r="B464" s="4"/>
      <c r="C464" s="22"/>
    </row>
    <row r="465" spans="1:3" x14ac:dyDescent="0.2">
      <c r="A465" s="4"/>
      <c r="B465" s="4"/>
      <c r="C465" s="22"/>
    </row>
    <row r="466" spans="1:3" x14ac:dyDescent="0.2">
      <c r="A466" s="4"/>
      <c r="B466" s="4"/>
      <c r="C466" s="22"/>
    </row>
    <row r="467" spans="1:3" x14ac:dyDescent="0.2">
      <c r="A467" s="4"/>
      <c r="B467" s="4"/>
      <c r="C467" s="22"/>
    </row>
    <row r="468" spans="1:3" x14ac:dyDescent="0.2">
      <c r="A468" s="4"/>
      <c r="B468" s="4"/>
      <c r="C468" s="22"/>
    </row>
    <row r="469" spans="1:3" x14ac:dyDescent="0.2">
      <c r="A469" s="4"/>
      <c r="B469" s="4"/>
      <c r="C469" s="22"/>
    </row>
    <row r="470" spans="1:3" x14ac:dyDescent="0.2">
      <c r="A470" s="4"/>
      <c r="B470" s="4"/>
      <c r="C470" s="22"/>
    </row>
    <row r="471" spans="1:3" x14ac:dyDescent="0.2">
      <c r="A471" s="4"/>
      <c r="B471" s="4"/>
      <c r="C471" s="22"/>
    </row>
    <row r="472" spans="1:3" x14ac:dyDescent="0.2">
      <c r="A472" s="4"/>
      <c r="B472" s="4"/>
      <c r="C472" s="22"/>
    </row>
    <row r="473" spans="1:3" x14ac:dyDescent="0.2">
      <c r="A473" s="4"/>
      <c r="B473" s="4"/>
      <c r="C473" s="22"/>
    </row>
    <row r="474" spans="1:3" x14ac:dyDescent="0.2">
      <c r="A474" s="4"/>
      <c r="B474" s="4"/>
      <c r="C474" s="22"/>
    </row>
    <row r="475" spans="1:3" x14ac:dyDescent="0.2">
      <c r="A475" s="4"/>
      <c r="B475" s="4"/>
      <c r="C475" s="22"/>
    </row>
    <row r="476" spans="1:3" x14ac:dyDescent="0.2">
      <c r="A476" s="4"/>
      <c r="B476" s="4"/>
      <c r="C476" s="22"/>
    </row>
    <row r="477" spans="1:3" x14ac:dyDescent="0.2">
      <c r="A477" s="4"/>
      <c r="B477" s="4"/>
      <c r="C477" s="22"/>
    </row>
    <row r="478" spans="1:3" x14ac:dyDescent="0.2">
      <c r="A478" s="4"/>
      <c r="B478" s="4"/>
      <c r="C478" s="22"/>
    </row>
    <row r="479" spans="1:3" x14ac:dyDescent="0.2">
      <c r="A479" s="4"/>
      <c r="B479" s="4"/>
      <c r="C479" s="22"/>
    </row>
    <row r="480" spans="1:3" x14ac:dyDescent="0.2">
      <c r="A480" s="4"/>
      <c r="B480" s="4"/>
      <c r="C480" s="22"/>
    </row>
    <row r="481" spans="1:3" x14ac:dyDescent="0.2">
      <c r="A481" s="4"/>
      <c r="B481" s="4"/>
      <c r="C481" s="22"/>
    </row>
    <row r="482" spans="1:3" x14ac:dyDescent="0.2">
      <c r="A482" s="4"/>
      <c r="B482" s="4"/>
      <c r="C482" s="22"/>
    </row>
    <row r="483" spans="1:3" x14ac:dyDescent="0.2">
      <c r="A483" s="4"/>
      <c r="B483" s="4"/>
      <c r="C483" s="22"/>
    </row>
    <row r="484" spans="1:3" x14ac:dyDescent="0.2">
      <c r="A484" s="4"/>
      <c r="B484" s="4"/>
      <c r="C484" s="22"/>
    </row>
    <row r="485" spans="1:3" x14ac:dyDescent="0.2">
      <c r="A485" s="4"/>
      <c r="B485" s="4"/>
      <c r="C485" s="22"/>
    </row>
    <row r="486" spans="1:3" x14ac:dyDescent="0.2">
      <c r="A486" s="4"/>
      <c r="B486" s="4"/>
      <c r="C486" s="22"/>
    </row>
    <row r="487" spans="1:3" x14ac:dyDescent="0.2">
      <c r="A487" s="4"/>
      <c r="B487" s="4"/>
      <c r="C487" s="22"/>
    </row>
    <row r="488" spans="1:3" x14ac:dyDescent="0.2">
      <c r="A488" s="4"/>
      <c r="B488" s="4"/>
      <c r="C488" s="22"/>
    </row>
    <row r="489" spans="1:3" x14ac:dyDescent="0.2">
      <c r="A489" s="4"/>
      <c r="B489" s="4"/>
      <c r="C489" s="22"/>
    </row>
    <row r="490" spans="1:3" x14ac:dyDescent="0.2">
      <c r="A490" s="4"/>
      <c r="B490" s="4"/>
      <c r="C490" s="22"/>
    </row>
    <row r="491" spans="1:3" x14ac:dyDescent="0.2">
      <c r="A491" s="4"/>
      <c r="B491" s="4"/>
      <c r="C491" s="22"/>
    </row>
    <row r="492" spans="1:3" x14ac:dyDescent="0.2">
      <c r="A492" s="4"/>
      <c r="B492" s="4"/>
      <c r="C492" s="22"/>
    </row>
    <row r="493" spans="1:3" x14ac:dyDescent="0.2">
      <c r="A493" s="4"/>
      <c r="B493" s="4"/>
      <c r="C493" s="22"/>
    </row>
    <row r="494" spans="1:3" x14ac:dyDescent="0.2">
      <c r="A494" s="4"/>
      <c r="B494" s="4"/>
      <c r="C494" s="22"/>
    </row>
    <row r="495" spans="1:3" x14ac:dyDescent="0.2">
      <c r="A495" s="4"/>
      <c r="B495" s="4"/>
      <c r="C495" s="22"/>
    </row>
    <row r="496" spans="1:3" x14ac:dyDescent="0.2">
      <c r="A496" s="4"/>
      <c r="B496" s="4"/>
      <c r="C496" s="22"/>
    </row>
    <row r="497" spans="1:3" x14ac:dyDescent="0.2">
      <c r="A497" s="4"/>
      <c r="B497" s="4"/>
      <c r="C497" s="22"/>
    </row>
    <row r="498" spans="1:3" x14ac:dyDescent="0.2">
      <c r="A498" s="4"/>
      <c r="B498" s="4"/>
      <c r="C498" s="22"/>
    </row>
    <row r="499" spans="1:3" x14ac:dyDescent="0.2">
      <c r="A499" s="4"/>
      <c r="B499" s="4"/>
      <c r="C499" s="22"/>
    </row>
    <row r="500" spans="1:3" x14ac:dyDescent="0.2">
      <c r="A500" s="4"/>
      <c r="B500" s="4"/>
      <c r="C500" s="22"/>
    </row>
    <row r="501" spans="1:3" x14ac:dyDescent="0.2">
      <c r="A501" s="4"/>
      <c r="B501" s="4"/>
      <c r="C501" s="22"/>
    </row>
    <row r="502" spans="1:3" x14ac:dyDescent="0.2">
      <c r="A502" s="4"/>
      <c r="B502" s="4"/>
      <c r="C502" s="22"/>
    </row>
    <row r="503" spans="1:3" x14ac:dyDescent="0.2">
      <c r="A503" s="4"/>
      <c r="B503" s="4"/>
      <c r="C503" s="22"/>
    </row>
    <row r="504" spans="1:3" x14ac:dyDescent="0.2">
      <c r="A504" s="4"/>
      <c r="B504" s="4"/>
      <c r="C504" s="22"/>
    </row>
    <row r="505" spans="1:3" x14ac:dyDescent="0.2">
      <c r="A505" s="4"/>
      <c r="B505" s="4"/>
      <c r="C505" s="22"/>
    </row>
    <row r="506" spans="1:3" x14ac:dyDescent="0.2">
      <c r="A506" s="4"/>
      <c r="B506" s="4"/>
      <c r="C506" s="22"/>
    </row>
    <row r="507" spans="1:3" x14ac:dyDescent="0.2">
      <c r="A507" s="4"/>
      <c r="B507" s="4"/>
      <c r="C507" s="22"/>
    </row>
    <row r="508" spans="1:3" x14ac:dyDescent="0.2">
      <c r="A508" s="4"/>
      <c r="B508" s="4"/>
      <c r="C508" s="22"/>
    </row>
    <row r="509" spans="1:3" x14ac:dyDescent="0.2">
      <c r="A509" s="4"/>
      <c r="B509" s="4"/>
      <c r="C509" s="22"/>
    </row>
    <row r="510" spans="1:3" x14ac:dyDescent="0.2">
      <c r="A510" s="4"/>
      <c r="B510" s="4"/>
      <c r="C510" s="22"/>
    </row>
    <row r="511" spans="1:3" x14ac:dyDescent="0.2">
      <c r="A511" s="4"/>
      <c r="B511" s="4"/>
      <c r="C511" s="22"/>
    </row>
    <row r="512" spans="1:3" x14ac:dyDescent="0.2">
      <c r="A512" s="4"/>
      <c r="B512" s="4"/>
      <c r="C512" s="22"/>
    </row>
    <row r="513" spans="1:3" x14ac:dyDescent="0.2">
      <c r="A513" s="4"/>
      <c r="B513" s="4"/>
      <c r="C513" s="22"/>
    </row>
    <row r="514" spans="1:3" x14ac:dyDescent="0.2">
      <c r="A514" s="4"/>
      <c r="B514" s="4"/>
      <c r="C514" s="22"/>
    </row>
    <row r="515" spans="1:3" x14ac:dyDescent="0.2">
      <c r="A515" s="4"/>
      <c r="B515" s="4"/>
      <c r="C515" s="22"/>
    </row>
    <row r="516" spans="1:3" x14ac:dyDescent="0.2">
      <c r="A516" s="4"/>
      <c r="B516" s="4"/>
      <c r="C516" s="22"/>
    </row>
    <row r="517" spans="1:3" x14ac:dyDescent="0.2">
      <c r="A517" s="4"/>
      <c r="B517" s="4"/>
      <c r="C517" s="22"/>
    </row>
    <row r="518" spans="1:3" x14ac:dyDescent="0.2">
      <c r="A518" s="4"/>
      <c r="B518" s="4"/>
      <c r="C518" s="22"/>
    </row>
    <row r="519" spans="1:3" x14ac:dyDescent="0.2">
      <c r="A519" s="4"/>
      <c r="B519" s="4"/>
      <c r="C519" s="22"/>
    </row>
    <row r="520" spans="1:3" x14ac:dyDescent="0.2">
      <c r="A520" s="4"/>
      <c r="B520" s="4"/>
      <c r="C520" s="22"/>
    </row>
    <row r="521" spans="1:3" x14ac:dyDescent="0.2">
      <c r="A521" s="4"/>
      <c r="B521" s="4"/>
      <c r="C521" s="22"/>
    </row>
    <row r="522" spans="1:3" x14ac:dyDescent="0.2">
      <c r="A522" s="4"/>
      <c r="B522" s="4"/>
      <c r="C522" s="22"/>
    </row>
    <row r="523" spans="1:3" x14ac:dyDescent="0.2">
      <c r="A523" s="4"/>
      <c r="B523" s="4"/>
      <c r="C523" s="22"/>
    </row>
    <row r="524" spans="1:3" x14ac:dyDescent="0.2">
      <c r="A524" s="4"/>
      <c r="B524" s="4"/>
      <c r="C524" s="22"/>
    </row>
    <row r="525" spans="1:3" x14ac:dyDescent="0.2">
      <c r="A525" s="4"/>
      <c r="B525" s="4"/>
      <c r="C525" s="22"/>
    </row>
    <row r="526" spans="1:3" x14ac:dyDescent="0.2">
      <c r="A526" s="4"/>
      <c r="B526" s="4"/>
      <c r="C526" s="22"/>
    </row>
    <row r="527" spans="1:3" x14ac:dyDescent="0.2">
      <c r="A527" s="4"/>
      <c r="B527" s="4"/>
      <c r="C527" s="22"/>
    </row>
    <row r="528" spans="1:3" x14ac:dyDescent="0.2">
      <c r="A528" s="4"/>
      <c r="B528" s="4"/>
      <c r="C528" s="22"/>
    </row>
    <row r="529" spans="1:3" x14ac:dyDescent="0.2">
      <c r="A529" s="4"/>
      <c r="B529" s="4"/>
      <c r="C529" s="22"/>
    </row>
    <row r="530" spans="1:3" x14ac:dyDescent="0.2">
      <c r="A530" s="4"/>
      <c r="B530" s="4"/>
      <c r="C530" s="22"/>
    </row>
    <row r="531" spans="1:3" x14ac:dyDescent="0.2">
      <c r="A531" s="4"/>
      <c r="B531" s="4"/>
      <c r="C531" s="22"/>
    </row>
    <row r="532" spans="1:3" x14ac:dyDescent="0.2">
      <c r="A532" s="4"/>
      <c r="B532" s="4"/>
      <c r="C532" s="22"/>
    </row>
    <row r="533" spans="1:3" x14ac:dyDescent="0.2">
      <c r="A533" s="4"/>
      <c r="B533" s="4"/>
      <c r="C533" s="22"/>
    </row>
    <row r="534" spans="1:3" x14ac:dyDescent="0.2">
      <c r="A534" s="4"/>
      <c r="B534" s="4"/>
      <c r="C534" s="22"/>
    </row>
    <row r="535" spans="1:3" x14ac:dyDescent="0.2">
      <c r="A535" s="4"/>
      <c r="B535" s="4"/>
      <c r="C535" s="22"/>
    </row>
    <row r="536" spans="1:3" x14ac:dyDescent="0.2">
      <c r="A536" s="4"/>
      <c r="B536" s="4"/>
      <c r="C536" s="22"/>
    </row>
    <row r="537" spans="1:3" x14ac:dyDescent="0.2">
      <c r="A537" s="4"/>
      <c r="B537" s="4"/>
      <c r="C537" s="22"/>
    </row>
    <row r="538" spans="1:3" x14ac:dyDescent="0.2">
      <c r="A538" s="4"/>
      <c r="B538" s="4"/>
      <c r="C538" s="22"/>
    </row>
    <row r="539" spans="1:3" x14ac:dyDescent="0.2">
      <c r="A539" s="4"/>
      <c r="B539" s="4"/>
      <c r="C539" s="22"/>
    </row>
    <row r="540" spans="1:3" x14ac:dyDescent="0.2">
      <c r="A540" s="4"/>
      <c r="B540" s="4"/>
      <c r="C540" s="22"/>
    </row>
    <row r="541" spans="1:3" x14ac:dyDescent="0.2">
      <c r="A541" s="4"/>
      <c r="B541" s="4"/>
      <c r="C541" s="22"/>
    </row>
    <row r="542" spans="1:3" x14ac:dyDescent="0.2">
      <c r="A542" s="4"/>
      <c r="B542" s="4"/>
      <c r="C542" s="22"/>
    </row>
    <row r="543" spans="1:3" x14ac:dyDescent="0.2">
      <c r="A543" s="4"/>
      <c r="B543" s="4"/>
      <c r="C543" s="22"/>
    </row>
    <row r="544" spans="1:3" x14ac:dyDescent="0.2">
      <c r="A544" s="4"/>
      <c r="B544" s="4"/>
      <c r="C544" s="22"/>
    </row>
    <row r="545" spans="1:3" x14ac:dyDescent="0.2">
      <c r="A545" s="4"/>
      <c r="B545" s="4"/>
      <c r="C545" s="22"/>
    </row>
    <row r="546" spans="1:3" x14ac:dyDescent="0.2">
      <c r="A546" s="4"/>
      <c r="B546" s="4"/>
      <c r="C546" s="22"/>
    </row>
    <row r="547" spans="1:3" x14ac:dyDescent="0.2">
      <c r="A547" s="4"/>
      <c r="B547" s="4"/>
      <c r="C547" s="22"/>
    </row>
    <row r="548" spans="1:3" x14ac:dyDescent="0.2">
      <c r="A548" s="4"/>
      <c r="B548" s="4"/>
      <c r="C548" s="22"/>
    </row>
    <row r="549" spans="1:3" x14ac:dyDescent="0.2">
      <c r="A549" s="4"/>
      <c r="B549" s="4"/>
      <c r="C549" s="22"/>
    </row>
    <row r="550" spans="1:3" x14ac:dyDescent="0.2">
      <c r="A550" s="4"/>
      <c r="B550" s="4"/>
      <c r="C550" s="22"/>
    </row>
    <row r="551" spans="1:3" x14ac:dyDescent="0.2">
      <c r="A551" s="4"/>
      <c r="B551" s="4"/>
      <c r="C551" s="22"/>
    </row>
    <row r="552" spans="1:3" x14ac:dyDescent="0.2">
      <c r="A552" s="4"/>
      <c r="B552" s="4"/>
      <c r="C552" s="22"/>
    </row>
    <row r="553" spans="1:3" x14ac:dyDescent="0.2">
      <c r="A553" s="4"/>
      <c r="B553" s="4"/>
      <c r="C553" s="22"/>
    </row>
    <row r="554" spans="1:3" x14ac:dyDescent="0.2">
      <c r="A554" s="4"/>
      <c r="B554" s="4"/>
      <c r="C554" s="22"/>
    </row>
    <row r="555" spans="1:3" x14ac:dyDescent="0.2">
      <c r="A555" s="4"/>
      <c r="B555" s="4"/>
      <c r="C555" s="22"/>
    </row>
    <row r="556" spans="1:3" x14ac:dyDescent="0.2">
      <c r="A556" s="4"/>
      <c r="B556" s="4"/>
      <c r="C556" s="22"/>
    </row>
    <row r="557" spans="1:3" x14ac:dyDescent="0.2">
      <c r="A557" s="4"/>
      <c r="B557" s="4"/>
      <c r="C557" s="22"/>
    </row>
    <row r="558" spans="1:3" x14ac:dyDescent="0.2">
      <c r="A558" s="4"/>
      <c r="B558" s="4"/>
      <c r="C558" s="22"/>
    </row>
    <row r="559" spans="1:3" x14ac:dyDescent="0.2">
      <c r="A559" s="4"/>
      <c r="B559" s="4"/>
      <c r="C559" s="22"/>
    </row>
    <row r="560" spans="1:3" x14ac:dyDescent="0.2">
      <c r="A560" s="4"/>
      <c r="B560" s="4"/>
      <c r="C560" s="22"/>
    </row>
    <row r="561" spans="1:3" x14ac:dyDescent="0.2">
      <c r="A561" s="4"/>
      <c r="B561" s="4"/>
      <c r="C561" s="22"/>
    </row>
    <row r="562" spans="1:3" x14ac:dyDescent="0.2">
      <c r="A562" s="4"/>
      <c r="B562" s="4"/>
      <c r="C562" s="22"/>
    </row>
    <row r="563" spans="1:3" x14ac:dyDescent="0.2">
      <c r="A563" s="4"/>
      <c r="B563" s="4"/>
      <c r="C563" s="22"/>
    </row>
    <row r="564" spans="1:3" x14ac:dyDescent="0.2">
      <c r="A564" s="4"/>
      <c r="B564" s="4"/>
      <c r="C564" s="22"/>
    </row>
    <row r="565" spans="1:3" x14ac:dyDescent="0.2">
      <c r="A565" s="4"/>
      <c r="B565" s="4"/>
      <c r="C565" s="22"/>
    </row>
    <row r="566" spans="1:3" x14ac:dyDescent="0.2">
      <c r="A566" s="4"/>
      <c r="B566" s="4"/>
      <c r="C566" s="22"/>
    </row>
    <row r="567" spans="1:3" x14ac:dyDescent="0.2">
      <c r="A567" s="4"/>
      <c r="B567" s="4"/>
      <c r="C567" s="22"/>
    </row>
    <row r="568" spans="1:3" x14ac:dyDescent="0.2">
      <c r="A568" s="4"/>
      <c r="B568" s="4"/>
      <c r="C568" s="22"/>
    </row>
    <row r="569" spans="1:3" x14ac:dyDescent="0.2">
      <c r="A569" s="4"/>
      <c r="B569" s="4"/>
      <c r="C569" s="22"/>
    </row>
    <row r="570" spans="1:3" x14ac:dyDescent="0.2">
      <c r="A570" s="4"/>
      <c r="B570" s="4"/>
      <c r="C570" s="22"/>
    </row>
    <row r="571" spans="1:3" x14ac:dyDescent="0.2">
      <c r="A571" s="4"/>
      <c r="B571" s="4"/>
      <c r="C571" s="22"/>
    </row>
    <row r="572" spans="1:3" x14ac:dyDescent="0.2">
      <c r="A572" s="4"/>
      <c r="B572" s="4"/>
      <c r="C572" s="22"/>
    </row>
    <row r="573" spans="1:3" x14ac:dyDescent="0.2">
      <c r="A573" s="4"/>
      <c r="B573" s="4"/>
      <c r="C573" s="22"/>
    </row>
    <row r="574" spans="1:3" x14ac:dyDescent="0.2">
      <c r="A574" s="4"/>
      <c r="B574" s="4"/>
      <c r="C574" s="22"/>
    </row>
    <row r="575" spans="1:3" x14ac:dyDescent="0.2">
      <c r="A575" s="4"/>
      <c r="B575" s="4"/>
      <c r="C575" s="22"/>
    </row>
    <row r="576" spans="1:3" x14ac:dyDescent="0.2">
      <c r="A576" s="4"/>
      <c r="B576" s="4"/>
      <c r="C576" s="22"/>
    </row>
    <row r="577" spans="1:3" x14ac:dyDescent="0.2">
      <c r="A577" s="4"/>
      <c r="B577" s="4"/>
      <c r="C577" s="22"/>
    </row>
    <row r="578" spans="1:3" x14ac:dyDescent="0.2">
      <c r="A578" s="4"/>
      <c r="B578" s="4"/>
      <c r="C578" s="22"/>
    </row>
    <row r="579" spans="1:3" x14ac:dyDescent="0.2">
      <c r="A579" s="4"/>
      <c r="B579" s="4"/>
      <c r="C579" s="22"/>
    </row>
    <row r="580" spans="1:3" x14ac:dyDescent="0.2">
      <c r="A580" s="4"/>
      <c r="B580" s="4"/>
      <c r="C580" s="22"/>
    </row>
    <row r="581" spans="1:3" x14ac:dyDescent="0.2">
      <c r="A581" s="4"/>
      <c r="B581" s="4"/>
      <c r="C581" s="22"/>
    </row>
    <row r="582" spans="1:3" x14ac:dyDescent="0.2">
      <c r="A582" s="4"/>
      <c r="B582" s="4"/>
      <c r="C582" s="22"/>
    </row>
    <row r="583" spans="1:3" x14ac:dyDescent="0.2">
      <c r="A583" s="4"/>
      <c r="B583" s="4"/>
      <c r="C583" s="22"/>
    </row>
    <row r="584" spans="1:3" x14ac:dyDescent="0.2">
      <c r="A584" s="4"/>
      <c r="B584" s="4"/>
      <c r="C584" s="22"/>
    </row>
    <row r="585" spans="1:3" x14ac:dyDescent="0.2">
      <c r="A585" s="4"/>
      <c r="B585" s="4"/>
      <c r="C585" s="22"/>
    </row>
    <row r="586" spans="1:3" x14ac:dyDescent="0.2">
      <c r="A586" s="4"/>
      <c r="B586" s="4"/>
      <c r="C586" s="22"/>
    </row>
    <row r="587" spans="1:3" x14ac:dyDescent="0.2">
      <c r="A587" s="4"/>
      <c r="B587" s="4"/>
      <c r="C587" s="22"/>
    </row>
    <row r="588" spans="1:3" x14ac:dyDescent="0.2">
      <c r="A588" s="4"/>
      <c r="B588" s="4"/>
      <c r="C588" s="22"/>
    </row>
    <row r="589" spans="1:3" x14ac:dyDescent="0.2">
      <c r="A589" s="4"/>
      <c r="B589" s="4"/>
      <c r="C589" s="22"/>
    </row>
    <row r="590" spans="1:3" x14ac:dyDescent="0.2">
      <c r="A590" s="4"/>
      <c r="B590" s="4"/>
      <c r="C590" s="22"/>
    </row>
    <row r="591" spans="1:3" x14ac:dyDescent="0.2">
      <c r="A591" s="4"/>
      <c r="B591" s="4"/>
      <c r="C591" s="22"/>
    </row>
    <row r="592" spans="1:3" x14ac:dyDescent="0.2">
      <c r="A592" s="4"/>
      <c r="B592" s="4"/>
      <c r="C592" s="22"/>
    </row>
    <row r="593" spans="1:3" x14ac:dyDescent="0.2">
      <c r="A593" s="4"/>
      <c r="B593" s="4"/>
      <c r="C593" s="22"/>
    </row>
    <row r="594" spans="1:3" x14ac:dyDescent="0.2">
      <c r="A594" s="4"/>
      <c r="B594" s="4"/>
      <c r="C594" s="22"/>
    </row>
    <row r="595" spans="1:3" x14ac:dyDescent="0.2">
      <c r="A595" s="4"/>
      <c r="B595" s="4"/>
      <c r="C595" s="22"/>
    </row>
    <row r="596" spans="1:3" x14ac:dyDescent="0.2">
      <c r="A596" s="4"/>
      <c r="B596" s="4"/>
      <c r="C596" s="22"/>
    </row>
    <row r="597" spans="1:3" x14ac:dyDescent="0.2">
      <c r="A597" s="4"/>
      <c r="B597" s="4"/>
      <c r="C597" s="22"/>
    </row>
    <row r="598" spans="1:3" x14ac:dyDescent="0.2">
      <c r="A598" s="4"/>
      <c r="B598" s="4"/>
      <c r="C598" s="22"/>
    </row>
    <row r="599" spans="1:3" x14ac:dyDescent="0.2">
      <c r="A599" s="4"/>
      <c r="B599" s="4"/>
      <c r="C599" s="22"/>
    </row>
    <row r="600" spans="1:3" x14ac:dyDescent="0.2">
      <c r="A600" s="4"/>
      <c r="B600" s="4"/>
      <c r="C600" s="22"/>
    </row>
    <row r="601" spans="1:3" x14ac:dyDescent="0.2">
      <c r="A601" s="4"/>
      <c r="B601" s="4"/>
      <c r="C601" s="22"/>
    </row>
    <row r="602" spans="1:3" x14ac:dyDescent="0.2">
      <c r="A602" s="4"/>
      <c r="B602" s="4"/>
      <c r="C602" s="22"/>
    </row>
    <row r="603" spans="1:3" x14ac:dyDescent="0.2">
      <c r="A603" s="4"/>
      <c r="B603" s="4"/>
      <c r="C603" s="22"/>
    </row>
    <row r="604" spans="1:3" x14ac:dyDescent="0.2">
      <c r="A604" s="4"/>
      <c r="B604" s="4"/>
      <c r="C604" s="22"/>
    </row>
    <row r="605" spans="1:3" x14ac:dyDescent="0.2">
      <c r="A605" s="4"/>
      <c r="B605" s="4"/>
      <c r="C605" s="22"/>
    </row>
    <row r="606" spans="1:3" x14ac:dyDescent="0.2">
      <c r="A606" s="4"/>
      <c r="B606" s="4"/>
      <c r="C606" s="22"/>
    </row>
    <row r="607" spans="1:3" x14ac:dyDescent="0.2">
      <c r="A607" s="4"/>
      <c r="B607" s="4"/>
      <c r="C607" s="22"/>
    </row>
    <row r="608" spans="1:3" x14ac:dyDescent="0.2">
      <c r="A608" s="4"/>
      <c r="B608" s="4"/>
      <c r="C608" s="22"/>
    </row>
    <row r="609" spans="1:3" x14ac:dyDescent="0.2">
      <c r="A609" s="4"/>
      <c r="B609" s="4"/>
      <c r="C609" s="22"/>
    </row>
    <row r="610" spans="1:3" x14ac:dyDescent="0.2">
      <c r="A610" s="4"/>
      <c r="B610" s="4"/>
      <c r="C610" s="22"/>
    </row>
    <row r="611" spans="1:3" x14ac:dyDescent="0.2">
      <c r="A611" s="4"/>
      <c r="B611" s="4"/>
      <c r="C611" s="22"/>
    </row>
    <row r="612" spans="1:3" x14ac:dyDescent="0.2">
      <c r="A612" s="4"/>
      <c r="B612" s="4"/>
      <c r="C612" s="22"/>
    </row>
    <row r="613" spans="1:3" x14ac:dyDescent="0.2">
      <c r="A613" s="4"/>
      <c r="B613" s="4"/>
      <c r="C613" s="22"/>
    </row>
    <row r="614" spans="1:3" x14ac:dyDescent="0.2">
      <c r="A614" s="4"/>
      <c r="B614" s="4"/>
      <c r="C614" s="22"/>
    </row>
    <row r="615" spans="1:3" x14ac:dyDescent="0.2">
      <c r="A615" s="4"/>
      <c r="B615" s="4"/>
      <c r="C615" s="22"/>
    </row>
    <row r="616" spans="1:3" x14ac:dyDescent="0.2">
      <c r="A616" s="4"/>
      <c r="B616" s="4"/>
      <c r="C616" s="22"/>
    </row>
    <row r="617" spans="1:3" x14ac:dyDescent="0.2">
      <c r="A617" s="4"/>
      <c r="B617" s="4"/>
      <c r="C617" s="22"/>
    </row>
    <row r="618" spans="1:3" x14ac:dyDescent="0.2">
      <c r="A618" s="4"/>
      <c r="B618" s="4"/>
      <c r="C618" s="22"/>
    </row>
    <row r="619" spans="1:3" x14ac:dyDescent="0.2">
      <c r="A619" s="4"/>
      <c r="B619" s="4"/>
      <c r="C619" s="22"/>
    </row>
    <row r="620" spans="1:3" x14ac:dyDescent="0.2">
      <c r="A620" s="4"/>
      <c r="B620" s="4"/>
      <c r="C620" s="22"/>
    </row>
    <row r="621" spans="1:3" x14ac:dyDescent="0.2">
      <c r="A621" s="4"/>
      <c r="B621" s="4"/>
      <c r="C621" s="22"/>
    </row>
    <row r="622" spans="1:3" x14ac:dyDescent="0.2">
      <c r="A622" s="4"/>
      <c r="B622" s="4"/>
      <c r="C622" s="22"/>
    </row>
    <row r="623" spans="1:3" x14ac:dyDescent="0.2">
      <c r="A623" s="4"/>
      <c r="B623" s="4"/>
      <c r="C623" s="22"/>
    </row>
    <row r="624" spans="1:3" x14ac:dyDescent="0.2">
      <c r="A624" s="4"/>
      <c r="B624" s="4"/>
      <c r="C624" s="22"/>
    </row>
    <row r="625" spans="1:3" x14ac:dyDescent="0.2">
      <c r="A625" s="4"/>
      <c r="B625" s="4"/>
      <c r="C625" s="22"/>
    </row>
    <row r="626" spans="1:3" x14ac:dyDescent="0.2">
      <c r="A626" s="4"/>
      <c r="B626" s="4"/>
      <c r="C626" s="22"/>
    </row>
    <row r="627" spans="1:3" x14ac:dyDescent="0.2">
      <c r="A627" s="4"/>
      <c r="B627" s="4"/>
      <c r="C627" s="22"/>
    </row>
    <row r="628" spans="1:3" x14ac:dyDescent="0.2">
      <c r="A628" s="4"/>
      <c r="B628" s="4"/>
      <c r="C628" s="22"/>
    </row>
    <row r="629" spans="1:3" x14ac:dyDescent="0.2">
      <c r="A629" s="4"/>
      <c r="B629" s="4"/>
      <c r="C629" s="22"/>
    </row>
    <row r="630" spans="1:3" x14ac:dyDescent="0.2">
      <c r="A630" s="4"/>
      <c r="B630" s="4"/>
      <c r="C630" s="22"/>
    </row>
    <row r="631" spans="1:3" x14ac:dyDescent="0.2">
      <c r="A631" s="4"/>
      <c r="B631" s="4"/>
      <c r="C631" s="22"/>
    </row>
    <row r="632" spans="1:3" x14ac:dyDescent="0.2">
      <c r="A632" s="4"/>
      <c r="B632" s="4"/>
      <c r="C632" s="22"/>
    </row>
    <row r="633" spans="1:3" x14ac:dyDescent="0.2">
      <c r="A633" s="4"/>
      <c r="B633" s="4"/>
      <c r="C633" s="22"/>
    </row>
    <row r="634" spans="1:3" x14ac:dyDescent="0.2">
      <c r="A634" s="4"/>
      <c r="B634" s="4"/>
      <c r="C634" s="22"/>
    </row>
    <row r="635" spans="1:3" x14ac:dyDescent="0.2">
      <c r="A635" s="4"/>
      <c r="B635" s="4"/>
      <c r="C635" s="22"/>
    </row>
    <row r="636" spans="1:3" x14ac:dyDescent="0.2">
      <c r="A636" s="4"/>
      <c r="B636" s="4"/>
      <c r="C636" s="22"/>
    </row>
    <row r="637" spans="1:3" x14ac:dyDescent="0.2">
      <c r="A637" s="4"/>
      <c r="B637" s="4"/>
      <c r="C637" s="22"/>
    </row>
    <row r="638" spans="1:3" x14ac:dyDescent="0.2">
      <c r="A638" s="4"/>
      <c r="B638" s="4"/>
      <c r="C638" s="22"/>
    </row>
    <row r="639" spans="1:3" x14ac:dyDescent="0.2">
      <c r="A639" s="4"/>
      <c r="B639" s="4"/>
      <c r="C639" s="22"/>
    </row>
    <row r="640" spans="1:3" x14ac:dyDescent="0.2">
      <c r="A640" s="4"/>
      <c r="B640" s="4"/>
      <c r="C640" s="22"/>
    </row>
    <row r="641" spans="1:3" x14ac:dyDescent="0.2">
      <c r="A641" s="4"/>
      <c r="B641" s="4"/>
      <c r="C641" s="22"/>
    </row>
    <row r="642" spans="1:3" x14ac:dyDescent="0.2">
      <c r="A642" s="4"/>
      <c r="B642" s="4"/>
      <c r="C642" s="22"/>
    </row>
    <row r="643" spans="1:3" x14ac:dyDescent="0.2">
      <c r="A643" s="4"/>
      <c r="B643" s="4"/>
      <c r="C643" s="22"/>
    </row>
    <row r="644" spans="1:3" x14ac:dyDescent="0.2">
      <c r="A644" s="4"/>
      <c r="B644" s="4"/>
      <c r="C644" s="22"/>
    </row>
    <row r="645" spans="1:3" x14ac:dyDescent="0.2">
      <c r="A645" s="4"/>
      <c r="B645" s="4"/>
      <c r="C645" s="22"/>
    </row>
    <row r="646" spans="1:3" x14ac:dyDescent="0.2">
      <c r="A646" s="4"/>
      <c r="B646" s="4"/>
      <c r="C646" s="22"/>
    </row>
    <row r="647" spans="1:3" x14ac:dyDescent="0.2">
      <c r="A647" s="4"/>
      <c r="B647" s="4"/>
      <c r="C647" s="22"/>
    </row>
    <row r="648" spans="1:3" x14ac:dyDescent="0.2">
      <c r="A648" s="4"/>
      <c r="B648" s="4"/>
      <c r="C648" s="22"/>
    </row>
    <row r="649" spans="1:3" x14ac:dyDescent="0.2">
      <c r="A649" s="4"/>
      <c r="B649" s="4"/>
      <c r="C649" s="22"/>
    </row>
    <row r="650" spans="1:3" x14ac:dyDescent="0.2">
      <c r="A650" s="4"/>
      <c r="B650" s="4"/>
      <c r="C650" s="22"/>
    </row>
    <row r="651" spans="1:3" x14ac:dyDescent="0.2">
      <c r="A651" s="4"/>
      <c r="B651" s="4"/>
      <c r="C651" s="22"/>
    </row>
    <row r="652" spans="1:3" x14ac:dyDescent="0.2">
      <c r="A652" s="4"/>
      <c r="B652" s="4"/>
      <c r="C652" s="22"/>
    </row>
    <row r="653" spans="1:3" x14ac:dyDescent="0.2">
      <c r="A653" s="4"/>
      <c r="B653" s="4"/>
      <c r="C653" s="22"/>
    </row>
    <row r="654" spans="1:3" x14ac:dyDescent="0.2">
      <c r="A654" s="4"/>
      <c r="B654" s="4"/>
      <c r="C654" s="22"/>
    </row>
    <row r="655" spans="1:3" x14ac:dyDescent="0.2">
      <c r="A655" s="4"/>
      <c r="B655" s="4"/>
      <c r="C655" s="22"/>
    </row>
    <row r="656" spans="1:3" x14ac:dyDescent="0.2">
      <c r="A656" s="4"/>
      <c r="B656" s="4"/>
      <c r="C656" s="22"/>
    </row>
    <row r="657" spans="1:3" x14ac:dyDescent="0.2">
      <c r="A657" s="4"/>
      <c r="B657" s="4"/>
      <c r="C657" s="22"/>
    </row>
    <row r="658" spans="1:3" x14ac:dyDescent="0.2">
      <c r="A658" s="4"/>
      <c r="B658" s="4"/>
      <c r="C658" s="22"/>
    </row>
    <row r="659" spans="1:3" x14ac:dyDescent="0.2">
      <c r="A659" s="4"/>
      <c r="B659" s="4"/>
      <c r="C659" s="22"/>
    </row>
    <row r="660" spans="1:3" x14ac:dyDescent="0.2">
      <c r="A660" s="4"/>
      <c r="B660" s="4"/>
      <c r="C660" s="22"/>
    </row>
    <row r="661" spans="1:3" x14ac:dyDescent="0.2">
      <c r="A661" s="4"/>
      <c r="B661" s="4"/>
      <c r="C661" s="22"/>
    </row>
    <row r="662" spans="1:3" x14ac:dyDescent="0.2">
      <c r="A662" s="4"/>
      <c r="B662" s="4"/>
      <c r="C662" s="22"/>
    </row>
    <row r="663" spans="1:3" x14ac:dyDescent="0.2">
      <c r="A663" s="4"/>
      <c r="B663" s="4"/>
      <c r="C663" s="22"/>
    </row>
    <row r="664" spans="1:3" x14ac:dyDescent="0.2">
      <c r="A664" s="4"/>
      <c r="B664" s="4"/>
      <c r="C664" s="22"/>
    </row>
    <row r="665" spans="1:3" x14ac:dyDescent="0.2">
      <c r="A665" s="4"/>
      <c r="B665" s="4"/>
      <c r="C665" s="22"/>
    </row>
    <row r="666" spans="1:3" x14ac:dyDescent="0.2">
      <c r="A666" s="4"/>
      <c r="B666" s="4"/>
      <c r="C666" s="22"/>
    </row>
    <row r="667" spans="1:3" x14ac:dyDescent="0.2">
      <c r="A667" s="4"/>
      <c r="B667" s="4"/>
      <c r="C667" s="22"/>
    </row>
    <row r="668" spans="1:3" x14ac:dyDescent="0.2">
      <c r="A668" s="4"/>
      <c r="B668" s="4"/>
      <c r="C668" s="22"/>
    </row>
    <row r="669" spans="1:3" x14ac:dyDescent="0.2">
      <c r="A669" s="4"/>
      <c r="B669" s="4"/>
      <c r="C669" s="22"/>
    </row>
    <row r="670" spans="1:3" x14ac:dyDescent="0.2">
      <c r="A670" s="4"/>
      <c r="B670" s="4"/>
      <c r="C670" s="22"/>
    </row>
    <row r="671" spans="1:3" x14ac:dyDescent="0.2">
      <c r="A671" s="4"/>
      <c r="B671" s="4"/>
      <c r="C671" s="22"/>
    </row>
    <row r="672" spans="1:3" x14ac:dyDescent="0.2">
      <c r="A672" s="4"/>
      <c r="B672" s="4"/>
      <c r="C672" s="22"/>
    </row>
    <row r="673" spans="1:3" x14ac:dyDescent="0.2">
      <c r="A673" s="4"/>
      <c r="B673" s="4"/>
      <c r="C673" s="22"/>
    </row>
    <row r="674" spans="1:3" x14ac:dyDescent="0.2">
      <c r="A674" s="4"/>
      <c r="B674" s="4"/>
      <c r="C674" s="22"/>
    </row>
    <row r="675" spans="1:3" x14ac:dyDescent="0.2">
      <c r="A675" s="4"/>
      <c r="B675" s="4"/>
      <c r="C675" s="22"/>
    </row>
    <row r="676" spans="1:3" x14ac:dyDescent="0.2">
      <c r="A676" s="4"/>
      <c r="B676" s="4"/>
      <c r="C676" s="22"/>
    </row>
    <row r="677" spans="1:3" x14ac:dyDescent="0.2">
      <c r="A677" s="4"/>
      <c r="B677" s="4"/>
      <c r="C677" s="22"/>
    </row>
    <row r="678" spans="1:3" x14ac:dyDescent="0.2">
      <c r="A678" s="4"/>
      <c r="B678" s="4"/>
      <c r="C678" s="22"/>
    </row>
    <row r="679" spans="1:3" x14ac:dyDescent="0.2">
      <c r="A679" s="4"/>
      <c r="B679" s="4"/>
      <c r="C679" s="22"/>
    </row>
    <row r="680" spans="1:3" x14ac:dyDescent="0.2">
      <c r="A680" s="4"/>
      <c r="B680" s="4"/>
      <c r="C680" s="22"/>
    </row>
    <row r="681" spans="1:3" x14ac:dyDescent="0.2">
      <c r="A681" s="4"/>
      <c r="B681" s="4"/>
      <c r="C681" s="22"/>
    </row>
    <row r="682" spans="1:3" x14ac:dyDescent="0.2">
      <c r="A682" s="4"/>
      <c r="B682" s="4"/>
      <c r="C682" s="22"/>
    </row>
    <row r="683" spans="1:3" x14ac:dyDescent="0.2">
      <c r="A683" s="4"/>
      <c r="B683" s="4"/>
      <c r="C683" s="22"/>
    </row>
    <row r="684" spans="1:3" x14ac:dyDescent="0.2">
      <c r="A684" s="4"/>
      <c r="B684" s="4"/>
      <c r="C684" s="22"/>
    </row>
    <row r="685" spans="1:3" x14ac:dyDescent="0.2">
      <c r="A685" s="4"/>
      <c r="B685" s="4"/>
      <c r="C685" s="22"/>
    </row>
    <row r="686" spans="1:3" x14ac:dyDescent="0.2">
      <c r="A686" s="4"/>
      <c r="B686" s="4"/>
      <c r="C686" s="22"/>
    </row>
    <row r="687" spans="1:3" x14ac:dyDescent="0.2">
      <c r="A687" s="4"/>
      <c r="B687" s="4"/>
      <c r="C687" s="22"/>
    </row>
    <row r="688" spans="1:3" x14ac:dyDescent="0.2">
      <c r="A688" s="4"/>
      <c r="B688" s="4"/>
      <c r="C688" s="22"/>
    </row>
    <row r="689" spans="1:3" x14ac:dyDescent="0.2">
      <c r="A689" s="4"/>
      <c r="B689" s="4"/>
      <c r="C689" s="22"/>
    </row>
    <row r="690" spans="1:3" x14ac:dyDescent="0.2">
      <c r="A690" s="4"/>
      <c r="B690" s="4"/>
      <c r="C690" s="22"/>
    </row>
    <row r="691" spans="1:3" x14ac:dyDescent="0.2">
      <c r="A691" s="4"/>
      <c r="B691" s="4"/>
      <c r="C691" s="22"/>
    </row>
    <row r="692" spans="1:3" x14ac:dyDescent="0.2">
      <c r="A692" s="4"/>
      <c r="B692" s="4"/>
      <c r="C692" s="22"/>
    </row>
    <row r="693" spans="1:3" x14ac:dyDescent="0.2">
      <c r="A693" s="4"/>
      <c r="B693" s="4"/>
      <c r="C693" s="22"/>
    </row>
    <row r="694" spans="1:3" x14ac:dyDescent="0.2">
      <c r="A694" s="4"/>
      <c r="B694" s="4"/>
      <c r="C694" s="22"/>
    </row>
    <row r="695" spans="1:3" x14ac:dyDescent="0.2">
      <c r="A695" s="4"/>
      <c r="B695" s="4"/>
      <c r="C695" s="22"/>
    </row>
    <row r="696" spans="1:3" x14ac:dyDescent="0.2">
      <c r="A696" s="4"/>
      <c r="B696" s="4"/>
      <c r="C696" s="22"/>
    </row>
    <row r="697" spans="1:3" x14ac:dyDescent="0.2">
      <c r="A697" s="4"/>
      <c r="B697" s="4"/>
      <c r="C697" s="22"/>
    </row>
    <row r="698" spans="1:3" x14ac:dyDescent="0.2">
      <c r="A698" s="4"/>
      <c r="B698" s="4"/>
      <c r="C698" s="22"/>
    </row>
    <row r="699" spans="1:3" x14ac:dyDescent="0.2">
      <c r="A699" s="4"/>
      <c r="B699" s="4"/>
      <c r="C699" s="22"/>
    </row>
    <row r="700" spans="1:3" x14ac:dyDescent="0.2">
      <c r="A700" s="4"/>
      <c r="B700" s="4"/>
      <c r="C700" s="22"/>
    </row>
    <row r="701" spans="1:3" x14ac:dyDescent="0.2">
      <c r="A701" s="4"/>
      <c r="B701" s="4"/>
      <c r="C701" s="22"/>
    </row>
    <row r="702" spans="1:3" x14ac:dyDescent="0.2">
      <c r="A702" s="4"/>
      <c r="B702" s="4"/>
      <c r="C702" s="22"/>
    </row>
    <row r="703" spans="1:3" x14ac:dyDescent="0.2">
      <c r="A703" s="4"/>
      <c r="B703" s="4"/>
      <c r="C703" s="22"/>
    </row>
    <row r="704" spans="1:3" x14ac:dyDescent="0.2">
      <c r="A704" s="4"/>
      <c r="B704" s="4"/>
      <c r="C704" s="22"/>
    </row>
    <row r="705" spans="1:3" x14ac:dyDescent="0.2">
      <c r="A705" s="4"/>
      <c r="B705" s="4"/>
      <c r="C705" s="22"/>
    </row>
    <row r="706" spans="1:3" x14ac:dyDescent="0.2">
      <c r="A706" s="4"/>
      <c r="B706" s="4"/>
      <c r="C706" s="22"/>
    </row>
    <row r="707" spans="1:3" x14ac:dyDescent="0.2">
      <c r="A707" s="4"/>
      <c r="B707" s="4"/>
      <c r="C707" s="22"/>
    </row>
    <row r="708" spans="1:3" x14ac:dyDescent="0.2">
      <c r="A708" s="4"/>
      <c r="B708" s="4"/>
      <c r="C708" s="22"/>
    </row>
    <row r="709" spans="1:3" x14ac:dyDescent="0.2">
      <c r="A709" s="4"/>
      <c r="B709" s="4"/>
      <c r="C709" s="22"/>
    </row>
    <row r="710" spans="1:3" x14ac:dyDescent="0.2">
      <c r="A710" s="4"/>
      <c r="B710" s="4"/>
      <c r="C710" s="22"/>
    </row>
    <row r="711" spans="1:3" x14ac:dyDescent="0.2">
      <c r="A711" s="4"/>
      <c r="B711" s="4"/>
      <c r="C711" s="22"/>
    </row>
    <row r="712" spans="1:3" x14ac:dyDescent="0.2">
      <c r="A712" s="4"/>
      <c r="B712" s="4"/>
      <c r="C712" s="22"/>
    </row>
    <row r="713" spans="1:3" x14ac:dyDescent="0.2">
      <c r="A713" s="4"/>
      <c r="B713" s="4"/>
      <c r="C713" s="22"/>
    </row>
    <row r="714" spans="1:3" x14ac:dyDescent="0.2">
      <c r="A714" s="4"/>
      <c r="B714" s="4"/>
      <c r="C714" s="22"/>
    </row>
    <row r="715" spans="1:3" x14ac:dyDescent="0.2">
      <c r="A715" s="4"/>
      <c r="B715" s="4"/>
      <c r="C715" s="22"/>
    </row>
    <row r="716" spans="1:3" x14ac:dyDescent="0.2">
      <c r="A716" s="4"/>
      <c r="B716" s="4"/>
      <c r="C716" s="22"/>
    </row>
    <row r="717" spans="1:3" x14ac:dyDescent="0.2">
      <c r="A717" s="4"/>
      <c r="B717" s="4"/>
      <c r="C717" s="22"/>
    </row>
    <row r="718" spans="1:3" x14ac:dyDescent="0.2">
      <c r="A718" s="4"/>
      <c r="B718" s="4"/>
      <c r="C718" s="22"/>
    </row>
    <row r="719" spans="1:3" x14ac:dyDescent="0.2">
      <c r="A719" s="4"/>
      <c r="B719" s="4"/>
      <c r="C719" s="22"/>
    </row>
    <row r="720" spans="1:3" x14ac:dyDescent="0.2">
      <c r="A720" s="4"/>
      <c r="B720" s="4"/>
      <c r="C720" s="22"/>
    </row>
    <row r="721" spans="1:3" x14ac:dyDescent="0.2">
      <c r="A721" s="4"/>
      <c r="B721" s="4"/>
      <c r="C721" s="22"/>
    </row>
    <row r="722" spans="1:3" x14ac:dyDescent="0.2">
      <c r="A722" s="4"/>
      <c r="B722" s="4"/>
      <c r="C722" s="22"/>
    </row>
    <row r="723" spans="1:3" x14ac:dyDescent="0.2">
      <c r="A723" s="4"/>
      <c r="B723" s="4"/>
      <c r="C723" s="22"/>
    </row>
    <row r="724" spans="1:3" x14ac:dyDescent="0.2">
      <c r="A724" s="4"/>
      <c r="B724" s="4"/>
      <c r="C724" s="22"/>
    </row>
    <row r="725" spans="1:3" x14ac:dyDescent="0.2">
      <c r="A725" s="4"/>
      <c r="B725" s="4"/>
      <c r="C725" s="22"/>
    </row>
    <row r="726" spans="1:3" x14ac:dyDescent="0.2">
      <c r="A726" s="4"/>
      <c r="B726" s="4"/>
      <c r="C726" s="22"/>
    </row>
    <row r="727" spans="1:3" x14ac:dyDescent="0.2">
      <c r="A727" s="4"/>
      <c r="B727" s="4"/>
      <c r="C727" s="22"/>
    </row>
    <row r="728" spans="1:3" x14ac:dyDescent="0.2">
      <c r="A728" s="4"/>
      <c r="B728" s="4"/>
      <c r="C728" s="22"/>
    </row>
    <row r="729" spans="1:3" x14ac:dyDescent="0.2">
      <c r="A729" s="4"/>
      <c r="B729" s="4"/>
      <c r="C729" s="22"/>
    </row>
    <row r="730" spans="1:3" x14ac:dyDescent="0.2">
      <c r="A730" s="4"/>
      <c r="B730" s="4"/>
      <c r="C730" s="22"/>
    </row>
    <row r="731" spans="1:3" x14ac:dyDescent="0.2">
      <c r="A731" s="4"/>
      <c r="B731" s="4"/>
      <c r="C731" s="22"/>
    </row>
    <row r="732" spans="1:3" x14ac:dyDescent="0.2">
      <c r="A732" s="4"/>
      <c r="B732" s="4"/>
      <c r="C732" s="22"/>
    </row>
    <row r="733" spans="1:3" x14ac:dyDescent="0.2">
      <c r="A733" s="4"/>
      <c r="B733" s="4"/>
      <c r="C733" s="22"/>
    </row>
    <row r="734" spans="1:3" x14ac:dyDescent="0.2">
      <c r="A734" s="4"/>
      <c r="B734" s="4"/>
      <c r="C734" s="22"/>
    </row>
    <row r="735" spans="1:3" x14ac:dyDescent="0.2">
      <c r="A735" s="4"/>
      <c r="B735" s="4"/>
      <c r="C735" s="22"/>
    </row>
    <row r="736" spans="1:3" x14ac:dyDescent="0.2">
      <c r="A736" s="4"/>
      <c r="B736" s="4"/>
      <c r="C736" s="22"/>
    </row>
    <row r="737" spans="1:3" x14ac:dyDescent="0.2">
      <c r="A737" s="4"/>
      <c r="B737" s="4"/>
      <c r="C737" s="22"/>
    </row>
    <row r="738" spans="1:3" x14ac:dyDescent="0.2">
      <c r="A738" s="4"/>
      <c r="B738" s="4"/>
      <c r="C738" s="22"/>
    </row>
    <row r="739" spans="1:3" x14ac:dyDescent="0.2">
      <c r="A739" s="4"/>
      <c r="B739" s="4"/>
      <c r="C739" s="22"/>
    </row>
    <row r="740" spans="1:3" x14ac:dyDescent="0.2">
      <c r="A740" s="4"/>
      <c r="B740" s="4"/>
      <c r="C740" s="22"/>
    </row>
    <row r="741" spans="1:3" x14ac:dyDescent="0.2">
      <c r="A741" s="4"/>
      <c r="B741" s="4"/>
      <c r="C741" s="22"/>
    </row>
    <row r="742" spans="1:3" x14ac:dyDescent="0.2">
      <c r="A742" s="4"/>
      <c r="B742" s="4"/>
      <c r="C742" s="22"/>
    </row>
    <row r="743" spans="1:3" x14ac:dyDescent="0.2">
      <c r="A743" s="4"/>
      <c r="B743" s="4"/>
      <c r="C743" s="22"/>
    </row>
    <row r="744" spans="1:3" x14ac:dyDescent="0.2">
      <c r="A744" s="4"/>
      <c r="B744" s="4"/>
      <c r="C744" s="22"/>
    </row>
    <row r="745" spans="1:3" x14ac:dyDescent="0.2">
      <c r="A745" s="4"/>
      <c r="B745" s="4"/>
      <c r="C745" s="22"/>
    </row>
    <row r="746" spans="1:3" x14ac:dyDescent="0.2">
      <c r="A746" s="4"/>
      <c r="B746" s="4"/>
      <c r="C746" s="22"/>
    </row>
    <row r="747" spans="1:3" x14ac:dyDescent="0.2">
      <c r="A747" s="4"/>
      <c r="B747" s="4"/>
      <c r="C747" s="22"/>
    </row>
    <row r="748" spans="1:3" x14ac:dyDescent="0.2">
      <c r="A748" s="4"/>
      <c r="B748" s="4"/>
      <c r="C748" s="22"/>
    </row>
    <row r="749" spans="1:3" x14ac:dyDescent="0.2">
      <c r="A749" s="4"/>
      <c r="B749" s="4"/>
      <c r="C749" s="22"/>
    </row>
    <row r="750" spans="1:3" x14ac:dyDescent="0.2">
      <c r="A750" s="4"/>
      <c r="B750" s="4"/>
      <c r="C750" s="22"/>
    </row>
    <row r="751" spans="1:3" x14ac:dyDescent="0.2">
      <c r="A751" s="4"/>
      <c r="B751" s="4"/>
      <c r="C751" s="22"/>
    </row>
    <row r="752" spans="1:3" x14ac:dyDescent="0.2">
      <c r="A752" s="4"/>
      <c r="B752" s="4"/>
      <c r="C752" s="22"/>
    </row>
    <row r="753" spans="1:3" x14ac:dyDescent="0.2">
      <c r="A753" s="4"/>
      <c r="B753" s="4"/>
      <c r="C753" s="22"/>
    </row>
    <row r="754" spans="1:3" x14ac:dyDescent="0.2">
      <c r="A754" s="4"/>
      <c r="B754" s="4"/>
      <c r="C754" s="22"/>
    </row>
    <row r="755" spans="1:3" x14ac:dyDescent="0.2">
      <c r="A755" s="4"/>
      <c r="B755" s="4"/>
      <c r="C755" s="22"/>
    </row>
    <row r="756" spans="1:3" x14ac:dyDescent="0.2">
      <c r="A756" s="4"/>
      <c r="B756" s="4"/>
      <c r="C756" s="22"/>
    </row>
    <row r="757" spans="1:3" x14ac:dyDescent="0.2">
      <c r="A757" s="4"/>
      <c r="B757" s="4"/>
      <c r="C757" s="22"/>
    </row>
    <row r="758" spans="1:3" x14ac:dyDescent="0.2">
      <c r="A758" s="4"/>
      <c r="B758" s="4"/>
      <c r="C758" s="22"/>
    </row>
    <row r="759" spans="1:3" x14ac:dyDescent="0.2">
      <c r="A759" s="4"/>
      <c r="B759" s="4"/>
      <c r="C759" s="22"/>
    </row>
    <row r="760" spans="1:3" x14ac:dyDescent="0.2">
      <c r="A760" s="4"/>
      <c r="B760" s="4"/>
      <c r="C760" s="22"/>
    </row>
    <row r="761" spans="1:3" x14ac:dyDescent="0.2">
      <c r="A761" s="4"/>
      <c r="B761" s="4"/>
      <c r="C761" s="22"/>
    </row>
    <row r="762" spans="1:3" x14ac:dyDescent="0.2">
      <c r="A762" s="4"/>
      <c r="B762" s="4"/>
      <c r="C762" s="22"/>
    </row>
    <row r="763" spans="1:3" x14ac:dyDescent="0.2">
      <c r="A763" s="4"/>
      <c r="B763" s="4"/>
      <c r="C763" s="22"/>
    </row>
    <row r="764" spans="1:3" x14ac:dyDescent="0.2">
      <c r="A764" s="4"/>
      <c r="B764" s="4"/>
      <c r="C764" s="22"/>
    </row>
    <row r="765" spans="1:3" x14ac:dyDescent="0.2">
      <c r="A765" s="4"/>
      <c r="B765" s="4"/>
      <c r="C765" s="22"/>
    </row>
    <row r="766" spans="1:3" x14ac:dyDescent="0.2">
      <c r="A766" s="4"/>
      <c r="B766" s="4"/>
      <c r="C766" s="22"/>
    </row>
    <row r="767" spans="1:3" x14ac:dyDescent="0.2">
      <c r="A767" s="4"/>
      <c r="B767" s="4"/>
      <c r="C767" s="22"/>
    </row>
    <row r="768" spans="1:3" x14ac:dyDescent="0.2">
      <c r="A768" s="4"/>
      <c r="B768" s="4"/>
      <c r="C768" s="22"/>
    </row>
    <row r="769" spans="1:3" x14ac:dyDescent="0.2">
      <c r="A769" s="4"/>
      <c r="B769" s="4"/>
      <c r="C769" s="22"/>
    </row>
    <row r="770" spans="1:3" x14ac:dyDescent="0.2">
      <c r="A770" s="4"/>
      <c r="B770" s="4"/>
      <c r="C770" s="22"/>
    </row>
    <row r="771" spans="1:3" x14ac:dyDescent="0.2">
      <c r="A771" s="4"/>
      <c r="B771" s="4"/>
      <c r="C771" s="22"/>
    </row>
    <row r="772" spans="1:3" x14ac:dyDescent="0.2">
      <c r="A772" s="4"/>
      <c r="B772" s="4"/>
      <c r="C772" s="22"/>
    </row>
    <row r="773" spans="1:3" x14ac:dyDescent="0.2">
      <c r="A773" s="4"/>
      <c r="B773" s="4"/>
      <c r="C773" s="22"/>
    </row>
    <row r="774" spans="1:3" x14ac:dyDescent="0.2">
      <c r="A774" s="4"/>
      <c r="B774" s="4"/>
      <c r="C774" s="22"/>
    </row>
    <row r="775" spans="1:3" x14ac:dyDescent="0.2">
      <c r="A775" s="4"/>
      <c r="B775" s="4"/>
      <c r="C775" s="22"/>
    </row>
    <row r="776" spans="1:3" x14ac:dyDescent="0.2">
      <c r="A776" s="4"/>
      <c r="B776" s="4"/>
      <c r="C776" s="22"/>
    </row>
    <row r="777" spans="1:3" x14ac:dyDescent="0.2">
      <c r="A777" s="4"/>
      <c r="B777" s="4"/>
      <c r="C777" s="22"/>
    </row>
    <row r="778" spans="1:3" x14ac:dyDescent="0.2">
      <c r="A778" s="4"/>
      <c r="B778" s="4"/>
      <c r="C778" s="22"/>
    </row>
    <row r="779" spans="1:3" x14ac:dyDescent="0.2">
      <c r="A779" s="4"/>
      <c r="B779" s="4"/>
      <c r="C779" s="22"/>
    </row>
    <row r="780" spans="1:3" x14ac:dyDescent="0.2">
      <c r="A780" s="4"/>
      <c r="B780" s="4"/>
      <c r="C780" s="22"/>
    </row>
    <row r="781" spans="1:3" x14ac:dyDescent="0.2">
      <c r="A781" s="4"/>
      <c r="B781" s="4"/>
      <c r="C781" s="22"/>
    </row>
    <row r="782" spans="1:3" x14ac:dyDescent="0.2">
      <c r="A782" s="4"/>
      <c r="B782" s="4"/>
      <c r="C782" s="22"/>
    </row>
    <row r="783" spans="1:3" x14ac:dyDescent="0.2">
      <c r="A783" s="4"/>
      <c r="B783" s="4"/>
      <c r="C783" s="22"/>
    </row>
    <row r="784" spans="1:3" x14ac:dyDescent="0.2">
      <c r="A784" s="4"/>
      <c r="B784" s="4"/>
      <c r="C784" s="22"/>
    </row>
    <row r="785" spans="1:3" x14ac:dyDescent="0.2">
      <c r="A785" s="4"/>
      <c r="B785" s="4"/>
      <c r="C785" s="22"/>
    </row>
    <row r="786" spans="1:3" x14ac:dyDescent="0.2">
      <c r="A786" s="4"/>
      <c r="B786" s="4"/>
      <c r="C786" s="22"/>
    </row>
    <row r="787" spans="1:3" x14ac:dyDescent="0.2">
      <c r="A787" s="4"/>
      <c r="B787" s="4"/>
      <c r="C787" s="22"/>
    </row>
    <row r="788" spans="1:3" x14ac:dyDescent="0.2">
      <c r="A788" s="4"/>
      <c r="B788" s="4"/>
      <c r="C788" s="22"/>
    </row>
    <row r="789" spans="1:3" x14ac:dyDescent="0.2">
      <c r="A789" s="4"/>
      <c r="B789" s="4"/>
      <c r="C789" s="22"/>
    </row>
    <row r="790" spans="1:3" x14ac:dyDescent="0.2">
      <c r="A790" s="4"/>
      <c r="B790" s="4"/>
      <c r="C790" s="22"/>
    </row>
    <row r="791" spans="1:3" x14ac:dyDescent="0.2">
      <c r="A791" s="4"/>
      <c r="B791" s="4"/>
      <c r="C791" s="22"/>
    </row>
    <row r="792" spans="1:3" x14ac:dyDescent="0.2">
      <c r="A792" s="4"/>
      <c r="B792" s="4"/>
      <c r="C792" s="22"/>
    </row>
    <row r="793" spans="1:3" x14ac:dyDescent="0.2">
      <c r="A793" s="4"/>
      <c r="B793" s="4"/>
      <c r="C793" s="22"/>
    </row>
    <row r="794" spans="1:3" x14ac:dyDescent="0.2">
      <c r="A794" s="4"/>
      <c r="B794" s="4"/>
      <c r="C794" s="22"/>
    </row>
    <row r="795" spans="1:3" x14ac:dyDescent="0.2">
      <c r="A795" s="4"/>
      <c r="B795" s="4"/>
      <c r="C795" s="22"/>
    </row>
    <row r="796" spans="1:3" x14ac:dyDescent="0.2">
      <c r="A796" s="4"/>
      <c r="B796" s="4"/>
      <c r="C796" s="22"/>
    </row>
    <row r="797" spans="1:3" x14ac:dyDescent="0.2">
      <c r="A797" s="4"/>
      <c r="B797" s="4"/>
      <c r="C797" s="22"/>
    </row>
    <row r="798" spans="1:3" x14ac:dyDescent="0.2">
      <c r="A798" s="4"/>
      <c r="B798" s="4"/>
      <c r="C798" s="22"/>
    </row>
    <row r="799" spans="1:3" x14ac:dyDescent="0.2">
      <c r="A799" s="4"/>
      <c r="B799" s="4"/>
      <c r="C799" s="22"/>
    </row>
    <row r="800" spans="1:3" x14ac:dyDescent="0.2">
      <c r="A800" s="4"/>
      <c r="B800" s="4"/>
      <c r="C800" s="22"/>
    </row>
    <row r="801" spans="1:3" x14ac:dyDescent="0.2">
      <c r="A801" s="4"/>
      <c r="B801" s="4"/>
      <c r="C801" s="22"/>
    </row>
    <row r="802" spans="1:3" x14ac:dyDescent="0.2">
      <c r="A802" s="4"/>
      <c r="B802" s="4"/>
      <c r="C802" s="22"/>
    </row>
    <row r="803" spans="1:3" x14ac:dyDescent="0.2">
      <c r="A803" s="4"/>
      <c r="B803" s="4"/>
      <c r="C803" s="22"/>
    </row>
    <row r="804" spans="1:3" x14ac:dyDescent="0.2">
      <c r="A804" s="4"/>
      <c r="B804" s="4"/>
      <c r="C804" s="22"/>
    </row>
    <row r="805" spans="1:3" x14ac:dyDescent="0.2">
      <c r="A805" s="4"/>
      <c r="B805" s="4"/>
      <c r="C805" s="22"/>
    </row>
    <row r="806" spans="1:3" x14ac:dyDescent="0.2">
      <c r="A806" s="4"/>
      <c r="B806" s="4"/>
      <c r="C806" s="22"/>
    </row>
    <row r="807" spans="1:3" x14ac:dyDescent="0.2">
      <c r="A807" s="4"/>
      <c r="B807" s="4"/>
      <c r="C807" s="22"/>
    </row>
    <row r="808" spans="1:3" x14ac:dyDescent="0.2">
      <c r="A808" s="4"/>
      <c r="B808" s="4"/>
      <c r="C808" s="22"/>
    </row>
    <row r="809" spans="1:3" x14ac:dyDescent="0.2">
      <c r="A809" s="4"/>
      <c r="B809" s="4"/>
      <c r="C809" s="22"/>
    </row>
    <row r="810" spans="1:3" x14ac:dyDescent="0.2">
      <c r="A810" s="4"/>
      <c r="B810" s="4"/>
      <c r="C810" s="22"/>
    </row>
    <row r="811" spans="1:3" x14ac:dyDescent="0.2">
      <c r="A811" s="4"/>
      <c r="B811" s="4"/>
      <c r="C811" s="22"/>
    </row>
    <row r="812" spans="1:3" x14ac:dyDescent="0.2">
      <c r="A812" s="4"/>
      <c r="B812" s="4"/>
      <c r="C812" s="22"/>
    </row>
    <row r="813" spans="1:3" x14ac:dyDescent="0.2">
      <c r="A813" s="4"/>
      <c r="B813" s="4"/>
      <c r="C813" s="22"/>
    </row>
    <row r="814" spans="1:3" x14ac:dyDescent="0.2">
      <c r="A814" s="4"/>
      <c r="B814" s="4"/>
      <c r="C814" s="22"/>
    </row>
    <row r="815" spans="1:3" x14ac:dyDescent="0.2">
      <c r="A815" s="4"/>
      <c r="B815" s="4"/>
      <c r="C815" s="22"/>
    </row>
    <row r="816" spans="1:3" x14ac:dyDescent="0.2">
      <c r="A816" s="4"/>
      <c r="B816" s="4"/>
      <c r="C816" s="22"/>
    </row>
    <row r="817" spans="1:3" x14ac:dyDescent="0.2">
      <c r="A817" s="4"/>
      <c r="B817" s="4"/>
      <c r="C817" s="22"/>
    </row>
    <row r="818" spans="1:3" x14ac:dyDescent="0.2">
      <c r="A818" s="4"/>
      <c r="B818" s="4"/>
      <c r="C818" s="22"/>
    </row>
    <row r="819" spans="1:3" x14ac:dyDescent="0.2">
      <c r="A819" s="4"/>
      <c r="B819" s="4"/>
      <c r="C819" s="22"/>
    </row>
    <row r="820" spans="1:3" x14ac:dyDescent="0.2">
      <c r="A820" s="4"/>
      <c r="B820" s="4"/>
      <c r="C820" s="22"/>
    </row>
    <row r="821" spans="1:3" x14ac:dyDescent="0.2">
      <c r="A821" s="4"/>
      <c r="B821" s="4"/>
      <c r="C821" s="22"/>
    </row>
    <row r="822" spans="1:3" x14ac:dyDescent="0.2">
      <c r="A822" s="4"/>
      <c r="B822" s="4"/>
      <c r="C822" s="22"/>
    </row>
    <row r="823" spans="1:3" x14ac:dyDescent="0.2">
      <c r="A823" s="4"/>
      <c r="B823" s="4"/>
      <c r="C823" s="22"/>
    </row>
    <row r="824" spans="1:3" x14ac:dyDescent="0.2">
      <c r="A824" s="4"/>
      <c r="B824" s="4"/>
      <c r="C824" s="22"/>
    </row>
    <row r="825" spans="1:3" x14ac:dyDescent="0.2">
      <c r="A825" s="4"/>
      <c r="B825" s="4"/>
      <c r="C825" s="22"/>
    </row>
    <row r="826" spans="1:3" x14ac:dyDescent="0.2">
      <c r="A826" s="4"/>
      <c r="B826" s="4"/>
      <c r="C826" s="22"/>
    </row>
    <row r="827" spans="1:3" x14ac:dyDescent="0.2">
      <c r="A827" s="4"/>
      <c r="B827" s="4"/>
      <c r="C827" s="22"/>
    </row>
    <row r="828" spans="1:3" x14ac:dyDescent="0.2">
      <c r="A828" s="4"/>
      <c r="B828" s="4"/>
      <c r="C828" s="22"/>
    </row>
    <row r="829" spans="1:3" x14ac:dyDescent="0.2">
      <c r="A829" s="4"/>
      <c r="B829" s="4"/>
      <c r="C829" s="22"/>
    </row>
    <row r="830" spans="1:3" x14ac:dyDescent="0.2">
      <c r="A830" s="4"/>
      <c r="B830" s="4"/>
      <c r="C830" s="22"/>
    </row>
    <row r="831" spans="1:3" x14ac:dyDescent="0.2">
      <c r="A831" s="4"/>
      <c r="B831" s="4"/>
      <c r="C831" s="22"/>
    </row>
    <row r="832" spans="1:3" x14ac:dyDescent="0.2">
      <c r="A832" s="4"/>
      <c r="B832" s="4"/>
      <c r="C832" s="22"/>
    </row>
    <row r="833" spans="1:3" x14ac:dyDescent="0.2">
      <c r="A833" s="4"/>
      <c r="B833" s="4"/>
      <c r="C833" s="22"/>
    </row>
    <row r="834" spans="1:3" x14ac:dyDescent="0.2">
      <c r="A834" s="4"/>
      <c r="B834" s="4"/>
      <c r="C834" s="22"/>
    </row>
    <row r="835" spans="1:3" x14ac:dyDescent="0.2">
      <c r="A835" s="4"/>
      <c r="B835" s="4"/>
      <c r="C835" s="22"/>
    </row>
    <row r="836" spans="1:3" x14ac:dyDescent="0.2">
      <c r="A836" s="4"/>
      <c r="B836" s="4"/>
      <c r="C836" s="22"/>
    </row>
    <row r="837" spans="1:3" x14ac:dyDescent="0.2">
      <c r="A837" s="4"/>
      <c r="B837" s="4"/>
      <c r="C837" s="22"/>
    </row>
    <row r="838" spans="1:3" x14ac:dyDescent="0.2">
      <c r="A838" s="4"/>
      <c r="B838" s="4"/>
      <c r="C838" s="22"/>
    </row>
    <row r="839" spans="1:3" x14ac:dyDescent="0.2">
      <c r="A839" s="4"/>
      <c r="B839" s="4"/>
      <c r="C839" s="22"/>
    </row>
    <row r="840" spans="1:3" x14ac:dyDescent="0.2">
      <c r="A840" s="4"/>
      <c r="B840" s="4"/>
      <c r="C840" s="22"/>
    </row>
    <row r="841" spans="1:3" x14ac:dyDescent="0.2">
      <c r="A841" s="4"/>
      <c r="B841" s="4"/>
      <c r="C841" s="22"/>
    </row>
    <row r="842" spans="1:3" x14ac:dyDescent="0.2">
      <c r="A842" s="4"/>
      <c r="B842" s="4"/>
      <c r="C842" s="22"/>
    </row>
    <row r="843" spans="1:3" x14ac:dyDescent="0.2">
      <c r="A843" s="4"/>
      <c r="B843" s="4"/>
      <c r="C843" s="22"/>
    </row>
    <row r="844" spans="1:3" x14ac:dyDescent="0.2">
      <c r="A844" s="4"/>
      <c r="B844" s="4"/>
      <c r="C844" s="22"/>
    </row>
    <row r="845" spans="1:3" x14ac:dyDescent="0.2">
      <c r="A845" s="4"/>
      <c r="B845" s="4"/>
      <c r="C845" s="22"/>
    </row>
    <row r="846" spans="1:3" x14ac:dyDescent="0.2">
      <c r="A846" s="4"/>
      <c r="B846" s="4"/>
      <c r="C846" s="22"/>
    </row>
    <row r="847" spans="1:3" x14ac:dyDescent="0.2">
      <c r="A847" s="4"/>
      <c r="B847" s="4"/>
      <c r="C847" s="22"/>
    </row>
    <row r="848" spans="1:3" x14ac:dyDescent="0.2">
      <c r="A848" s="4"/>
      <c r="B848" s="4"/>
      <c r="C848" s="22"/>
    </row>
    <row r="849" spans="1:3" x14ac:dyDescent="0.2">
      <c r="A849" s="4"/>
      <c r="B849" s="4"/>
      <c r="C849" s="22"/>
    </row>
    <row r="850" spans="1:3" x14ac:dyDescent="0.2">
      <c r="A850" s="4"/>
      <c r="B850" s="4"/>
      <c r="C850" s="22"/>
    </row>
    <row r="851" spans="1:3" x14ac:dyDescent="0.2">
      <c r="A851" s="4"/>
      <c r="B851" s="4"/>
      <c r="C851" s="22"/>
    </row>
    <row r="852" spans="1:3" x14ac:dyDescent="0.2">
      <c r="A852" s="4"/>
      <c r="B852" s="4"/>
      <c r="C852" s="22"/>
    </row>
    <row r="853" spans="1:3" x14ac:dyDescent="0.2">
      <c r="A853" s="4"/>
      <c r="B853" s="4"/>
      <c r="C853" s="22"/>
    </row>
    <row r="854" spans="1:3" x14ac:dyDescent="0.2">
      <c r="A854" s="4"/>
      <c r="B854" s="4"/>
      <c r="C854" s="22"/>
    </row>
    <row r="855" spans="1:3" x14ac:dyDescent="0.2">
      <c r="A855" s="4"/>
      <c r="B855" s="4"/>
      <c r="C855" s="22"/>
    </row>
    <row r="856" spans="1:3" x14ac:dyDescent="0.2">
      <c r="A856" s="4"/>
      <c r="B856" s="4"/>
      <c r="C856" s="22"/>
    </row>
    <row r="857" spans="1:3" x14ac:dyDescent="0.2">
      <c r="A857" s="4"/>
      <c r="B857" s="4"/>
      <c r="C857" s="22"/>
    </row>
    <row r="858" spans="1:3" x14ac:dyDescent="0.2">
      <c r="A858" s="4"/>
      <c r="B858" s="4"/>
      <c r="C858" s="22"/>
    </row>
    <row r="859" spans="1:3" x14ac:dyDescent="0.2">
      <c r="A859" s="4"/>
      <c r="B859" s="4"/>
      <c r="C859" s="22"/>
    </row>
    <row r="860" spans="1:3" x14ac:dyDescent="0.2">
      <c r="A860" s="4"/>
      <c r="B860" s="4"/>
      <c r="C860" s="22"/>
    </row>
    <row r="861" spans="1:3" x14ac:dyDescent="0.2">
      <c r="A861" s="4"/>
      <c r="B861" s="4"/>
      <c r="C861" s="22"/>
    </row>
    <row r="862" spans="1:3" x14ac:dyDescent="0.2">
      <c r="A862" s="4"/>
      <c r="B862" s="4"/>
      <c r="C862" s="22"/>
    </row>
    <row r="863" spans="1:3" x14ac:dyDescent="0.2">
      <c r="A863" s="4"/>
      <c r="B863" s="4"/>
      <c r="C863" s="22"/>
    </row>
    <row r="864" spans="1:3" x14ac:dyDescent="0.2">
      <c r="A864" s="4"/>
      <c r="B864" s="4"/>
      <c r="C864" s="22"/>
    </row>
    <row r="865" spans="1:3" x14ac:dyDescent="0.2">
      <c r="A865" s="4"/>
      <c r="B865" s="4"/>
      <c r="C865" s="22"/>
    </row>
    <row r="866" spans="1:3" x14ac:dyDescent="0.2">
      <c r="A866" s="4"/>
      <c r="B866" s="4"/>
      <c r="C866" s="22"/>
    </row>
    <row r="867" spans="1:3" x14ac:dyDescent="0.2">
      <c r="A867" s="4"/>
      <c r="B867" s="4"/>
      <c r="C867" s="22"/>
    </row>
    <row r="868" spans="1:3" x14ac:dyDescent="0.2">
      <c r="A868" s="4"/>
      <c r="B868" s="4"/>
      <c r="C868" s="22"/>
    </row>
    <row r="869" spans="1:3" x14ac:dyDescent="0.2">
      <c r="A869" s="4"/>
      <c r="B869" s="4"/>
      <c r="C869" s="22"/>
    </row>
    <row r="870" spans="1:3" x14ac:dyDescent="0.2">
      <c r="A870" s="4"/>
      <c r="B870" s="4"/>
      <c r="C870" s="22"/>
    </row>
    <row r="871" spans="1:3" x14ac:dyDescent="0.2">
      <c r="A871" s="4"/>
      <c r="B871" s="4"/>
      <c r="C871" s="22"/>
    </row>
    <row r="872" spans="1:3" x14ac:dyDescent="0.2">
      <c r="A872" s="4"/>
      <c r="B872" s="4"/>
      <c r="C872" s="22"/>
    </row>
    <row r="873" spans="1:3" x14ac:dyDescent="0.2">
      <c r="A873" s="4"/>
      <c r="B873" s="4"/>
      <c r="C873" s="22"/>
    </row>
    <row r="874" spans="1:3" x14ac:dyDescent="0.2">
      <c r="A874" s="4"/>
      <c r="B874" s="4"/>
      <c r="C874" s="22"/>
    </row>
    <row r="875" spans="1:3" x14ac:dyDescent="0.2">
      <c r="A875" s="4"/>
      <c r="B875" s="4"/>
      <c r="C875" s="22"/>
    </row>
    <row r="876" spans="1:3" x14ac:dyDescent="0.2">
      <c r="A876" s="4"/>
      <c r="B876" s="4"/>
      <c r="C876" s="22"/>
    </row>
    <row r="877" spans="1:3" x14ac:dyDescent="0.2">
      <c r="A877" s="4"/>
      <c r="B877" s="4"/>
      <c r="C877" s="22"/>
    </row>
    <row r="878" spans="1:3" x14ac:dyDescent="0.2">
      <c r="A878" s="4"/>
      <c r="B878" s="4"/>
      <c r="C878" s="22"/>
    </row>
    <row r="879" spans="1:3" x14ac:dyDescent="0.2">
      <c r="A879" s="4"/>
      <c r="B879" s="4"/>
      <c r="C879" s="22"/>
    </row>
    <row r="880" spans="1:3" x14ac:dyDescent="0.2">
      <c r="A880" s="4"/>
      <c r="B880" s="4"/>
      <c r="C880" s="22"/>
    </row>
    <row r="881" spans="1:3" x14ac:dyDescent="0.2">
      <c r="A881" s="4"/>
      <c r="B881" s="4"/>
      <c r="C881" s="22"/>
    </row>
    <row r="882" spans="1:3" x14ac:dyDescent="0.2">
      <c r="A882" s="4"/>
      <c r="B882" s="4"/>
      <c r="C882" s="22"/>
    </row>
    <row r="883" spans="1:3" x14ac:dyDescent="0.2">
      <c r="A883" s="4"/>
      <c r="B883" s="4"/>
      <c r="C883" s="22"/>
    </row>
    <row r="884" spans="1:3" x14ac:dyDescent="0.2">
      <c r="A884" s="4"/>
      <c r="B884" s="4"/>
      <c r="C884" s="22"/>
    </row>
    <row r="885" spans="1:3" x14ac:dyDescent="0.2">
      <c r="A885" s="4"/>
      <c r="B885" s="4"/>
      <c r="C885" s="22"/>
    </row>
    <row r="886" spans="1:3" x14ac:dyDescent="0.2">
      <c r="A886" s="4"/>
      <c r="B886" s="4"/>
      <c r="C886" s="22"/>
    </row>
    <row r="887" spans="1:3" x14ac:dyDescent="0.2">
      <c r="A887" s="4"/>
      <c r="B887" s="4"/>
      <c r="C887" s="22"/>
    </row>
    <row r="888" spans="1:3" x14ac:dyDescent="0.2">
      <c r="A888" s="4"/>
      <c r="B888" s="4"/>
      <c r="C888" s="22"/>
    </row>
    <row r="889" spans="1:3" x14ac:dyDescent="0.2">
      <c r="A889" s="4"/>
      <c r="B889" s="4"/>
      <c r="C889" s="22"/>
    </row>
    <row r="890" spans="1:3" x14ac:dyDescent="0.2">
      <c r="A890" s="4"/>
      <c r="B890" s="4"/>
      <c r="C890" s="22"/>
    </row>
    <row r="891" spans="1:3" x14ac:dyDescent="0.2">
      <c r="A891" s="4"/>
      <c r="B891" s="4"/>
      <c r="C891" s="22"/>
    </row>
    <row r="892" spans="1:3" x14ac:dyDescent="0.2">
      <c r="A892" s="4"/>
      <c r="B892" s="4"/>
      <c r="C892" s="22"/>
    </row>
    <row r="893" spans="1:3" x14ac:dyDescent="0.2">
      <c r="A893" s="4"/>
      <c r="B893" s="4"/>
      <c r="C893" s="22"/>
    </row>
    <row r="894" spans="1:3" x14ac:dyDescent="0.2">
      <c r="A894" s="4"/>
      <c r="B894" s="4"/>
      <c r="C894" s="22"/>
    </row>
    <row r="895" spans="1:3" x14ac:dyDescent="0.2">
      <c r="A895" s="4"/>
      <c r="B895" s="4"/>
      <c r="C895" s="22"/>
    </row>
    <row r="896" spans="1:3" x14ac:dyDescent="0.2">
      <c r="A896" s="4"/>
      <c r="B896" s="4"/>
      <c r="C896" s="22"/>
    </row>
    <row r="897" spans="1:3" x14ac:dyDescent="0.2">
      <c r="A897" s="4"/>
      <c r="B897" s="4"/>
      <c r="C897" s="22"/>
    </row>
    <row r="898" spans="1:3" x14ac:dyDescent="0.2">
      <c r="A898" s="4"/>
      <c r="B898" s="4"/>
      <c r="C898" s="22"/>
    </row>
    <row r="899" spans="1:3" x14ac:dyDescent="0.2">
      <c r="A899" s="4"/>
      <c r="B899" s="4"/>
      <c r="C899" s="22"/>
    </row>
    <row r="900" spans="1:3" x14ac:dyDescent="0.2">
      <c r="A900" s="4"/>
      <c r="B900" s="4"/>
      <c r="C900" s="22"/>
    </row>
    <row r="901" spans="1:3" x14ac:dyDescent="0.2">
      <c r="A901" s="4"/>
      <c r="B901" s="4"/>
      <c r="C901" s="22"/>
    </row>
    <row r="902" spans="1:3" x14ac:dyDescent="0.2">
      <c r="A902" s="4"/>
      <c r="B902" s="4"/>
      <c r="C902" s="22"/>
    </row>
    <row r="903" spans="1:3" x14ac:dyDescent="0.2">
      <c r="A903" s="4"/>
      <c r="B903" s="4"/>
      <c r="C903" s="22"/>
    </row>
    <row r="904" spans="1:3" x14ac:dyDescent="0.2">
      <c r="A904" s="4"/>
      <c r="B904" s="4"/>
      <c r="C904" s="22"/>
    </row>
    <row r="905" spans="1:3" x14ac:dyDescent="0.2">
      <c r="A905" s="4"/>
      <c r="B905" s="4"/>
      <c r="C905" s="22"/>
    </row>
    <row r="906" spans="1:3" x14ac:dyDescent="0.2">
      <c r="A906" s="4"/>
      <c r="B906" s="4"/>
      <c r="C906" s="22"/>
    </row>
    <row r="907" spans="1:3" x14ac:dyDescent="0.2">
      <c r="A907" s="4"/>
      <c r="B907" s="4"/>
      <c r="C907" s="22"/>
    </row>
    <row r="908" spans="1:3" x14ac:dyDescent="0.2">
      <c r="A908" s="4"/>
      <c r="B908" s="4"/>
      <c r="C908" s="22"/>
    </row>
    <row r="909" spans="1:3" x14ac:dyDescent="0.2">
      <c r="A909" s="4"/>
      <c r="B909" s="4"/>
      <c r="C909" s="22"/>
    </row>
    <row r="910" spans="1:3" x14ac:dyDescent="0.2">
      <c r="A910" s="4"/>
      <c r="B910" s="4"/>
      <c r="C910" s="22"/>
    </row>
    <row r="911" spans="1:3" x14ac:dyDescent="0.2">
      <c r="A911" s="4"/>
      <c r="B911" s="4"/>
      <c r="C911" s="22"/>
    </row>
    <row r="912" spans="1:3" x14ac:dyDescent="0.2">
      <c r="A912" s="4"/>
      <c r="B912" s="4"/>
      <c r="C912" s="22"/>
    </row>
    <row r="913" spans="1:3" x14ac:dyDescent="0.2">
      <c r="A913" s="4"/>
      <c r="B913" s="4"/>
      <c r="C913" s="22"/>
    </row>
    <row r="914" spans="1:3" x14ac:dyDescent="0.2">
      <c r="A914" s="4"/>
      <c r="B914" s="4"/>
      <c r="C914" s="22"/>
    </row>
    <row r="915" spans="1:3" x14ac:dyDescent="0.2">
      <c r="A915" s="4"/>
      <c r="B915" s="4"/>
      <c r="C915" s="22"/>
    </row>
    <row r="916" spans="1:3" x14ac:dyDescent="0.2">
      <c r="A916" s="4"/>
      <c r="B916" s="4"/>
      <c r="C916" s="22"/>
    </row>
    <row r="917" spans="1:3" x14ac:dyDescent="0.2">
      <c r="A917" s="4"/>
      <c r="B917" s="4"/>
      <c r="C917" s="22"/>
    </row>
    <row r="918" spans="1:3" x14ac:dyDescent="0.2">
      <c r="A918" s="4"/>
      <c r="B918" s="4"/>
      <c r="C918" s="22"/>
    </row>
    <row r="919" spans="1:3" x14ac:dyDescent="0.2">
      <c r="A919" s="4"/>
      <c r="B919" s="4"/>
      <c r="C919" s="22"/>
    </row>
    <row r="920" spans="1:3" x14ac:dyDescent="0.2">
      <c r="A920" s="4"/>
      <c r="B920" s="4"/>
      <c r="C920" s="22"/>
    </row>
    <row r="921" spans="1:3" x14ac:dyDescent="0.2">
      <c r="A921" s="4"/>
      <c r="B921" s="4"/>
      <c r="C921" s="22"/>
    </row>
    <row r="922" spans="1:3" x14ac:dyDescent="0.2">
      <c r="A922" s="4"/>
      <c r="B922" s="4"/>
      <c r="C922" s="22"/>
    </row>
    <row r="923" spans="1:3" x14ac:dyDescent="0.2">
      <c r="A923" s="4"/>
      <c r="B923" s="4"/>
      <c r="C923" s="22"/>
    </row>
    <row r="924" spans="1:3" x14ac:dyDescent="0.2">
      <c r="A924" s="4"/>
      <c r="B924" s="4"/>
      <c r="C924" s="22"/>
    </row>
    <row r="925" spans="1:3" x14ac:dyDescent="0.2">
      <c r="A925" s="4"/>
      <c r="B925" s="4"/>
      <c r="C925" s="22"/>
    </row>
    <row r="926" spans="1:3" x14ac:dyDescent="0.2">
      <c r="A926" s="4"/>
      <c r="B926" s="4"/>
      <c r="C926" s="22"/>
    </row>
    <row r="927" spans="1:3" x14ac:dyDescent="0.2">
      <c r="A927" s="4"/>
      <c r="B927" s="4"/>
      <c r="C927" s="22"/>
    </row>
    <row r="928" spans="1:3" x14ac:dyDescent="0.2">
      <c r="A928" s="4"/>
      <c r="B928" s="4"/>
      <c r="C928" s="22"/>
    </row>
    <row r="929" spans="1:3" x14ac:dyDescent="0.2">
      <c r="A929" s="4"/>
      <c r="B929" s="4"/>
      <c r="C929" s="22"/>
    </row>
    <row r="930" spans="1:3" x14ac:dyDescent="0.2">
      <c r="A930" s="4"/>
      <c r="B930" s="4"/>
      <c r="C930" s="22"/>
    </row>
    <row r="931" spans="1:3" x14ac:dyDescent="0.2">
      <c r="A931" s="4"/>
      <c r="B931" s="4"/>
      <c r="C931" s="22"/>
    </row>
    <row r="932" spans="1:3" x14ac:dyDescent="0.2">
      <c r="A932" s="4"/>
      <c r="B932" s="4"/>
      <c r="C932" s="22"/>
    </row>
    <row r="933" spans="1:3" x14ac:dyDescent="0.2">
      <c r="A933" s="4"/>
      <c r="B933" s="4"/>
      <c r="C933" s="22"/>
    </row>
    <row r="934" spans="1:3" x14ac:dyDescent="0.2">
      <c r="A934" s="4"/>
      <c r="B934" s="4"/>
      <c r="C934" s="22"/>
    </row>
    <row r="935" spans="1:3" x14ac:dyDescent="0.2">
      <c r="A935" s="4"/>
      <c r="B935" s="4"/>
      <c r="C935" s="22"/>
    </row>
    <row r="936" spans="1:3" x14ac:dyDescent="0.2">
      <c r="A936" s="4"/>
      <c r="B936" s="4"/>
      <c r="C936" s="22"/>
    </row>
    <row r="937" spans="1:3" x14ac:dyDescent="0.2">
      <c r="A937" s="4"/>
      <c r="B937" s="4"/>
      <c r="C937" s="22"/>
    </row>
    <row r="938" spans="1:3" x14ac:dyDescent="0.2">
      <c r="A938" s="4"/>
      <c r="B938" s="4"/>
      <c r="C938" s="22"/>
    </row>
    <row r="939" spans="1:3" x14ac:dyDescent="0.2">
      <c r="A939" s="4"/>
      <c r="B939" s="4"/>
      <c r="C939" s="22"/>
    </row>
    <row r="940" spans="1:3" x14ac:dyDescent="0.2">
      <c r="A940" s="4"/>
      <c r="B940" s="4"/>
      <c r="C940" s="22"/>
    </row>
    <row r="941" spans="1:3" x14ac:dyDescent="0.2">
      <c r="A941" s="4"/>
      <c r="B941" s="4"/>
      <c r="C941" s="22"/>
    </row>
    <row r="942" spans="1:3" x14ac:dyDescent="0.2">
      <c r="A942" s="4"/>
      <c r="B942" s="4"/>
      <c r="C942" s="22"/>
    </row>
    <row r="943" spans="1:3" x14ac:dyDescent="0.2">
      <c r="A943" s="4"/>
      <c r="B943" s="4"/>
      <c r="C943" s="22"/>
    </row>
    <row r="944" spans="1:3" x14ac:dyDescent="0.2">
      <c r="A944" s="4"/>
      <c r="B944" s="4"/>
      <c r="C944" s="22"/>
    </row>
    <row r="945" spans="1:3" x14ac:dyDescent="0.2">
      <c r="A945" s="4"/>
      <c r="B945" s="4"/>
      <c r="C945" s="22"/>
    </row>
    <row r="946" spans="1:3" x14ac:dyDescent="0.2">
      <c r="A946" s="4"/>
      <c r="B946" s="4"/>
      <c r="C946" s="22"/>
    </row>
    <row r="947" spans="1:3" x14ac:dyDescent="0.2">
      <c r="A947" s="4"/>
      <c r="B947" s="4"/>
      <c r="C947" s="22"/>
    </row>
    <row r="948" spans="1:3" x14ac:dyDescent="0.2">
      <c r="A948" s="4"/>
      <c r="B948" s="4"/>
      <c r="C948" s="22"/>
    </row>
    <row r="949" spans="1:3" x14ac:dyDescent="0.2">
      <c r="A949" s="4"/>
      <c r="B949" s="4"/>
      <c r="C949" s="22"/>
    </row>
    <row r="950" spans="1:3" x14ac:dyDescent="0.2">
      <c r="A950" s="4"/>
      <c r="B950" s="4"/>
      <c r="C950" s="22"/>
    </row>
    <row r="951" spans="1:3" x14ac:dyDescent="0.2">
      <c r="A951" s="4"/>
      <c r="B951" s="4"/>
      <c r="C951" s="22"/>
    </row>
    <row r="952" spans="1:3" x14ac:dyDescent="0.2">
      <c r="A952" s="4"/>
      <c r="B952" s="4"/>
      <c r="C952" s="22"/>
    </row>
    <row r="953" spans="1:3" x14ac:dyDescent="0.2">
      <c r="A953" s="4"/>
      <c r="B953" s="4"/>
      <c r="C953" s="22"/>
    </row>
    <row r="954" spans="1:3" x14ac:dyDescent="0.2">
      <c r="A954" s="4"/>
      <c r="B954" s="4"/>
      <c r="C954" s="22"/>
    </row>
    <row r="955" spans="1:3" x14ac:dyDescent="0.2">
      <c r="A955" s="4"/>
      <c r="B955" s="4"/>
      <c r="C955" s="22"/>
    </row>
    <row r="956" spans="1:3" x14ac:dyDescent="0.2">
      <c r="A956" s="4"/>
      <c r="B956" s="4"/>
      <c r="C956" s="22"/>
    </row>
    <row r="957" spans="1:3" x14ac:dyDescent="0.2">
      <c r="A957" s="4"/>
      <c r="B957" s="4"/>
      <c r="C957" s="22"/>
    </row>
    <row r="958" spans="1:3" x14ac:dyDescent="0.2">
      <c r="A958" s="4"/>
      <c r="B958" s="4"/>
      <c r="C958" s="22"/>
    </row>
    <row r="959" spans="1:3" x14ac:dyDescent="0.2">
      <c r="A959" s="4"/>
      <c r="B959" s="4"/>
      <c r="C959" s="22"/>
    </row>
    <row r="960" spans="1:3" x14ac:dyDescent="0.2">
      <c r="A960" s="4"/>
      <c r="B960" s="4"/>
      <c r="C960" s="22"/>
    </row>
    <row r="961" spans="1:3" x14ac:dyDescent="0.2">
      <c r="A961" s="4"/>
      <c r="B961" s="4"/>
      <c r="C961" s="22"/>
    </row>
    <row r="962" spans="1:3" x14ac:dyDescent="0.2">
      <c r="A962" s="4"/>
      <c r="B962" s="4"/>
      <c r="C962" s="22"/>
    </row>
    <row r="963" spans="1:3" x14ac:dyDescent="0.2">
      <c r="A963" s="4"/>
      <c r="B963" s="4"/>
      <c r="C963" s="22"/>
    </row>
    <row r="964" spans="1:3" x14ac:dyDescent="0.2">
      <c r="A964" s="4"/>
      <c r="B964" s="4"/>
      <c r="C964" s="22"/>
    </row>
    <row r="965" spans="1:3" x14ac:dyDescent="0.2">
      <c r="A965" s="4"/>
      <c r="B965" s="4"/>
      <c r="C965" s="22"/>
    </row>
    <row r="966" spans="1:3" x14ac:dyDescent="0.2">
      <c r="A966" s="4"/>
      <c r="B966" s="4"/>
      <c r="C966" s="22"/>
    </row>
    <row r="967" spans="1:3" x14ac:dyDescent="0.2">
      <c r="A967" s="4"/>
      <c r="B967" s="4"/>
      <c r="C967" s="22"/>
    </row>
    <row r="968" spans="1:3" x14ac:dyDescent="0.2">
      <c r="A968" s="4"/>
      <c r="B968" s="4"/>
      <c r="C968" s="22"/>
    </row>
    <row r="969" spans="1:3" x14ac:dyDescent="0.2">
      <c r="A969" s="4"/>
      <c r="B969" s="4"/>
      <c r="C969" s="22"/>
    </row>
    <row r="970" spans="1:3" x14ac:dyDescent="0.2">
      <c r="A970" s="4"/>
      <c r="B970" s="4"/>
      <c r="C970" s="22"/>
    </row>
    <row r="971" spans="1:3" x14ac:dyDescent="0.2">
      <c r="A971" s="4"/>
      <c r="B971" s="4"/>
      <c r="C971" s="22"/>
    </row>
    <row r="972" spans="1:3" x14ac:dyDescent="0.2">
      <c r="A972" s="4"/>
      <c r="B972" s="4"/>
      <c r="C972" s="22"/>
    </row>
    <row r="973" spans="1:3" x14ac:dyDescent="0.2">
      <c r="A973" s="4"/>
      <c r="B973" s="4"/>
      <c r="C973" s="22"/>
    </row>
    <row r="974" spans="1:3" x14ac:dyDescent="0.2">
      <c r="A974" s="4"/>
      <c r="B974" s="4"/>
      <c r="C974" s="22"/>
    </row>
    <row r="975" spans="1:3" x14ac:dyDescent="0.2">
      <c r="A975" s="4"/>
      <c r="B975" s="4"/>
      <c r="C975" s="22"/>
    </row>
    <row r="976" spans="1:3" x14ac:dyDescent="0.2">
      <c r="A976" s="4"/>
      <c r="B976" s="4"/>
      <c r="C976" s="22"/>
    </row>
    <row r="977" spans="1:3" x14ac:dyDescent="0.2">
      <c r="A977" s="4"/>
      <c r="B977" s="4"/>
      <c r="C977" s="22"/>
    </row>
    <row r="978" spans="1:3" x14ac:dyDescent="0.2">
      <c r="A978" s="4"/>
      <c r="B978" s="4"/>
      <c r="C978" s="22"/>
    </row>
    <row r="979" spans="1:3" x14ac:dyDescent="0.2">
      <c r="A979" s="4"/>
      <c r="B979" s="4"/>
      <c r="C979" s="22"/>
    </row>
    <row r="980" spans="1:3" x14ac:dyDescent="0.2">
      <c r="A980" s="4"/>
      <c r="B980" s="4"/>
      <c r="C980" s="22"/>
    </row>
    <row r="981" spans="1:3" x14ac:dyDescent="0.2">
      <c r="A981" s="4"/>
      <c r="B981" s="4"/>
      <c r="C981" s="22"/>
    </row>
    <row r="982" spans="1:3" x14ac:dyDescent="0.2">
      <c r="A982" s="4"/>
      <c r="B982" s="4"/>
      <c r="C982" s="22"/>
    </row>
    <row r="983" spans="1:3" x14ac:dyDescent="0.2">
      <c r="A983" s="4"/>
      <c r="B983" s="4"/>
      <c r="C983" s="22"/>
    </row>
    <row r="984" spans="1:3" x14ac:dyDescent="0.2">
      <c r="A984" s="4"/>
      <c r="B984" s="4"/>
      <c r="C984" s="22"/>
    </row>
    <row r="985" spans="1:3" x14ac:dyDescent="0.2">
      <c r="A985" s="4"/>
      <c r="B985" s="4"/>
      <c r="C985" s="22"/>
    </row>
    <row r="986" spans="1:3" x14ac:dyDescent="0.2">
      <c r="A986" s="4"/>
      <c r="B986" s="4"/>
      <c r="C986" s="22"/>
    </row>
    <row r="987" spans="1:3" x14ac:dyDescent="0.2">
      <c r="A987" s="4"/>
      <c r="B987" s="4"/>
      <c r="C987" s="22"/>
    </row>
    <row r="988" spans="1:3" x14ac:dyDescent="0.2">
      <c r="A988" s="4"/>
      <c r="B988" s="4"/>
      <c r="C988" s="22"/>
    </row>
    <row r="989" spans="1:3" x14ac:dyDescent="0.2">
      <c r="A989" s="4"/>
      <c r="B989" s="4"/>
      <c r="C989" s="22"/>
    </row>
    <row r="990" spans="1:3" x14ac:dyDescent="0.2">
      <c r="A990" s="4"/>
      <c r="B990" s="4"/>
      <c r="C990" s="22"/>
    </row>
    <row r="991" spans="1:3" x14ac:dyDescent="0.2">
      <c r="A991" s="4"/>
      <c r="B991" s="4"/>
      <c r="C991" s="22"/>
    </row>
    <row r="992" spans="1:3" x14ac:dyDescent="0.2">
      <c r="A992" s="4"/>
      <c r="B992" s="4"/>
      <c r="C992" s="22"/>
    </row>
    <row r="993" spans="1:3" x14ac:dyDescent="0.2">
      <c r="A993" s="4"/>
      <c r="B993" s="4"/>
      <c r="C993" s="22"/>
    </row>
    <row r="994" spans="1:3" x14ac:dyDescent="0.2">
      <c r="A994" s="4"/>
      <c r="B994" s="4"/>
      <c r="C994" s="22"/>
    </row>
    <row r="995" spans="1:3" x14ac:dyDescent="0.2">
      <c r="A995" s="4"/>
      <c r="B995" s="4"/>
      <c r="C995" s="22"/>
    </row>
    <row r="996" spans="1:3" x14ac:dyDescent="0.2">
      <c r="A996" s="4"/>
      <c r="B996" s="4"/>
      <c r="C996" s="22"/>
    </row>
    <row r="997" spans="1:3" x14ac:dyDescent="0.2">
      <c r="A997" s="4"/>
      <c r="B997" s="4"/>
      <c r="C997" s="22"/>
    </row>
    <row r="998" spans="1:3" x14ac:dyDescent="0.2">
      <c r="A998" s="4"/>
      <c r="B998" s="4"/>
      <c r="C998" s="22"/>
    </row>
    <row r="999" spans="1:3" x14ac:dyDescent="0.2">
      <c r="A999" s="4"/>
      <c r="B999" s="4"/>
      <c r="C999" s="22"/>
    </row>
    <row r="1000" spans="1:3" x14ac:dyDescent="0.2">
      <c r="A1000" s="4"/>
      <c r="B1000" s="4"/>
      <c r="C1000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8" x14ac:dyDescent="0.2">
      <c r="A1" s="23" t="s">
        <v>498</v>
      </c>
      <c r="B1" s="24" t="s">
        <v>499</v>
      </c>
      <c r="C1" s="24" t="s">
        <v>500</v>
      </c>
      <c r="D1" s="24" t="s">
        <v>501</v>
      </c>
      <c r="E1" s="24" t="s">
        <v>502</v>
      </c>
      <c r="F1" s="24" t="s">
        <v>503</v>
      </c>
      <c r="G1" s="24" t="s">
        <v>317</v>
      </c>
      <c r="H1" s="25" t="s">
        <v>316</v>
      </c>
    </row>
    <row r="2" spans="1:8" x14ac:dyDescent="0.2">
      <c r="A2" s="26" t="s">
        <v>506</v>
      </c>
      <c r="B2" s="27" t="s">
        <v>507</v>
      </c>
      <c r="C2" s="27" t="s">
        <v>504</v>
      </c>
      <c r="D2" s="27">
        <v>1.47</v>
      </c>
      <c r="E2" s="27" t="s">
        <v>505</v>
      </c>
      <c r="F2" s="27">
        <v>20.14</v>
      </c>
      <c r="G2" s="27">
        <v>480095</v>
      </c>
      <c r="H2" s="28" t="s">
        <v>3735</v>
      </c>
    </row>
    <row r="3" spans="1:8" x14ac:dyDescent="0.2">
      <c r="A3" s="26" t="s">
        <v>514</v>
      </c>
      <c r="B3" s="27" t="s">
        <v>515</v>
      </c>
      <c r="C3" s="27" t="s">
        <v>504</v>
      </c>
      <c r="D3" s="27">
        <v>6.63</v>
      </c>
      <c r="E3" s="27" t="s">
        <v>505</v>
      </c>
      <c r="F3" s="27">
        <v>46.99</v>
      </c>
      <c r="G3" s="27">
        <v>480095</v>
      </c>
      <c r="H3" s="28" t="s">
        <v>3735</v>
      </c>
    </row>
    <row r="4" spans="1:8" x14ac:dyDescent="0.2">
      <c r="A4" s="26" t="s">
        <v>565</v>
      </c>
      <c r="B4" s="27" t="s">
        <v>566</v>
      </c>
      <c r="C4" s="27" t="s">
        <v>504</v>
      </c>
      <c r="D4" s="27">
        <v>0.46</v>
      </c>
      <c r="E4" s="27" t="s">
        <v>505</v>
      </c>
      <c r="F4" s="27">
        <v>2.75</v>
      </c>
      <c r="G4" s="27">
        <v>480095</v>
      </c>
      <c r="H4" s="28" t="s">
        <v>3735</v>
      </c>
    </row>
    <row r="5" spans="1:8" x14ac:dyDescent="0.2">
      <c r="A5" s="26" t="s">
        <v>563</v>
      </c>
      <c r="B5" s="27" t="s">
        <v>564</v>
      </c>
      <c r="C5" s="27" t="s">
        <v>504</v>
      </c>
      <c r="D5" s="27">
        <v>1.58</v>
      </c>
      <c r="E5" s="27" t="s">
        <v>505</v>
      </c>
      <c r="F5" s="27">
        <v>9.25</v>
      </c>
      <c r="G5" s="27">
        <v>480095</v>
      </c>
      <c r="H5" s="28" t="s">
        <v>3735</v>
      </c>
    </row>
    <row r="6" spans="1:8" x14ac:dyDescent="0.2">
      <c r="A6" s="26" t="s">
        <v>546</v>
      </c>
      <c r="B6" s="27" t="s">
        <v>547</v>
      </c>
      <c r="C6" s="27" t="s">
        <v>504</v>
      </c>
      <c r="D6" s="27">
        <v>7.13</v>
      </c>
      <c r="E6" s="27" t="s">
        <v>505</v>
      </c>
      <c r="F6" s="27">
        <v>44.41</v>
      </c>
      <c r="G6" s="27">
        <v>480095</v>
      </c>
      <c r="H6" s="28" t="s">
        <v>3735</v>
      </c>
    </row>
    <row r="7" spans="1:8" x14ac:dyDescent="0.2">
      <c r="A7" s="26" t="s">
        <v>542</v>
      </c>
      <c r="B7" s="27" t="s">
        <v>543</v>
      </c>
      <c r="C7" s="27" t="s">
        <v>504</v>
      </c>
      <c r="D7" s="27">
        <v>2</v>
      </c>
      <c r="E7" s="27" t="s">
        <v>527</v>
      </c>
      <c r="F7" s="27">
        <v>0.8</v>
      </c>
      <c r="G7" s="27">
        <v>480095</v>
      </c>
      <c r="H7" s="28" t="s">
        <v>3735</v>
      </c>
    </row>
    <row r="8" spans="1:8" x14ac:dyDescent="0.2">
      <c r="A8" s="26" t="s">
        <v>528</v>
      </c>
      <c r="B8" s="27" t="s">
        <v>529</v>
      </c>
      <c r="C8" s="27" t="s">
        <v>504</v>
      </c>
      <c r="D8" s="27">
        <v>1</v>
      </c>
      <c r="E8" s="27" t="s">
        <v>527</v>
      </c>
      <c r="F8" s="27">
        <v>0.33</v>
      </c>
      <c r="G8" s="27">
        <v>480095</v>
      </c>
      <c r="H8" s="28" t="s">
        <v>3735</v>
      </c>
    </row>
    <row r="9" spans="1:8" x14ac:dyDescent="0.2">
      <c r="A9" s="26" t="s">
        <v>530</v>
      </c>
      <c r="B9" s="27" t="s">
        <v>531</v>
      </c>
      <c r="C9" s="27" t="s">
        <v>504</v>
      </c>
      <c r="D9" s="27">
        <v>4</v>
      </c>
      <c r="E9" s="27" t="s">
        <v>527</v>
      </c>
      <c r="F9" s="27">
        <v>0.44</v>
      </c>
      <c r="G9" s="27">
        <v>480095</v>
      </c>
      <c r="H9" s="28" t="s">
        <v>3735</v>
      </c>
    </row>
    <row r="10" spans="1:8" x14ac:dyDescent="0.2">
      <c r="A10" s="26" t="s">
        <v>552</v>
      </c>
      <c r="B10" s="27" t="s">
        <v>553</v>
      </c>
      <c r="C10" s="27" t="s">
        <v>504</v>
      </c>
      <c r="D10" s="27">
        <v>1</v>
      </c>
      <c r="E10" s="27" t="s">
        <v>527</v>
      </c>
      <c r="F10" s="27">
        <v>2.15</v>
      </c>
      <c r="G10" s="27">
        <v>480095</v>
      </c>
      <c r="H10" s="28" t="s">
        <v>3735</v>
      </c>
    </row>
    <row r="11" spans="1:8" x14ac:dyDescent="0.2">
      <c r="A11" s="26" t="s">
        <v>532</v>
      </c>
      <c r="B11" s="27" t="s">
        <v>533</v>
      </c>
      <c r="C11" s="27" t="s">
        <v>504</v>
      </c>
      <c r="D11" s="27">
        <v>4</v>
      </c>
      <c r="E11" s="27" t="s">
        <v>527</v>
      </c>
      <c r="F11" s="27">
        <v>2.75</v>
      </c>
      <c r="G11" s="27">
        <v>480095</v>
      </c>
      <c r="H11" s="28" t="s">
        <v>3735</v>
      </c>
    </row>
    <row r="12" spans="1:8" x14ac:dyDescent="0.2">
      <c r="A12" s="26" t="s">
        <v>534</v>
      </c>
      <c r="B12" s="27" t="s">
        <v>535</v>
      </c>
      <c r="C12" s="27" t="s">
        <v>504</v>
      </c>
      <c r="D12" s="27">
        <v>4</v>
      </c>
      <c r="E12" s="27" t="s">
        <v>527</v>
      </c>
      <c r="F12" s="27">
        <v>2.89</v>
      </c>
      <c r="G12" s="27">
        <v>480095</v>
      </c>
      <c r="H12" s="28" t="s">
        <v>3735</v>
      </c>
    </row>
    <row r="13" spans="1:8" x14ac:dyDescent="0.2">
      <c r="A13" s="26" t="s">
        <v>536</v>
      </c>
      <c r="B13" s="27" t="s">
        <v>537</v>
      </c>
      <c r="C13" s="27" t="s">
        <v>504</v>
      </c>
      <c r="D13" s="27">
        <v>1</v>
      </c>
      <c r="E13" s="27" t="s">
        <v>527</v>
      </c>
      <c r="F13" s="27">
        <v>1.27</v>
      </c>
      <c r="G13" s="27">
        <v>480095</v>
      </c>
      <c r="H13" s="28" t="s">
        <v>3735</v>
      </c>
    </row>
    <row r="14" spans="1:8" x14ac:dyDescent="0.2">
      <c r="A14" s="26" t="s">
        <v>538</v>
      </c>
      <c r="B14" s="27" t="s">
        <v>539</v>
      </c>
      <c r="C14" s="27" t="s">
        <v>504</v>
      </c>
      <c r="D14" s="27">
        <v>0.05</v>
      </c>
      <c r="E14" s="27" t="s">
        <v>505</v>
      </c>
      <c r="F14" s="27">
        <v>1.92</v>
      </c>
      <c r="G14" s="27">
        <v>480095</v>
      </c>
      <c r="H14" s="28" t="s">
        <v>3735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1"/>
  <sheetViews>
    <sheetView workbookViewId="0"/>
  </sheetViews>
  <sheetFormatPr defaultColWidth="12.5703125" defaultRowHeight="15.75" customHeight="1" x14ac:dyDescent="0.2"/>
  <cols>
    <col min="1" max="1" width="24" customWidth="1"/>
    <col min="2" max="2" width="44.85546875" customWidth="1"/>
  </cols>
  <sheetData>
    <row r="1" spans="1:2" x14ac:dyDescent="0.2">
      <c r="A1" s="9">
        <v>200478</v>
      </c>
      <c r="B1" s="9" t="s">
        <v>21</v>
      </c>
    </row>
    <row r="2" spans="1:2" x14ac:dyDescent="0.2">
      <c r="A2" s="9">
        <v>200953</v>
      </c>
      <c r="B2" s="9" t="s">
        <v>23</v>
      </c>
    </row>
    <row r="3" spans="1:2" x14ac:dyDescent="0.2">
      <c r="A3" s="9">
        <v>200391</v>
      </c>
      <c r="B3" s="9" t="s">
        <v>26</v>
      </c>
    </row>
    <row r="4" spans="1:2" x14ac:dyDescent="0.2">
      <c r="A4" s="9">
        <v>268501</v>
      </c>
      <c r="B4" s="9" t="s">
        <v>28</v>
      </c>
    </row>
    <row r="5" spans="1:2" x14ac:dyDescent="0.2">
      <c r="A5" s="9">
        <v>268150</v>
      </c>
      <c r="B5" s="9" t="s">
        <v>31</v>
      </c>
    </row>
    <row r="6" spans="1:2" x14ac:dyDescent="0.2">
      <c r="A6" s="9">
        <v>218467</v>
      </c>
      <c r="B6" s="9" t="s">
        <v>34</v>
      </c>
    </row>
    <row r="7" spans="1:2" x14ac:dyDescent="0.2">
      <c r="A7" s="9">
        <v>268410</v>
      </c>
      <c r="B7" s="9" t="s">
        <v>37</v>
      </c>
    </row>
    <row r="8" spans="1:2" x14ac:dyDescent="0.2">
      <c r="A8" s="9">
        <v>268046</v>
      </c>
      <c r="B8" s="9" t="s">
        <v>39</v>
      </c>
    </row>
    <row r="9" spans="1:2" x14ac:dyDescent="0.2">
      <c r="A9" s="9">
        <v>268502</v>
      </c>
      <c r="B9" s="9" t="s">
        <v>41</v>
      </c>
    </row>
    <row r="10" spans="1:2" x14ac:dyDescent="0.2">
      <c r="A10" s="9">
        <v>218455</v>
      </c>
      <c r="B10" s="9" t="s">
        <v>43</v>
      </c>
    </row>
    <row r="11" spans="1:2" x14ac:dyDescent="0.2">
      <c r="A11" s="9">
        <v>218454</v>
      </c>
      <c r="B11" s="9" t="s">
        <v>45</v>
      </c>
    </row>
    <row r="12" spans="1:2" x14ac:dyDescent="0.2">
      <c r="A12" s="9"/>
      <c r="B12" s="12"/>
    </row>
    <row r="13" spans="1:2" x14ac:dyDescent="0.2">
      <c r="A13" s="9"/>
      <c r="B13" s="12"/>
    </row>
    <row r="14" spans="1:2" x14ac:dyDescent="0.2">
      <c r="A14" s="9"/>
      <c r="B14" s="12"/>
    </row>
    <row r="15" spans="1:2" x14ac:dyDescent="0.2">
      <c r="A15" s="9"/>
      <c r="B15" s="12"/>
    </row>
    <row r="16" spans="1:2" x14ac:dyDescent="0.2">
      <c r="A16" s="9"/>
      <c r="B16" s="12"/>
    </row>
    <row r="17" spans="1:2" x14ac:dyDescent="0.2">
      <c r="A17" s="9"/>
      <c r="B17" s="12"/>
    </row>
    <row r="18" spans="1:2" x14ac:dyDescent="0.2">
      <c r="A18" s="9"/>
      <c r="B18" s="12"/>
    </row>
    <row r="19" spans="1:2" x14ac:dyDescent="0.2">
      <c r="A19" s="9"/>
      <c r="B19" s="12"/>
    </row>
    <row r="20" spans="1:2" x14ac:dyDescent="0.2">
      <c r="A20" s="9"/>
      <c r="B20" s="12"/>
    </row>
    <row r="21" spans="1:2" x14ac:dyDescent="0.2">
      <c r="A21" s="9"/>
      <c r="B21" s="12"/>
    </row>
    <row r="22" spans="1:2" x14ac:dyDescent="0.2">
      <c r="A22" s="9"/>
      <c r="B22" s="12"/>
    </row>
    <row r="23" spans="1:2" x14ac:dyDescent="0.2">
      <c r="A23" s="9"/>
      <c r="B23" s="12"/>
    </row>
    <row r="24" spans="1:2" x14ac:dyDescent="0.2">
      <c r="A24" s="9"/>
      <c r="B24" s="12"/>
    </row>
    <row r="25" spans="1:2" x14ac:dyDescent="0.2">
      <c r="A25" s="9"/>
      <c r="B25" s="12"/>
    </row>
    <row r="26" spans="1:2" x14ac:dyDescent="0.2">
      <c r="A26" s="9"/>
      <c r="B26" s="12"/>
    </row>
    <row r="27" spans="1:2" x14ac:dyDescent="0.2">
      <c r="A27" s="9"/>
      <c r="B27" s="12"/>
    </row>
    <row r="28" spans="1:2" x14ac:dyDescent="0.2">
      <c r="A28" s="9"/>
      <c r="B28" s="12"/>
    </row>
    <row r="29" spans="1:2" x14ac:dyDescent="0.2">
      <c r="A29" s="9"/>
      <c r="B29" s="12"/>
    </row>
    <row r="30" spans="1:2" x14ac:dyDescent="0.2">
      <c r="A30" s="9"/>
      <c r="B30" s="12"/>
    </row>
    <row r="31" spans="1:2" x14ac:dyDescent="0.2">
      <c r="A31" s="9"/>
      <c r="B31" s="12"/>
    </row>
    <row r="32" spans="1:2" x14ac:dyDescent="0.2">
      <c r="A32" s="9"/>
      <c r="B32" s="12"/>
    </row>
    <row r="33" spans="1:2" x14ac:dyDescent="0.2">
      <c r="A33" s="9"/>
      <c r="B33" s="12"/>
    </row>
    <row r="34" spans="1:2" x14ac:dyDescent="0.2">
      <c r="A34" s="9"/>
      <c r="B34" s="12"/>
    </row>
    <row r="35" spans="1:2" x14ac:dyDescent="0.2">
      <c r="A35" s="9"/>
      <c r="B35" s="12"/>
    </row>
    <row r="36" spans="1:2" x14ac:dyDescent="0.2">
      <c r="A36" s="9"/>
      <c r="B36" s="12"/>
    </row>
    <row r="37" spans="1:2" x14ac:dyDescent="0.2">
      <c r="A37" s="9"/>
      <c r="B37" s="12"/>
    </row>
    <row r="38" spans="1:2" x14ac:dyDescent="0.2">
      <c r="A38" s="9"/>
      <c r="B38" s="12"/>
    </row>
    <row r="39" spans="1:2" x14ac:dyDescent="0.2">
      <c r="A39" s="9"/>
      <c r="B39" s="12"/>
    </row>
    <row r="40" spans="1:2" x14ac:dyDescent="0.2">
      <c r="A40" s="9"/>
      <c r="B40" s="12"/>
    </row>
    <row r="41" spans="1:2" x14ac:dyDescent="0.2">
      <c r="A41" s="9"/>
      <c r="B41" s="12"/>
    </row>
    <row r="42" spans="1:2" x14ac:dyDescent="0.2">
      <c r="A42" s="9"/>
      <c r="B42" s="12"/>
    </row>
    <row r="43" spans="1:2" x14ac:dyDescent="0.2">
      <c r="A43" s="9"/>
      <c r="B43" s="12"/>
    </row>
    <row r="44" spans="1:2" x14ac:dyDescent="0.2">
      <c r="A44" s="9"/>
      <c r="B44" s="12"/>
    </row>
    <row r="45" spans="1:2" x14ac:dyDescent="0.2">
      <c r="A45" s="9"/>
      <c r="B45" s="12"/>
    </row>
    <row r="46" spans="1:2" x14ac:dyDescent="0.2">
      <c r="A46" s="9"/>
      <c r="B46" s="12"/>
    </row>
    <row r="47" spans="1:2" x14ac:dyDescent="0.2">
      <c r="A47" s="9"/>
      <c r="B47" s="12"/>
    </row>
    <row r="48" spans="1:2" x14ac:dyDescent="0.2">
      <c r="A48" s="9"/>
      <c r="B48" s="12"/>
    </row>
    <row r="49" spans="1:2" x14ac:dyDescent="0.2">
      <c r="A49" s="9"/>
      <c r="B49" s="12"/>
    </row>
    <row r="50" spans="1:2" x14ac:dyDescent="0.2">
      <c r="A50" s="9"/>
      <c r="B50" s="12"/>
    </row>
    <row r="51" spans="1:2" x14ac:dyDescent="0.2">
      <c r="A51" s="9"/>
      <c r="B51" s="12"/>
    </row>
    <row r="52" spans="1:2" x14ac:dyDescent="0.2">
      <c r="A52" s="9"/>
      <c r="B52" s="12"/>
    </row>
    <row r="53" spans="1:2" x14ac:dyDescent="0.2">
      <c r="A53" s="9"/>
      <c r="B53" s="12"/>
    </row>
    <row r="54" spans="1:2" x14ac:dyDescent="0.2">
      <c r="A54" s="9"/>
      <c r="B54" s="12"/>
    </row>
    <row r="55" spans="1:2" x14ac:dyDescent="0.2">
      <c r="A55" s="9"/>
      <c r="B55" s="12"/>
    </row>
    <row r="56" spans="1:2" x14ac:dyDescent="0.2">
      <c r="A56" s="9"/>
      <c r="B56" s="12"/>
    </row>
    <row r="57" spans="1:2" x14ac:dyDescent="0.2">
      <c r="A57" s="9"/>
      <c r="B57" s="12"/>
    </row>
    <row r="58" spans="1:2" x14ac:dyDescent="0.2">
      <c r="A58" s="9"/>
      <c r="B58" s="12"/>
    </row>
    <row r="59" spans="1:2" x14ac:dyDescent="0.2">
      <c r="A59" s="9"/>
      <c r="B59" s="12"/>
    </row>
    <row r="60" spans="1:2" x14ac:dyDescent="0.2">
      <c r="A60" s="9"/>
      <c r="B60" s="12"/>
    </row>
    <row r="61" spans="1:2" x14ac:dyDescent="0.2">
      <c r="A61" s="9"/>
      <c r="B61" s="12"/>
    </row>
    <row r="62" spans="1:2" x14ac:dyDescent="0.2">
      <c r="A62" s="9"/>
      <c r="B62" s="12"/>
    </row>
    <row r="63" spans="1:2" x14ac:dyDescent="0.2">
      <c r="A63" s="9"/>
      <c r="B63" s="12"/>
    </row>
    <row r="64" spans="1:2" x14ac:dyDescent="0.2">
      <c r="A64" s="9"/>
      <c r="B64" s="12"/>
    </row>
    <row r="65" spans="1:2" x14ac:dyDescent="0.2">
      <c r="A65" s="9"/>
      <c r="B65" s="12"/>
    </row>
    <row r="66" spans="1:2" x14ac:dyDescent="0.2">
      <c r="A66" s="9"/>
      <c r="B66" s="12"/>
    </row>
    <row r="67" spans="1:2" x14ac:dyDescent="0.2">
      <c r="A67" s="9"/>
      <c r="B67" s="12"/>
    </row>
    <row r="68" spans="1:2" x14ac:dyDescent="0.2">
      <c r="A68" s="9"/>
      <c r="B68" s="12"/>
    </row>
    <row r="69" spans="1:2" x14ac:dyDescent="0.2">
      <c r="A69" s="9"/>
      <c r="B69" s="12"/>
    </row>
    <row r="70" spans="1:2" x14ac:dyDescent="0.2">
      <c r="A70" s="9"/>
      <c r="B70" s="12"/>
    </row>
    <row r="71" spans="1:2" x14ac:dyDescent="0.2">
      <c r="A71" s="9"/>
      <c r="B71" s="12"/>
    </row>
    <row r="72" spans="1:2" x14ac:dyDescent="0.2">
      <c r="A72" s="9"/>
      <c r="B72" s="12"/>
    </row>
    <row r="73" spans="1:2" x14ac:dyDescent="0.2">
      <c r="A73" s="9"/>
      <c r="B73" s="12"/>
    </row>
    <row r="74" spans="1:2" x14ac:dyDescent="0.2">
      <c r="A74" s="9"/>
      <c r="B74" s="12"/>
    </row>
    <row r="75" spans="1:2" x14ac:dyDescent="0.2">
      <c r="A75" s="9"/>
      <c r="B75" s="12"/>
    </row>
    <row r="76" spans="1:2" x14ac:dyDescent="0.2">
      <c r="A76" s="9"/>
      <c r="B76" s="12"/>
    </row>
    <row r="77" spans="1:2" x14ac:dyDescent="0.2">
      <c r="A77" s="9"/>
      <c r="B77" s="12"/>
    </row>
    <row r="78" spans="1:2" x14ac:dyDescent="0.2">
      <c r="A78" s="9"/>
      <c r="B78" s="12"/>
    </row>
    <row r="79" spans="1:2" x14ac:dyDescent="0.2">
      <c r="A79" s="9"/>
      <c r="B79" s="12"/>
    </row>
    <row r="80" spans="1:2" x14ac:dyDescent="0.2">
      <c r="A80" s="9"/>
      <c r="B80" s="12"/>
    </row>
    <row r="81" spans="1:2" x14ac:dyDescent="0.2">
      <c r="A81" s="9"/>
      <c r="B81" s="12"/>
    </row>
    <row r="82" spans="1:2" x14ac:dyDescent="0.2">
      <c r="A82" s="9"/>
      <c r="B82" s="12"/>
    </row>
    <row r="83" spans="1:2" x14ac:dyDescent="0.2">
      <c r="A83" s="9"/>
      <c r="B83" s="12"/>
    </row>
    <row r="84" spans="1:2" x14ac:dyDescent="0.2">
      <c r="A84" s="9"/>
      <c r="B84" s="12"/>
    </row>
    <row r="85" spans="1:2" x14ac:dyDescent="0.2">
      <c r="A85" s="9"/>
      <c r="B85" s="12"/>
    </row>
    <row r="86" spans="1:2" x14ac:dyDescent="0.2">
      <c r="A86" s="9"/>
      <c r="B86" s="12"/>
    </row>
    <row r="87" spans="1:2" x14ac:dyDescent="0.2">
      <c r="A87" s="9"/>
      <c r="B87" s="12"/>
    </row>
    <row r="88" spans="1:2" x14ac:dyDescent="0.2">
      <c r="A88" s="9"/>
      <c r="B88" s="12"/>
    </row>
    <row r="89" spans="1:2" x14ac:dyDescent="0.2">
      <c r="A89" s="9"/>
      <c r="B89" s="12"/>
    </row>
    <row r="90" spans="1:2" x14ac:dyDescent="0.2">
      <c r="A90" s="9"/>
      <c r="B90" s="12"/>
    </row>
    <row r="91" spans="1:2" x14ac:dyDescent="0.2">
      <c r="A91" s="9"/>
      <c r="B91" s="12"/>
    </row>
    <row r="92" spans="1:2" x14ac:dyDescent="0.2">
      <c r="A92" s="9"/>
      <c r="B92" s="12"/>
    </row>
    <row r="93" spans="1:2" x14ac:dyDescent="0.2">
      <c r="A93" s="9"/>
      <c r="B93" s="12"/>
    </row>
    <row r="94" spans="1:2" x14ac:dyDescent="0.2">
      <c r="A94" s="9"/>
      <c r="B94" s="12"/>
    </row>
    <row r="95" spans="1:2" x14ac:dyDescent="0.2">
      <c r="A95" s="9"/>
      <c r="B95" s="12"/>
    </row>
    <row r="96" spans="1:2" x14ac:dyDescent="0.2">
      <c r="A96" s="9"/>
      <c r="B96" s="12"/>
    </row>
    <row r="97" spans="1:2" x14ac:dyDescent="0.2">
      <c r="A97" s="9"/>
      <c r="B97" s="12"/>
    </row>
    <row r="98" spans="1:2" x14ac:dyDescent="0.2">
      <c r="A98" s="9"/>
      <c r="B98" s="12"/>
    </row>
    <row r="99" spans="1:2" x14ac:dyDescent="0.2">
      <c r="A99" s="9"/>
      <c r="B99" s="12"/>
    </row>
    <row r="100" spans="1:2" x14ac:dyDescent="0.2">
      <c r="A100" s="9"/>
      <c r="B100" s="12"/>
    </row>
    <row r="101" spans="1:2" x14ac:dyDescent="0.2">
      <c r="A101" s="9"/>
      <c r="B101" s="12"/>
    </row>
    <row r="102" spans="1:2" x14ac:dyDescent="0.2">
      <c r="A102" s="9"/>
      <c r="B102" s="12"/>
    </row>
    <row r="103" spans="1:2" x14ac:dyDescent="0.2">
      <c r="A103" s="9"/>
      <c r="B103" s="12"/>
    </row>
    <row r="104" spans="1:2" x14ac:dyDescent="0.2">
      <c r="A104" s="9"/>
      <c r="B104" s="12"/>
    </row>
    <row r="105" spans="1:2" x14ac:dyDescent="0.2">
      <c r="A105" s="9"/>
      <c r="B105" s="12"/>
    </row>
    <row r="106" spans="1:2" x14ac:dyDescent="0.2">
      <c r="A106" s="9"/>
      <c r="B106" s="12"/>
    </row>
    <row r="107" spans="1:2" x14ac:dyDescent="0.2">
      <c r="A107" s="9"/>
      <c r="B107" s="12"/>
    </row>
    <row r="108" spans="1:2" x14ac:dyDescent="0.2">
      <c r="A108" s="9"/>
      <c r="B108" s="12"/>
    </row>
    <row r="109" spans="1:2" x14ac:dyDescent="0.2">
      <c r="A109" s="9"/>
      <c r="B109" s="12"/>
    </row>
    <row r="110" spans="1:2" x14ac:dyDescent="0.2">
      <c r="A110" s="9"/>
      <c r="B110" s="12"/>
    </row>
    <row r="111" spans="1:2" x14ac:dyDescent="0.2">
      <c r="A111" s="9"/>
      <c r="B111" s="12"/>
    </row>
    <row r="112" spans="1:2" x14ac:dyDescent="0.2">
      <c r="A112" s="9"/>
      <c r="B112" s="12"/>
    </row>
    <row r="113" spans="1:2" x14ac:dyDescent="0.2">
      <c r="A113" s="9"/>
      <c r="B113" s="12"/>
    </row>
    <row r="114" spans="1:2" x14ac:dyDescent="0.2">
      <c r="A114" s="9"/>
      <c r="B114" s="12"/>
    </row>
    <row r="115" spans="1:2" x14ac:dyDescent="0.2">
      <c r="A115" s="9"/>
      <c r="B115" s="12"/>
    </row>
    <row r="116" spans="1:2" x14ac:dyDescent="0.2">
      <c r="A116" s="9"/>
      <c r="B116" s="12"/>
    </row>
    <row r="117" spans="1:2" x14ac:dyDescent="0.2">
      <c r="A117" s="9"/>
      <c r="B117" s="12"/>
    </row>
    <row r="118" spans="1:2" x14ac:dyDescent="0.2">
      <c r="A118" s="9"/>
      <c r="B118" s="12"/>
    </row>
    <row r="119" spans="1:2" x14ac:dyDescent="0.2">
      <c r="A119" s="9"/>
      <c r="B119" s="12"/>
    </row>
    <row r="120" spans="1:2" x14ac:dyDescent="0.2">
      <c r="A120" s="9"/>
      <c r="B120" s="12"/>
    </row>
    <row r="121" spans="1:2" x14ac:dyDescent="0.2">
      <c r="A121" s="9"/>
      <c r="B121" s="12"/>
    </row>
    <row r="122" spans="1:2" x14ac:dyDescent="0.2">
      <c r="A122" s="9"/>
      <c r="B122" s="12"/>
    </row>
    <row r="123" spans="1:2" x14ac:dyDescent="0.2">
      <c r="A123" s="9"/>
      <c r="B123" s="12"/>
    </row>
    <row r="124" spans="1:2" x14ac:dyDescent="0.2">
      <c r="A124" s="9"/>
      <c r="B124" s="12"/>
    </row>
    <row r="125" spans="1:2" x14ac:dyDescent="0.2">
      <c r="A125" s="9"/>
      <c r="B125" s="12"/>
    </row>
    <row r="126" spans="1:2" x14ac:dyDescent="0.2">
      <c r="A126" s="9"/>
      <c r="B126" s="12"/>
    </row>
    <row r="127" spans="1:2" x14ac:dyDescent="0.2">
      <c r="A127" s="9"/>
      <c r="B127" s="12"/>
    </row>
    <row r="128" spans="1:2" x14ac:dyDescent="0.2">
      <c r="A128" s="9"/>
      <c r="B128" s="12"/>
    </row>
    <row r="129" spans="1:2" x14ac:dyDescent="0.2">
      <c r="A129" s="9"/>
      <c r="B129" s="12"/>
    </row>
    <row r="130" spans="1:2" x14ac:dyDescent="0.2">
      <c r="A130" s="9"/>
      <c r="B130" s="12"/>
    </row>
    <row r="131" spans="1:2" x14ac:dyDescent="0.2">
      <c r="A131" s="9"/>
      <c r="B131" s="12"/>
    </row>
    <row r="132" spans="1:2" x14ac:dyDescent="0.2">
      <c r="A132" s="9"/>
      <c r="B132" s="12"/>
    </row>
    <row r="133" spans="1:2" x14ac:dyDescent="0.2">
      <c r="A133" s="9"/>
      <c r="B133" s="12"/>
    </row>
    <row r="134" spans="1:2" x14ac:dyDescent="0.2">
      <c r="A134" s="9"/>
      <c r="B134" s="12"/>
    </row>
    <row r="135" spans="1:2" x14ac:dyDescent="0.2">
      <c r="A135" s="9"/>
      <c r="B135" s="12"/>
    </row>
    <row r="136" spans="1:2" x14ac:dyDescent="0.2">
      <c r="A136" s="9"/>
      <c r="B136" s="12"/>
    </row>
    <row r="137" spans="1:2" x14ac:dyDescent="0.2">
      <c r="A137" s="9"/>
      <c r="B137" s="12"/>
    </row>
    <row r="138" spans="1:2" x14ac:dyDescent="0.2">
      <c r="A138" s="9"/>
      <c r="B138" s="12"/>
    </row>
    <row r="139" spans="1:2" x14ac:dyDescent="0.2">
      <c r="A139" s="9"/>
      <c r="B139" s="12"/>
    </row>
    <row r="140" spans="1:2" x14ac:dyDescent="0.2">
      <c r="A140" s="9"/>
      <c r="B140" s="12"/>
    </row>
    <row r="141" spans="1:2" x14ac:dyDescent="0.2">
      <c r="A141" s="9"/>
      <c r="B141" s="12"/>
    </row>
    <row r="142" spans="1:2" x14ac:dyDescent="0.2">
      <c r="A142" s="9"/>
      <c r="B142" s="12"/>
    </row>
    <row r="143" spans="1:2" x14ac:dyDescent="0.2">
      <c r="A143" s="9"/>
      <c r="B143" s="12"/>
    </row>
    <row r="144" spans="1:2" x14ac:dyDescent="0.2">
      <c r="A144" s="9"/>
      <c r="B144" s="12"/>
    </row>
    <row r="145" spans="1:2" x14ac:dyDescent="0.2">
      <c r="A145" s="9"/>
      <c r="B145" s="12"/>
    </row>
    <row r="146" spans="1:2" x14ac:dyDescent="0.2">
      <c r="A146" s="9"/>
      <c r="B146" s="12"/>
    </row>
    <row r="147" spans="1:2" x14ac:dyDescent="0.2">
      <c r="A147" s="9"/>
      <c r="B147" s="12"/>
    </row>
    <row r="148" spans="1:2" x14ac:dyDescent="0.2">
      <c r="A148" s="9"/>
      <c r="B148" s="12"/>
    </row>
    <row r="149" spans="1:2" x14ac:dyDescent="0.2">
      <c r="A149" s="9"/>
      <c r="B149" s="12"/>
    </row>
    <row r="150" spans="1:2" x14ac:dyDescent="0.2">
      <c r="A150" s="9"/>
      <c r="B150" s="12"/>
    </row>
    <row r="151" spans="1:2" x14ac:dyDescent="0.2">
      <c r="A151" s="9"/>
      <c r="B151" s="12"/>
    </row>
    <row r="152" spans="1:2" x14ac:dyDescent="0.2">
      <c r="A152" s="9"/>
      <c r="B152" s="12"/>
    </row>
    <row r="153" spans="1:2" x14ac:dyDescent="0.2">
      <c r="A153" s="9"/>
      <c r="B153" s="12"/>
    </row>
    <row r="154" spans="1:2" x14ac:dyDescent="0.2">
      <c r="A154" s="9"/>
      <c r="B154" s="12"/>
    </row>
    <row r="155" spans="1:2" x14ac:dyDescent="0.2">
      <c r="A155" s="9"/>
      <c r="B155" s="12"/>
    </row>
    <row r="156" spans="1:2" x14ac:dyDescent="0.2">
      <c r="A156" s="9"/>
      <c r="B156" s="12"/>
    </row>
    <row r="157" spans="1:2" x14ac:dyDescent="0.2">
      <c r="A157" s="9"/>
      <c r="B157" s="12"/>
    </row>
    <row r="158" spans="1:2" x14ac:dyDescent="0.2">
      <c r="A158" s="9"/>
      <c r="B158" s="12"/>
    </row>
    <row r="159" spans="1:2" x14ac:dyDescent="0.2">
      <c r="A159" s="9"/>
      <c r="B159" s="12"/>
    </row>
    <row r="160" spans="1:2" x14ac:dyDescent="0.2">
      <c r="A160" s="9"/>
      <c r="B160" s="12"/>
    </row>
    <row r="161" spans="1:2" x14ac:dyDescent="0.2">
      <c r="A161" s="9"/>
      <c r="B161" s="12"/>
    </row>
    <row r="162" spans="1:2" x14ac:dyDescent="0.2">
      <c r="A162" s="9"/>
      <c r="B162" s="12"/>
    </row>
    <row r="163" spans="1:2" x14ac:dyDescent="0.2">
      <c r="A163" s="9"/>
      <c r="B163" s="12"/>
    </row>
    <row r="164" spans="1:2" x14ac:dyDescent="0.2">
      <c r="A164" s="9"/>
      <c r="B164" s="12"/>
    </row>
    <row r="165" spans="1:2" x14ac:dyDescent="0.2">
      <c r="A165" s="9"/>
      <c r="B165" s="12"/>
    </row>
    <row r="166" spans="1:2" x14ac:dyDescent="0.2">
      <c r="A166" s="9"/>
      <c r="B166" s="12"/>
    </row>
    <row r="167" spans="1:2" x14ac:dyDescent="0.2">
      <c r="A167" s="9"/>
      <c r="B167" s="12"/>
    </row>
    <row r="168" spans="1:2" x14ac:dyDescent="0.2">
      <c r="A168" s="9"/>
      <c r="B168" s="12"/>
    </row>
    <row r="169" spans="1:2" x14ac:dyDescent="0.2">
      <c r="A169" s="9"/>
      <c r="B169" s="12"/>
    </row>
    <row r="170" spans="1:2" x14ac:dyDescent="0.2">
      <c r="A170" s="9"/>
      <c r="B170" s="12"/>
    </row>
    <row r="171" spans="1:2" x14ac:dyDescent="0.2">
      <c r="A171" s="9"/>
      <c r="B171" s="12"/>
    </row>
    <row r="172" spans="1:2" x14ac:dyDescent="0.2">
      <c r="A172" s="9"/>
      <c r="B172" s="12"/>
    </row>
    <row r="173" spans="1:2" x14ac:dyDescent="0.2">
      <c r="A173" s="9"/>
      <c r="B173" s="12"/>
    </row>
    <row r="174" spans="1:2" x14ac:dyDescent="0.2">
      <c r="A174" s="9"/>
      <c r="B174" s="12"/>
    </row>
    <row r="175" spans="1:2" x14ac:dyDescent="0.2">
      <c r="A175" s="9"/>
      <c r="B175" s="12"/>
    </row>
    <row r="176" spans="1:2" x14ac:dyDescent="0.2">
      <c r="A176" s="9"/>
      <c r="B176" s="12"/>
    </row>
    <row r="177" spans="1:2" x14ac:dyDescent="0.2">
      <c r="A177" s="9"/>
      <c r="B177" s="12"/>
    </row>
    <row r="178" spans="1:2" x14ac:dyDescent="0.2">
      <c r="A178" s="9"/>
      <c r="B178" s="12"/>
    </row>
    <row r="179" spans="1:2" x14ac:dyDescent="0.2">
      <c r="A179" s="9"/>
      <c r="B179" s="12"/>
    </row>
    <row r="180" spans="1:2" x14ac:dyDescent="0.2">
      <c r="A180" s="9"/>
      <c r="B180" s="12"/>
    </row>
    <row r="181" spans="1:2" x14ac:dyDescent="0.2">
      <c r="A181" s="9"/>
      <c r="B181" s="12"/>
    </row>
    <row r="182" spans="1:2" x14ac:dyDescent="0.2">
      <c r="A182" s="9"/>
      <c r="B182" s="12"/>
    </row>
    <row r="183" spans="1:2" x14ac:dyDescent="0.2">
      <c r="A183" s="9"/>
      <c r="B183" s="12"/>
    </row>
    <row r="184" spans="1:2" x14ac:dyDescent="0.2">
      <c r="A184" s="9"/>
      <c r="B184" s="12"/>
    </row>
    <row r="185" spans="1:2" x14ac:dyDescent="0.2">
      <c r="A185" s="9"/>
      <c r="B185" s="12"/>
    </row>
    <row r="186" spans="1:2" x14ac:dyDescent="0.2">
      <c r="A186" s="9"/>
      <c r="B186" s="12"/>
    </row>
    <row r="187" spans="1:2" x14ac:dyDescent="0.2">
      <c r="A187" s="9"/>
      <c r="B187" s="12"/>
    </row>
    <row r="188" spans="1:2" x14ac:dyDescent="0.2">
      <c r="A188" s="9"/>
      <c r="B188" s="12"/>
    </row>
    <row r="189" spans="1:2" x14ac:dyDescent="0.2">
      <c r="A189" s="9"/>
      <c r="B189" s="12"/>
    </row>
    <row r="190" spans="1:2" x14ac:dyDescent="0.2">
      <c r="A190" s="9"/>
      <c r="B190" s="12"/>
    </row>
    <row r="191" spans="1:2" x14ac:dyDescent="0.2">
      <c r="A191" s="9"/>
      <c r="B191" s="12"/>
    </row>
    <row r="192" spans="1:2" x14ac:dyDescent="0.2">
      <c r="A192" s="9"/>
      <c r="B192" s="12"/>
    </row>
    <row r="193" spans="1:2" x14ac:dyDescent="0.2">
      <c r="A193" s="9"/>
      <c r="B193" s="12"/>
    </row>
    <row r="194" spans="1:2" x14ac:dyDescent="0.2">
      <c r="A194" s="9"/>
      <c r="B194" s="12"/>
    </row>
    <row r="195" spans="1:2" x14ac:dyDescent="0.2">
      <c r="A195" s="9"/>
      <c r="B195" s="12"/>
    </row>
    <row r="196" spans="1:2" x14ac:dyDescent="0.2">
      <c r="A196" s="9"/>
      <c r="B196" s="12"/>
    </row>
    <row r="197" spans="1:2" x14ac:dyDescent="0.2">
      <c r="A197" s="9"/>
      <c r="B197" s="12"/>
    </row>
    <row r="198" spans="1:2" x14ac:dyDescent="0.2">
      <c r="A198" s="9"/>
      <c r="B198" s="12"/>
    </row>
    <row r="199" spans="1:2" x14ac:dyDescent="0.2">
      <c r="A199" s="9"/>
      <c r="B199" s="12"/>
    </row>
    <row r="200" spans="1:2" x14ac:dyDescent="0.2">
      <c r="A200" s="9"/>
      <c r="B200" s="12"/>
    </row>
    <row r="201" spans="1:2" x14ac:dyDescent="0.2">
      <c r="A201" s="9"/>
      <c r="B201" s="12"/>
    </row>
    <row r="202" spans="1:2" x14ac:dyDescent="0.2">
      <c r="A202" s="9"/>
      <c r="B202" s="12"/>
    </row>
    <row r="203" spans="1:2" x14ac:dyDescent="0.2">
      <c r="A203" s="9"/>
      <c r="B203" s="12"/>
    </row>
    <row r="204" spans="1:2" x14ac:dyDescent="0.2">
      <c r="A204" s="9"/>
      <c r="B204" s="12"/>
    </row>
    <row r="205" spans="1:2" x14ac:dyDescent="0.2">
      <c r="A205" s="9"/>
      <c r="B205" s="12"/>
    </row>
    <row r="206" spans="1:2" x14ac:dyDescent="0.2">
      <c r="A206" s="9"/>
      <c r="B206" s="12"/>
    </row>
    <row r="207" spans="1:2" x14ac:dyDescent="0.2">
      <c r="A207" s="9"/>
      <c r="B207" s="12"/>
    </row>
    <row r="208" spans="1:2" x14ac:dyDescent="0.2">
      <c r="A208" s="9"/>
      <c r="B208" s="12"/>
    </row>
    <row r="209" spans="1:2" x14ac:dyDescent="0.2">
      <c r="A209" s="9"/>
      <c r="B209" s="12"/>
    </row>
    <row r="210" spans="1:2" x14ac:dyDescent="0.2">
      <c r="A210" s="9"/>
      <c r="B210" s="12"/>
    </row>
    <row r="211" spans="1:2" x14ac:dyDescent="0.2">
      <c r="A211" s="9"/>
      <c r="B211" s="12"/>
    </row>
    <row r="212" spans="1:2" x14ac:dyDescent="0.2">
      <c r="A212" s="9"/>
      <c r="B212" s="12"/>
    </row>
    <row r="213" spans="1:2" x14ac:dyDescent="0.2">
      <c r="A213" s="9"/>
      <c r="B213" s="12"/>
    </row>
    <row r="214" spans="1:2" x14ac:dyDescent="0.2">
      <c r="A214" s="9"/>
      <c r="B214" s="12"/>
    </row>
    <row r="215" spans="1:2" x14ac:dyDescent="0.2">
      <c r="A215" s="9"/>
      <c r="B215" s="12"/>
    </row>
    <row r="216" spans="1:2" x14ac:dyDescent="0.2">
      <c r="A216" s="9"/>
      <c r="B216" s="12"/>
    </row>
    <row r="217" spans="1:2" x14ac:dyDescent="0.2">
      <c r="A217" s="9"/>
      <c r="B217" s="12"/>
    </row>
    <row r="218" spans="1:2" x14ac:dyDescent="0.2">
      <c r="A218" s="9"/>
      <c r="B218" s="12"/>
    </row>
    <row r="219" spans="1:2" x14ac:dyDescent="0.2">
      <c r="A219" s="9"/>
      <c r="B219" s="12"/>
    </row>
    <row r="220" spans="1:2" x14ac:dyDescent="0.2">
      <c r="A220" s="9"/>
      <c r="B220" s="12"/>
    </row>
    <row r="221" spans="1:2" x14ac:dyDescent="0.2">
      <c r="A221" s="9"/>
      <c r="B221" s="12"/>
    </row>
    <row r="222" spans="1:2" x14ac:dyDescent="0.2">
      <c r="A222" s="9"/>
      <c r="B222" s="12"/>
    </row>
    <row r="223" spans="1:2" x14ac:dyDescent="0.2">
      <c r="A223" s="9"/>
      <c r="B223" s="12"/>
    </row>
    <row r="224" spans="1:2" x14ac:dyDescent="0.2">
      <c r="A224" s="9"/>
      <c r="B224" s="12"/>
    </row>
    <row r="225" spans="1:2" x14ac:dyDescent="0.2">
      <c r="A225" s="9"/>
      <c r="B225" s="12"/>
    </row>
    <row r="226" spans="1:2" x14ac:dyDescent="0.2">
      <c r="A226" s="9"/>
      <c r="B226" s="12"/>
    </row>
    <row r="227" spans="1:2" x14ac:dyDescent="0.2">
      <c r="A227" s="9"/>
      <c r="B227" s="12"/>
    </row>
    <row r="228" spans="1:2" x14ac:dyDescent="0.2">
      <c r="A228" s="9"/>
      <c r="B228" s="12"/>
    </row>
    <row r="229" spans="1:2" x14ac:dyDescent="0.2">
      <c r="A229" s="9"/>
      <c r="B229" s="12"/>
    </row>
    <row r="230" spans="1:2" x14ac:dyDescent="0.2">
      <c r="A230" s="9"/>
      <c r="B230" s="12"/>
    </row>
    <row r="231" spans="1:2" x14ac:dyDescent="0.2">
      <c r="A231" s="9"/>
      <c r="B231" s="12"/>
    </row>
    <row r="232" spans="1:2" x14ac:dyDescent="0.2">
      <c r="A232" s="9"/>
      <c r="B232" s="12"/>
    </row>
    <row r="233" spans="1:2" x14ac:dyDescent="0.2">
      <c r="A233" s="9"/>
      <c r="B233" s="12"/>
    </row>
    <row r="234" spans="1:2" x14ac:dyDescent="0.2">
      <c r="A234" s="9"/>
      <c r="B234" s="12"/>
    </row>
    <row r="235" spans="1:2" x14ac:dyDescent="0.2">
      <c r="A235" s="9"/>
      <c r="B235" s="12"/>
    </row>
    <row r="236" spans="1:2" x14ac:dyDescent="0.2">
      <c r="A236" s="9"/>
      <c r="B236" s="12"/>
    </row>
    <row r="237" spans="1:2" x14ac:dyDescent="0.2">
      <c r="A237" s="9"/>
      <c r="B237" s="12"/>
    </row>
    <row r="238" spans="1:2" x14ac:dyDescent="0.2">
      <c r="A238" s="9"/>
      <c r="B238" s="12"/>
    </row>
    <row r="239" spans="1:2" x14ac:dyDescent="0.2">
      <c r="A239" s="9"/>
      <c r="B239" s="12"/>
    </row>
    <row r="240" spans="1:2" x14ac:dyDescent="0.2">
      <c r="A240" s="9"/>
      <c r="B240" s="12"/>
    </row>
    <row r="241" spans="1:2" x14ac:dyDescent="0.2">
      <c r="A241" s="9"/>
      <c r="B241" s="12"/>
    </row>
    <row r="242" spans="1:2" x14ac:dyDescent="0.2">
      <c r="A242" s="9"/>
      <c r="B242" s="12"/>
    </row>
    <row r="243" spans="1:2" x14ac:dyDescent="0.2">
      <c r="A243" s="9"/>
      <c r="B243" s="12"/>
    </row>
    <row r="244" spans="1:2" x14ac:dyDescent="0.2">
      <c r="A244" s="9"/>
      <c r="B244" s="12"/>
    </row>
    <row r="245" spans="1:2" x14ac:dyDescent="0.2">
      <c r="A245" s="9"/>
      <c r="B245" s="12"/>
    </row>
    <row r="246" spans="1:2" x14ac:dyDescent="0.2">
      <c r="A246" s="9"/>
      <c r="B246" s="12"/>
    </row>
    <row r="247" spans="1:2" x14ac:dyDescent="0.2">
      <c r="A247" s="9"/>
      <c r="B247" s="12"/>
    </row>
    <row r="248" spans="1:2" x14ac:dyDescent="0.2">
      <c r="A248" s="9"/>
      <c r="B248" s="12"/>
    </row>
    <row r="249" spans="1:2" x14ac:dyDescent="0.2">
      <c r="A249" s="9"/>
      <c r="B249" s="12"/>
    </row>
    <row r="250" spans="1:2" x14ac:dyDescent="0.2">
      <c r="A250" s="9"/>
      <c r="B250" s="12"/>
    </row>
    <row r="251" spans="1:2" x14ac:dyDescent="0.2">
      <c r="A251" s="9"/>
      <c r="B251" s="12"/>
    </row>
    <row r="252" spans="1:2" x14ac:dyDescent="0.2">
      <c r="A252" s="9"/>
      <c r="B252" s="12"/>
    </row>
    <row r="253" spans="1:2" x14ac:dyDescent="0.2">
      <c r="A253" s="9"/>
      <c r="B253" s="12"/>
    </row>
    <row r="254" spans="1:2" x14ac:dyDescent="0.2">
      <c r="A254" s="9"/>
      <c r="B254" s="12"/>
    </row>
    <row r="255" spans="1:2" x14ac:dyDescent="0.2">
      <c r="A255" s="9"/>
      <c r="B255" s="12"/>
    </row>
    <row r="256" spans="1:2" x14ac:dyDescent="0.2">
      <c r="A256" s="9"/>
      <c r="B256" s="12"/>
    </row>
    <row r="257" spans="1:2" x14ac:dyDescent="0.2">
      <c r="A257" s="9"/>
      <c r="B257" s="12"/>
    </row>
    <row r="258" spans="1:2" x14ac:dyDescent="0.2">
      <c r="A258" s="9"/>
      <c r="B258" s="12"/>
    </row>
    <row r="259" spans="1:2" x14ac:dyDescent="0.2">
      <c r="A259" s="9"/>
      <c r="B259" s="12"/>
    </row>
    <row r="260" spans="1:2" x14ac:dyDescent="0.2">
      <c r="A260" s="9"/>
      <c r="B260" s="12"/>
    </row>
    <row r="261" spans="1:2" x14ac:dyDescent="0.2">
      <c r="A261" s="9"/>
      <c r="B261" s="12"/>
    </row>
    <row r="262" spans="1:2" x14ac:dyDescent="0.2">
      <c r="A262" s="9"/>
      <c r="B262" s="12"/>
    </row>
    <row r="263" spans="1:2" x14ac:dyDescent="0.2">
      <c r="A263" s="9"/>
      <c r="B263" s="12"/>
    </row>
    <row r="264" spans="1:2" x14ac:dyDescent="0.2">
      <c r="A264" s="9"/>
      <c r="B264" s="12"/>
    </row>
    <row r="265" spans="1:2" x14ac:dyDescent="0.2">
      <c r="A265" s="9"/>
      <c r="B265" s="12"/>
    </row>
    <row r="266" spans="1:2" x14ac:dyDescent="0.2">
      <c r="A266" s="9"/>
      <c r="B266" s="12"/>
    </row>
    <row r="267" spans="1:2" x14ac:dyDescent="0.2">
      <c r="A267" s="9"/>
      <c r="B267" s="12"/>
    </row>
    <row r="268" spans="1:2" x14ac:dyDescent="0.2">
      <c r="A268" s="9"/>
      <c r="B268" s="12"/>
    </row>
    <row r="269" spans="1:2" x14ac:dyDescent="0.2">
      <c r="A269" s="9"/>
      <c r="B269" s="12"/>
    </row>
    <row r="270" spans="1:2" x14ac:dyDescent="0.2">
      <c r="A270" s="9"/>
      <c r="B270" s="12"/>
    </row>
    <row r="271" spans="1:2" x14ac:dyDescent="0.2">
      <c r="A271" s="9"/>
      <c r="B271" s="12"/>
    </row>
    <row r="272" spans="1:2" x14ac:dyDescent="0.2">
      <c r="A272" s="9"/>
      <c r="B272" s="12"/>
    </row>
    <row r="273" spans="1:2" x14ac:dyDescent="0.2">
      <c r="A273" s="9"/>
      <c r="B273" s="12"/>
    </row>
    <row r="274" spans="1:2" x14ac:dyDescent="0.2">
      <c r="A274" s="9"/>
      <c r="B274" s="12"/>
    </row>
    <row r="275" spans="1:2" x14ac:dyDescent="0.2">
      <c r="A275" s="9"/>
      <c r="B275" s="12"/>
    </row>
    <row r="276" spans="1:2" x14ac:dyDescent="0.2">
      <c r="A276" s="9"/>
      <c r="B276" s="12"/>
    </row>
    <row r="277" spans="1:2" x14ac:dyDescent="0.2">
      <c r="A277" s="9"/>
      <c r="B277" s="12"/>
    </row>
    <row r="278" spans="1:2" x14ac:dyDescent="0.2">
      <c r="A278" s="9"/>
      <c r="B278" s="12"/>
    </row>
    <row r="279" spans="1:2" x14ac:dyDescent="0.2">
      <c r="A279" s="9"/>
      <c r="B279" s="12"/>
    </row>
    <row r="280" spans="1:2" x14ac:dyDescent="0.2">
      <c r="A280" s="9"/>
      <c r="B280" s="12"/>
    </row>
    <row r="281" spans="1:2" x14ac:dyDescent="0.2">
      <c r="A281" s="9"/>
      <c r="B281" s="12"/>
    </row>
    <row r="282" spans="1:2" x14ac:dyDescent="0.2">
      <c r="A282" s="9"/>
      <c r="B282" s="12"/>
    </row>
    <row r="283" spans="1:2" x14ac:dyDescent="0.2">
      <c r="A283" s="9"/>
      <c r="B283" s="12"/>
    </row>
    <row r="284" spans="1:2" x14ac:dyDescent="0.2">
      <c r="A284" s="9"/>
      <c r="B284" s="12"/>
    </row>
    <row r="285" spans="1:2" x14ac:dyDescent="0.2">
      <c r="A285" s="9"/>
      <c r="B285" s="12"/>
    </row>
    <row r="286" spans="1:2" x14ac:dyDescent="0.2">
      <c r="A286" s="9"/>
      <c r="B286" s="12"/>
    </row>
    <row r="287" spans="1:2" x14ac:dyDescent="0.2">
      <c r="A287" s="9"/>
      <c r="B287" s="12"/>
    </row>
    <row r="288" spans="1:2" x14ac:dyDescent="0.2">
      <c r="A288" s="9"/>
      <c r="B288" s="12"/>
    </row>
    <row r="289" spans="1:2" x14ac:dyDescent="0.2">
      <c r="A289" s="9"/>
      <c r="B289" s="12"/>
    </row>
    <row r="290" spans="1:2" x14ac:dyDescent="0.2">
      <c r="A290" s="9"/>
      <c r="B290" s="12"/>
    </row>
    <row r="291" spans="1:2" x14ac:dyDescent="0.2">
      <c r="A291" s="9"/>
      <c r="B291" s="12"/>
    </row>
    <row r="292" spans="1:2" x14ac:dyDescent="0.2">
      <c r="A292" s="9"/>
      <c r="B292" s="12"/>
    </row>
    <row r="293" spans="1:2" x14ac:dyDescent="0.2">
      <c r="A293" s="9"/>
      <c r="B293" s="12"/>
    </row>
    <row r="294" spans="1:2" x14ac:dyDescent="0.2">
      <c r="A294" s="9"/>
      <c r="B294" s="12"/>
    </row>
    <row r="295" spans="1:2" x14ac:dyDescent="0.2">
      <c r="A295" s="9"/>
      <c r="B295" s="12"/>
    </row>
    <row r="296" spans="1:2" x14ac:dyDescent="0.2">
      <c r="A296" s="9"/>
      <c r="B296" s="12"/>
    </row>
    <row r="297" spans="1:2" x14ac:dyDescent="0.2">
      <c r="A297" s="9"/>
      <c r="B297" s="12"/>
    </row>
    <row r="298" spans="1:2" x14ac:dyDescent="0.2">
      <c r="A298" s="9"/>
      <c r="B298" s="12"/>
    </row>
    <row r="299" spans="1:2" x14ac:dyDescent="0.2">
      <c r="A299" s="9"/>
      <c r="B299" s="12"/>
    </row>
    <row r="300" spans="1:2" x14ac:dyDescent="0.2">
      <c r="A300" s="9"/>
      <c r="B300" s="12"/>
    </row>
    <row r="301" spans="1:2" x14ac:dyDescent="0.2">
      <c r="A301" s="9"/>
      <c r="B301" s="12"/>
    </row>
    <row r="302" spans="1:2" x14ac:dyDescent="0.2">
      <c r="A302" s="9"/>
      <c r="B302" s="12"/>
    </row>
    <row r="303" spans="1:2" x14ac:dyDescent="0.2">
      <c r="A303" s="9"/>
      <c r="B303" s="12"/>
    </row>
    <row r="304" spans="1:2" x14ac:dyDescent="0.2">
      <c r="A304" s="9"/>
      <c r="B304" s="12"/>
    </row>
    <row r="305" spans="1:2" x14ac:dyDescent="0.2">
      <c r="A305" s="9"/>
      <c r="B305" s="12"/>
    </row>
    <row r="306" spans="1:2" x14ac:dyDescent="0.2">
      <c r="A306" s="9"/>
      <c r="B306" s="12"/>
    </row>
    <row r="307" spans="1:2" x14ac:dyDescent="0.2">
      <c r="A307" s="9"/>
      <c r="B307" s="12"/>
    </row>
    <row r="308" spans="1:2" x14ac:dyDescent="0.2">
      <c r="A308" s="9"/>
      <c r="B308" s="12"/>
    </row>
    <row r="309" spans="1:2" x14ac:dyDescent="0.2">
      <c r="A309" s="9"/>
      <c r="B309" s="12"/>
    </row>
    <row r="310" spans="1:2" x14ac:dyDescent="0.2">
      <c r="A310" s="9"/>
      <c r="B310" s="12"/>
    </row>
    <row r="311" spans="1:2" x14ac:dyDescent="0.2">
      <c r="A311" s="9"/>
      <c r="B311" s="12"/>
    </row>
    <row r="312" spans="1:2" x14ac:dyDescent="0.2">
      <c r="A312" s="9"/>
      <c r="B312" s="12"/>
    </row>
    <row r="313" spans="1:2" x14ac:dyDescent="0.2">
      <c r="A313" s="9"/>
      <c r="B313" s="12"/>
    </row>
    <row r="314" spans="1:2" x14ac:dyDescent="0.2">
      <c r="A314" s="9"/>
      <c r="B314" s="12"/>
    </row>
    <row r="315" spans="1:2" x14ac:dyDescent="0.2">
      <c r="A315" s="9"/>
      <c r="B315" s="12"/>
    </row>
    <row r="316" spans="1:2" x14ac:dyDescent="0.2">
      <c r="A316" s="9"/>
      <c r="B316" s="12"/>
    </row>
    <row r="317" spans="1:2" x14ac:dyDescent="0.2">
      <c r="A317" s="9"/>
      <c r="B317" s="12"/>
    </row>
    <row r="318" spans="1:2" x14ac:dyDescent="0.2">
      <c r="A318" s="9"/>
      <c r="B318" s="12"/>
    </row>
    <row r="319" spans="1:2" x14ac:dyDescent="0.2">
      <c r="A319" s="9"/>
      <c r="B319" s="12"/>
    </row>
    <row r="320" spans="1:2" x14ac:dyDescent="0.2">
      <c r="A320" s="9"/>
      <c r="B320" s="12"/>
    </row>
    <row r="321" spans="1:2" x14ac:dyDescent="0.2">
      <c r="A321" s="9"/>
      <c r="B321" s="12"/>
    </row>
    <row r="322" spans="1:2" x14ac:dyDescent="0.2">
      <c r="A322" s="9"/>
      <c r="B322" s="12"/>
    </row>
    <row r="323" spans="1:2" x14ac:dyDescent="0.2">
      <c r="A323" s="9"/>
      <c r="B323" s="12"/>
    </row>
    <row r="324" spans="1:2" x14ac:dyDescent="0.2">
      <c r="A324" s="9"/>
      <c r="B324" s="12"/>
    </row>
    <row r="325" spans="1:2" x14ac:dyDescent="0.2">
      <c r="A325" s="9"/>
      <c r="B325" s="12"/>
    </row>
    <row r="326" spans="1:2" x14ac:dyDescent="0.2">
      <c r="A326" s="9"/>
      <c r="B326" s="12"/>
    </row>
    <row r="327" spans="1:2" x14ac:dyDescent="0.2">
      <c r="A327" s="9"/>
      <c r="B327" s="12"/>
    </row>
    <row r="328" spans="1:2" x14ac:dyDescent="0.2">
      <c r="A328" s="9"/>
      <c r="B328" s="12"/>
    </row>
    <row r="329" spans="1:2" x14ac:dyDescent="0.2">
      <c r="A329" s="9"/>
      <c r="B329" s="12"/>
    </row>
    <row r="330" spans="1:2" x14ac:dyDescent="0.2">
      <c r="A330" s="9"/>
      <c r="B330" s="12"/>
    </row>
    <row r="331" spans="1:2" x14ac:dyDescent="0.2">
      <c r="A331" s="9"/>
      <c r="B331" s="12"/>
    </row>
    <row r="332" spans="1:2" x14ac:dyDescent="0.2">
      <c r="A332" s="9"/>
      <c r="B332" s="12"/>
    </row>
    <row r="333" spans="1:2" x14ac:dyDescent="0.2">
      <c r="A333" s="9"/>
      <c r="B333" s="12"/>
    </row>
    <row r="334" spans="1:2" x14ac:dyDescent="0.2">
      <c r="A334" s="9"/>
      <c r="B334" s="12"/>
    </row>
    <row r="335" spans="1:2" x14ac:dyDescent="0.2">
      <c r="A335" s="9"/>
      <c r="B335" s="12"/>
    </row>
    <row r="336" spans="1:2" x14ac:dyDescent="0.2">
      <c r="A336" s="9"/>
      <c r="B336" s="12"/>
    </row>
    <row r="337" spans="1:2" x14ac:dyDescent="0.2">
      <c r="A337" s="9"/>
      <c r="B337" s="12"/>
    </row>
    <row r="338" spans="1:2" x14ac:dyDescent="0.2">
      <c r="A338" s="9"/>
      <c r="B338" s="12"/>
    </row>
    <row r="339" spans="1:2" x14ac:dyDescent="0.2">
      <c r="A339" s="9"/>
      <c r="B339" s="12"/>
    </row>
    <row r="340" spans="1:2" x14ac:dyDescent="0.2">
      <c r="A340" s="9"/>
      <c r="B340" s="12"/>
    </row>
    <row r="341" spans="1:2" x14ac:dyDescent="0.2">
      <c r="A341" s="9"/>
      <c r="B341" s="12"/>
    </row>
    <row r="342" spans="1:2" x14ac:dyDescent="0.2">
      <c r="A342" s="9"/>
      <c r="B342" s="12"/>
    </row>
    <row r="343" spans="1:2" x14ac:dyDescent="0.2">
      <c r="A343" s="9"/>
      <c r="B343" s="12"/>
    </row>
    <row r="344" spans="1:2" x14ac:dyDescent="0.2">
      <c r="A344" s="9"/>
      <c r="B344" s="12"/>
    </row>
    <row r="345" spans="1:2" x14ac:dyDescent="0.2">
      <c r="A345" s="9"/>
      <c r="B345" s="12"/>
    </row>
    <row r="346" spans="1:2" x14ac:dyDescent="0.2">
      <c r="A346" s="9"/>
      <c r="B346" s="12"/>
    </row>
    <row r="347" spans="1:2" x14ac:dyDescent="0.2">
      <c r="A347" s="9"/>
      <c r="B347" s="12"/>
    </row>
    <row r="348" spans="1:2" x14ac:dyDescent="0.2">
      <c r="A348" s="9"/>
      <c r="B348" s="12"/>
    </row>
    <row r="349" spans="1:2" x14ac:dyDescent="0.2">
      <c r="A349" s="9"/>
      <c r="B349" s="12"/>
    </row>
    <row r="350" spans="1:2" x14ac:dyDescent="0.2">
      <c r="A350" s="9"/>
      <c r="B350" s="12"/>
    </row>
    <row r="351" spans="1:2" x14ac:dyDescent="0.2">
      <c r="A351" s="9"/>
      <c r="B351" s="12"/>
    </row>
    <row r="352" spans="1:2" x14ac:dyDescent="0.2">
      <c r="A352" s="9"/>
      <c r="B352" s="12"/>
    </row>
    <row r="353" spans="1:2" x14ac:dyDescent="0.2">
      <c r="A353" s="9"/>
      <c r="B353" s="12"/>
    </row>
    <row r="354" spans="1:2" x14ac:dyDescent="0.2">
      <c r="A354" s="9"/>
      <c r="B354" s="12"/>
    </row>
    <row r="355" spans="1:2" x14ac:dyDescent="0.2">
      <c r="A355" s="9"/>
      <c r="B355" s="12"/>
    </row>
    <row r="356" spans="1:2" x14ac:dyDescent="0.2">
      <c r="A356" s="9"/>
      <c r="B356" s="12"/>
    </row>
    <row r="357" spans="1:2" x14ac:dyDescent="0.2">
      <c r="A357" s="9"/>
      <c r="B357" s="12"/>
    </row>
    <row r="358" spans="1:2" x14ac:dyDescent="0.2">
      <c r="A358" s="9"/>
      <c r="B358" s="12"/>
    </row>
    <row r="359" spans="1:2" x14ac:dyDescent="0.2">
      <c r="A359" s="9"/>
      <c r="B359" s="12"/>
    </row>
    <row r="360" spans="1:2" x14ac:dyDescent="0.2">
      <c r="A360" s="9"/>
      <c r="B360" s="12"/>
    </row>
    <row r="361" spans="1:2" x14ac:dyDescent="0.2">
      <c r="A361" s="9"/>
      <c r="B361" s="12"/>
    </row>
    <row r="362" spans="1:2" x14ac:dyDescent="0.2">
      <c r="A362" s="9"/>
      <c r="B362" s="12"/>
    </row>
    <row r="363" spans="1:2" x14ac:dyDescent="0.2">
      <c r="A363" s="9"/>
      <c r="B363" s="12"/>
    </row>
    <row r="364" spans="1:2" x14ac:dyDescent="0.2">
      <c r="A364" s="9"/>
      <c r="B364" s="12"/>
    </row>
    <row r="365" spans="1:2" x14ac:dyDescent="0.2">
      <c r="A365" s="9"/>
      <c r="B365" s="12"/>
    </row>
    <row r="366" spans="1:2" x14ac:dyDescent="0.2">
      <c r="A366" s="9"/>
      <c r="B366" s="12"/>
    </row>
    <row r="367" spans="1:2" x14ac:dyDescent="0.2">
      <c r="A367" s="10"/>
      <c r="B367" s="10"/>
    </row>
    <row r="368" spans="1:2" x14ac:dyDescent="0.2">
      <c r="A368" s="10"/>
      <c r="B368" s="10"/>
    </row>
    <row r="369" spans="1:2" x14ac:dyDescent="0.2">
      <c r="A369" s="10"/>
      <c r="B369" s="10"/>
    </row>
    <row r="370" spans="1:2" x14ac:dyDescent="0.2">
      <c r="A370" s="10"/>
      <c r="B370" s="10"/>
    </row>
    <row r="371" spans="1:2" x14ac:dyDescent="0.2">
      <c r="A371" s="10"/>
      <c r="B371" s="10"/>
    </row>
    <row r="372" spans="1:2" x14ac:dyDescent="0.2">
      <c r="A372" s="10"/>
      <c r="B372" s="10"/>
    </row>
    <row r="373" spans="1:2" x14ac:dyDescent="0.2">
      <c r="A373" s="10"/>
      <c r="B373" s="10"/>
    </row>
    <row r="374" spans="1:2" x14ac:dyDescent="0.2">
      <c r="A374" s="10"/>
      <c r="B374" s="10"/>
    </row>
    <row r="375" spans="1:2" x14ac:dyDescent="0.2">
      <c r="A375" s="10"/>
      <c r="B375" s="10"/>
    </row>
    <row r="376" spans="1:2" x14ac:dyDescent="0.2">
      <c r="A376" s="10"/>
      <c r="B376" s="10"/>
    </row>
    <row r="377" spans="1:2" x14ac:dyDescent="0.2">
      <c r="A377" s="10"/>
      <c r="B377" s="10"/>
    </row>
    <row r="378" spans="1:2" x14ac:dyDescent="0.2">
      <c r="A378" s="10"/>
      <c r="B378" s="10"/>
    </row>
    <row r="379" spans="1:2" x14ac:dyDescent="0.2">
      <c r="A379" s="10"/>
      <c r="B379" s="10"/>
    </row>
    <row r="380" spans="1:2" x14ac:dyDescent="0.2">
      <c r="A380" s="10"/>
      <c r="B380" s="10"/>
    </row>
    <row r="381" spans="1:2" x14ac:dyDescent="0.2">
      <c r="A381" s="10"/>
      <c r="B381" s="10"/>
    </row>
    <row r="382" spans="1:2" x14ac:dyDescent="0.2">
      <c r="A382" s="10"/>
      <c r="B382" s="10"/>
    </row>
    <row r="383" spans="1:2" x14ac:dyDescent="0.2">
      <c r="A383" s="10"/>
      <c r="B383" s="10"/>
    </row>
    <row r="384" spans="1:2" x14ac:dyDescent="0.2">
      <c r="A384" s="10"/>
      <c r="B384" s="10"/>
    </row>
    <row r="385" spans="1:2" x14ac:dyDescent="0.2">
      <c r="A385" s="10"/>
      <c r="B385" s="10"/>
    </row>
    <row r="386" spans="1:2" x14ac:dyDescent="0.2">
      <c r="A386" s="10"/>
      <c r="B386" s="10"/>
    </row>
    <row r="387" spans="1:2" x14ac:dyDescent="0.2">
      <c r="A387" s="10"/>
      <c r="B387" s="10"/>
    </row>
    <row r="388" spans="1:2" x14ac:dyDescent="0.2">
      <c r="A388" s="10"/>
      <c r="B388" s="10"/>
    </row>
    <row r="389" spans="1:2" x14ac:dyDescent="0.2">
      <c r="A389" s="10"/>
      <c r="B389" s="10"/>
    </row>
    <row r="390" spans="1:2" x14ac:dyDescent="0.2">
      <c r="A390" s="10"/>
      <c r="B390" s="10"/>
    </row>
    <row r="391" spans="1:2" x14ac:dyDescent="0.2">
      <c r="A391" s="10"/>
      <c r="B391" s="10"/>
    </row>
    <row r="392" spans="1:2" x14ac:dyDescent="0.2">
      <c r="A392" s="10"/>
      <c r="B392" s="10"/>
    </row>
    <row r="393" spans="1:2" x14ac:dyDescent="0.2">
      <c r="A393" s="10"/>
      <c r="B393" s="10"/>
    </row>
    <row r="394" spans="1:2" x14ac:dyDescent="0.2">
      <c r="A394" s="10"/>
      <c r="B394" s="10"/>
    </row>
    <row r="395" spans="1:2" x14ac:dyDescent="0.2">
      <c r="A395" s="10"/>
      <c r="B395" s="10"/>
    </row>
    <row r="396" spans="1:2" x14ac:dyDescent="0.2">
      <c r="A396" s="10"/>
      <c r="B396" s="10"/>
    </row>
    <row r="397" spans="1:2" x14ac:dyDescent="0.2">
      <c r="A397" s="10"/>
      <c r="B397" s="10"/>
    </row>
    <row r="398" spans="1:2" x14ac:dyDescent="0.2">
      <c r="A398" s="10"/>
      <c r="B398" s="10"/>
    </row>
    <row r="399" spans="1:2" x14ac:dyDescent="0.2">
      <c r="A399" s="10"/>
      <c r="B399" s="10"/>
    </row>
    <row r="400" spans="1:2" x14ac:dyDescent="0.2">
      <c r="A400" s="10"/>
      <c r="B400" s="10"/>
    </row>
    <row r="401" spans="1:2" x14ac:dyDescent="0.2">
      <c r="A401" s="10"/>
      <c r="B401" s="10"/>
    </row>
    <row r="402" spans="1:2" x14ac:dyDescent="0.2">
      <c r="A402" s="10"/>
      <c r="B402" s="10"/>
    </row>
    <row r="403" spans="1:2" x14ac:dyDescent="0.2">
      <c r="A403" s="10"/>
      <c r="B403" s="10"/>
    </row>
    <row r="404" spans="1:2" x14ac:dyDescent="0.2">
      <c r="A404" s="10"/>
      <c r="B404" s="10"/>
    </row>
    <row r="405" spans="1:2" x14ac:dyDescent="0.2">
      <c r="A405" s="10"/>
      <c r="B405" s="10"/>
    </row>
    <row r="406" spans="1:2" x14ac:dyDescent="0.2">
      <c r="A406" s="10"/>
      <c r="B406" s="10"/>
    </row>
    <row r="407" spans="1:2" x14ac:dyDescent="0.2">
      <c r="A407" s="10"/>
      <c r="B407" s="10"/>
    </row>
    <row r="408" spans="1:2" x14ac:dyDescent="0.2">
      <c r="A408" s="10"/>
      <c r="B408" s="10"/>
    </row>
    <row r="409" spans="1:2" x14ac:dyDescent="0.2">
      <c r="A409" s="10"/>
      <c r="B409" s="10"/>
    </row>
    <row r="410" spans="1:2" x14ac:dyDescent="0.2">
      <c r="A410" s="10"/>
      <c r="B410" s="10"/>
    </row>
    <row r="411" spans="1:2" x14ac:dyDescent="0.2">
      <c r="A411" s="10"/>
      <c r="B411" s="10"/>
    </row>
    <row r="412" spans="1:2" x14ac:dyDescent="0.2">
      <c r="A412" s="10"/>
      <c r="B412" s="10"/>
    </row>
    <row r="413" spans="1:2" x14ac:dyDescent="0.2">
      <c r="A413" s="10"/>
      <c r="B413" s="10"/>
    </row>
    <row r="414" spans="1:2" x14ac:dyDescent="0.2">
      <c r="A414" s="10"/>
      <c r="B414" s="10"/>
    </row>
    <row r="415" spans="1:2" x14ac:dyDescent="0.2">
      <c r="A415" s="10"/>
      <c r="B415" s="10"/>
    </row>
    <row r="416" spans="1:2" x14ac:dyDescent="0.2">
      <c r="A416" s="10"/>
      <c r="B416" s="10"/>
    </row>
    <row r="417" spans="1:2" x14ac:dyDescent="0.2">
      <c r="A417" s="10"/>
      <c r="B417" s="10"/>
    </row>
    <row r="418" spans="1:2" x14ac:dyDescent="0.2">
      <c r="A418" s="10"/>
      <c r="B418" s="10"/>
    </row>
    <row r="419" spans="1:2" x14ac:dyDescent="0.2">
      <c r="A419" s="10"/>
      <c r="B419" s="10"/>
    </row>
    <row r="420" spans="1:2" x14ac:dyDescent="0.2">
      <c r="A420" s="10"/>
      <c r="B420" s="10"/>
    </row>
    <row r="421" spans="1:2" x14ac:dyDescent="0.2">
      <c r="A421" s="10"/>
      <c r="B421" s="10"/>
    </row>
    <row r="422" spans="1:2" x14ac:dyDescent="0.2">
      <c r="A422" s="10"/>
      <c r="B422" s="10"/>
    </row>
    <row r="423" spans="1:2" x14ac:dyDescent="0.2">
      <c r="A423" s="10"/>
      <c r="B423" s="10"/>
    </row>
    <row r="424" spans="1:2" x14ac:dyDescent="0.2">
      <c r="A424" s="10"/>
      <c r="B424" s="10"/>
    </row>
    <row r="425" spans="1:2" x14ac:dyDescent="0.2">
      <c r="A425" s="10"/>
      <c r="B425" s="10"/>
    </row>
    <row r="426" spans="1:2" x14ac:dyDescent="0.2">
      <c r="A426" s="10"/>
      <c r="B426" s="10"/>
    </row>
    <row r="427" spans="1:2" x14ac:dyDescent="0.2">
      <c r="A427" s="10"/>
      <c r="B427" s="10"/>
    </row>
    <row r="428" spans="1:2" x14ac:dyDescent="0.2">
      <c r="A428" s="10"/>
      <c r="B428" s="10"/>
    </row>
    <row r="429" spans="1:2" x14ac:dyDescent="0.2">
      <c r="A429" s="10"/>
      <c r="B429" s="10"/>
    </row>
    <row r="430" spans="1:2" x14ac:dyDescent="0.2">
      <c r="A430" s="10"/>
      <c r="B430" s="10"/>
    </row>
    <row r="431" spans="1:2" x14ac:dyDescent="0.2">
      <c r="A431" s="10"/>
      <c r="B431" s="10"/>
    </row>
    <row r="432" spans="1:2" x14ac:dyDescent="0.2">
      <c r="A432" s="10"/>
      <c r="B432" s="10"/>
    </row>
    <row r="433" spans="1:2" x14ac:dyDescent="0.2">
      <c r="A433" s="10"/>
      <c r="B433" s="10"/>
    </row>
    <row r="434" spans="1:2" x14ac:dyDescent="0.2">
      <c r="A434" s="10"/>
      <c r="B434" s="10"/>
    </row>
    <row r="435" spans="1:2" x14ac:dyDescent="0.2">
      <c r="A435" s="10"/>
      <c r="B435" s="10"/>
    </row>
    <row r="436" spans="1:2" x14ac:dyDescent="0.2">
      <c r="A436" s="10"/>
      <c r="B436" s="10"/>
    </row>
    <row r="437" spans="1:2" x14ac:dyDescent="0.2">
      <c r="A437" s="10"/>
      <c r="B437" s="10"/>
    </row>
    <row r="438" spans="1:2" x14ac:dyDescent="0.2">
      <c r="A438" s="10"/>
      <c r="B438" s="10"/>
    </row>
    <row r="439" spans="1:2" x14ac:dyDescent="0.2">
      <c r="A439" s="10"/>
      <c r="B439" s="10"/>
    </row>
    <row r="440" spans="1:2" x14ac:dyDescent="0.2">
      <c r="A440" s="10"/>
      <c r="B440" s="10"/>
    </row>
    <row r="441" spans="1:2" x14ac:dyDescent="0.2">
      <c r="A441" s="10"/>
      <c r="B441" s="10"/>
    </row>
    <row r="442" spans="1:2" x14ac:dyDescent="0.2">
      <c r="A442" s="10"/>
      <c r="B442" s="10"/>
    </row>
    <row r="443" spans="1:2" x14ac:dyDescent="0.2">
      <c r="A443" s="10"/>
      <c r="B443" s="10"/>
    </row>
    <row r="444" spans="1:2" x14ac:dyDescent="0.2">
      <c r="A444" s="10"/>
      <c r="B444" s="10"/>
    </row>
    <row r="445" spans="1:2" x14ac:dyDescent="0.2">
      <c r="A445" s="10"/>
      <c r="B445" s="10"/>
    </row>
    <row r="446" spans="1:2" x14ac:dyDescent="0.2">
      <c r="A446" s="10"/>
      <c r="B446" s="10"/>
    </row>
    <row r="447" spans="1:2" x14ac:dyDescent="0.2">
      <c r="A447" s="10"/>
      <c r="B447" s="10"/>
    </row>
    <row r="448" spans="1:2" x14ac:dyDescent="0.2">
      <c r="A448" s="10"/>
      <c r="B448" s="10"/>
    </row>
    <row r="449" spans="1:2" x14ac:dyDescent="0.2">
      <c r="A449" s="10"/>
      <c r="B449" s="10"/>
    </row>
    <row r="450" spans="1:2" x14ac:dyDescent="0.2">
      <c r="A450" s="10"/>
      <c r="B450" s="10"/>
    </row>
    <row r="451" spans="1:2" x14ac:dyDescent="0.2">
      <c r="A451" s="10"/>
      <c r="B451" s="10"/>
    </row>
    <row r="452" spans="1:2" x14ac:dyDescent="0.2">
      <c r="A452" s="10"/>
      <c r="B452" s="10"/>
    </row>
    <row r="453" spans="1:2" x14ac:dyDescent="0.2">
      <c r="A453" s="10"/>
      <c r="B453" s="10"/>
    </row>
    <row r="454" spans="1:2" x14ac:dyDescent="0.2">
      <c r="A454" s="10"/>
      <c r="B454" s="10"/>
    </row>
    <row r="455" spans="1:2" x14ac:dyDescent="0.2">
      <c r="A455" s="10"/>
      <c r="B455" s="10"/>
    </row>
    <row r="456" spans="1:2" x14ac:dyDescent="0.2">
      <c r="A456" s="10"/>
      <c r="B456" s="10"/>
    </row>
    <row r="457" spans="1:2" x14ac:dyDescent="0.2">
      <c r="A457" s="10"/>
      <c r="B457" s="10"/>
    </row>
    <row r="458" spans="1:2" x14ac:dyDescent="0.2">
      <c r="A458" s="10"/>
      <c r="B458" s="10"/>
    </row>
    <row r="459" spans="1:2" x14ac:dyDescent="0.2">
      <c r="A459" s="10"/>
      <c r="B459" s="10"/>
    </row>
    <row r="460" spans="1:2" x14ac:dyDescent="0.2">
      <c r="A460" s="10"/>
      <c r="B460" s="10"/>
    </row>
    <row r="461" spans="1:2" x14ac:dyDescent="0.2">
      <c r="A461" s="10"/>
      <c r="B461" s="10"/>
    </row>
    <row r="462" spans="1:2" x14ac:dyDescent="0.2">
      <c r="A462" s="10"/>
      <c r="B462" s="10"/>
    </row>
    <row r="463" spans="1:2" x14ac:dyDescent="0.2">
      <c r="A463" s="10"/>
      <c r="B463" s="10"/>
    </row>
    <row r="464" spans="1:2" x14ac:dyDescent="0.2">
      <c r="A464" s="10"/>
      <c r="B464" s="10"/>
    </row>
    <row r="465" spans="1:2" x14ac:dyDescent="0.2">
      <c r="A465" s="10"/>
      <c r="B465" s="10"/>
    </row>
    <row r="466" spans="1:2" x14ac:dyDescent="0.2">
      <c r="A466" s="10"/>
      <c r="B466" s="10"/>
    </row>
    <row r="467" spans="1:2" x14ac:dyDescent="0.2">
      <c r="A467" s="10"/>
      <c r="B467" s="10"/>
    </row>
    <row r="468" spans="1:2" x14ac:dyDescent="0.2">
      <c r="A468" s="10"/>
      <c r="B468" s="10"/>
    </row>
    <row r="469" spans="1:2" x14ac:dyDescent="0.2">
      <c r="A469" s="10"/>
      <c r="B469" s="10"/>
    </row>
    <row r="470" spans="1:2" x14ac:dyDescent="0.2">
      <c r="A470" s="10"/>
      <c r="B470" s="10"/>
    </row>
    <row r="471" spans="1:2" x14ac:dyDescent="0.2">
      <c r="A471" s="10"/>
      <c r="B471" s="10"/>
    </row>
    <row r="472" spans="1:2" x14ac:dyDescent="0.2">
      <c r="A472" s="10"/>
      <c r="B472" s="10"/>
    </row>
    <row r="473" spans="1:2" x14ac:dyDescent="0.2">
      <c r="A473" s="10"/>
      <c r="B473" s="10"/>
    </row>
    <row r="474" spans="1:2" x14ac:dyDescent="0.2">
      <c r="A474" s="10"/>
      <c r="B474" s="10"/>
    </row>
    <row r="475" spans="1:2" x14ac:dyDescent="0.2">
      <c r="A475" s="10"/>
      <c r="B475" s="10"/>
    </row>
    <row r="476" spans="1:2" x14ac:dyDescent="0.2">
      <c r="A476" s="10"/>
      <c r="B476" s="10"/>
    </row>
    <row r="477" spans="1:2" x14ac:dyDescent="0.2">
      <c r="A477" s="10"/>
      <c r="B477" s="10"/>
    </row>
    <row r="478" spans="1:2" x14ac:dyDescent="0.2">
      <c r="A478" s="10"/>
      <c r="B478" s="10"/>
    </row>
    <row r="479" spans="1:2" x14ac:dyDescent="0.2">
      <c r="A479" s="10"/>
      <c r="B479" s="10"/>
    </row>
    <row r="480" spans="1:2" x14ac:dyDescent="0.2">
      <c r="A480" s="10"/>
      <c r="B480" s="10"/>
    </row>
    <row r="481" spans="1:2" x14ac:dyDescent="0.2">
      <c r="A481" s="10"/>
      <c r="B481" s="10"/>
    </row>
    <row r="482" spans="1:2" x14ac:dyDescent="0.2">
      <c r="A482" s="10"/>
      <c r="B482" s="10"/>
    </row>
    <row r="483" spans="1:2" x14ac:dyDescent="0.2">
      <c r="A483" s="10"/>
      <c r="B483" s="10"/>
    </row>
    <row r="484" spans="1:2" x14ac:dyDescent="0.2">
      <c r="A484" s="10"/>
      <c r="B484" s="10"/>
    </row>
    <row r="485" spans="1:2" x14ac:dyDescent="0.2">
      <c r="A485" s="10"/>
      <c r="B485" s="10"/>
    </row>
    <row r="486" spans="1:2" x14ac:dyDescent="0.2">
      <c r="A486" s="10"/>
      <c r="B486" s="10"/>
    </row>
    <row r="487" spans="1:2" x14ac:dyDescent="0.2">
      <c r="A487" s="10"/>
      <c r="B487" s="10"/>
    </row>
    <row r="488" spans="1:2" x14ac:dyDescent="0.2">
      <c r="A488" s="10"/>
      <c r="B488" s="10"/>
    </row>
    <row r="489" spans="1:2" x14ac:dyDescent="0.2">
      <c r="A489" s="10"/>
      <c r="B489" s="10"/>
    </row>
    <row r="490" spans="1:2" x14ac:dyDescent="0.2">
      <c r="A490" s="10"/>
      <c r="B490" s="10"/>
    </row>
    <row r="491" spans="1:2" x14ac:dyDescent="0.2">
      <c r="A491" s="10"/>
      <c r="B491" s="10"/>
    </row>
    <row r="492" spans="1:2" x14ac:dyDescent="0.2">
      <c r="A492" s="10"/>
      <c r="B492" s="10"/>
    </row>
    <row r="493" spans="1:2" x14ac:dyDescent="0.2">
      <c r="A493" s="10"/>
      <c r="B493" s="10"/>
    </row>
    <row r="494" spans="1:2" x14ac:dyDescent="0.2">
      <c r="A494" s="10"/>
      <c r="B494" s="10"/>
    </row>
    <row r="495" spans="1:2" x14ac:dyDescent="0.2">
      <c r="A495" s="10"/>
      <c r="B495" s="10"/>
    </row>
    <row r="496" spans="1:2" x14ac:dyDescent="0.2">
      <c r="A496" s="10"/>
      <c r="B496" s="10"/>
    </row>
    <row r="497" spans="1:2" x14ac:dyDescent="0.2">
      <c r="A497" s="10"/>
      <c r="B497" s="10"/>
    </row>
    <row r="498" spans="1:2" x14ac:dyDescent="0.2">
      <c r="A498" s="10"/>
      <c r="B498" s="10"/>
    </row>
    <row r="499" spans="1:2" x14ac:dyDescent="0.2">
      <c r="A499" s="10"/>
      <c r="B499" s="10"/>
    </row>
    <row r="500" spans="1:2" x14ac:dyDescent="0.2">
      <c r="A500" s="10"/>
      <c r="B500" s="10"/>
    </row>
    <row r="501" spans="1:2" x14ac:dyDescent="0.2">
      <c r="A501" s="10"/>
      <c r="B501" s="10"/>
    </row>
    <row r="502" spans="1:2" x14ac:dyDescent="0.2">
      <c r="A502" s="10"/>
      <c r="B502" s="10"/>
    </row>
    <row r="503" spans="1:2" x14ac:dyDescent="0.2">
      <c r="A503" s="10"/>
      <c r="B503" s="10"/>
    </row>
    <row r="504" spans="1:2" x14ac:dyDescent="0.2">
      <c r="A504" s="10"/>
      <c r="B504" s="10"/>
    </row>
    <row r="505" spans="1:2" x14ac:dyDescent="0.2">
      <c r="A505" s="10"/>
      <c r="B505" s="10"/>
    </row>
    <row r="506" spans="1:2" x14ac:dyDescent="0.2">
      <c r="A506" s="10"/>
      <c r="B506" s="10"/>
    </row>
    <row r="507" spans="1:2" x14ac:dyDescent="0.2">
      <c r="A507" s="10"/>
      <c r="B507" s="10"/>
    </row>
    <row r="508" spans="1:2" x14ac:dyDescent="0.2">
      <c r="A508" s="10"/>
      <c r="B508" s="10"/>
    </row>
    <row r="509" spans="1:2" x14ac:dyDescent="0.2">
      <c r="A509" s="10"/>
      <c r="B509" s="10"/>
    </row>
    <row r="510" spans="1:2" x14ac:dyDescent="0.2">
      <c r="A510" s="10"/>
      <c r="B510" s="10"/>
    </row>
    <row r="511" spans="1:2" x14ac:dyDescent="0.2">
      <c r="A511" s="10"/>
      <c r="B511" s="10"/>
    </row>
    <row r="512" spans="1:2" x14ac:dyDescent="0.2">
      <c r="A512" s="10"/>
      <c r="B512" s="10"/>
    </row>
    <row r="513" spans="1:2" x14ac:dyDescent="0.2">
      <c r="A513" s="10"/>
      <c r="B513" s="10"/>
    </row>
    <row r="514" spans="1:2" x14ac:dyDescent="0.2">
      <c r="A514" s="10"/>
      <c r="B514" s="10"/>
    </row>
    <row r="515" spans="1:2" x14ac:dyDescent="0.2">
      <c r="A515" s="10"/>
      <c r="B515" s="10"/>
    </row>
    <row r="516" spans="1:2" x14ac:dyDescent="0.2">
      <c r="A516" s="10"/>
      <c r="B516" s="10"/>
    </row>
    <row r="517" spans="1:2" x14ac:dyDescent="0.2">
      <c r="A517" s="10"/>
      <c r="B517" s="10"/>
    </row>
    <row r="518" spans="1:2" x14ac:dyDescent="0.2">
      <c r="A518" s="10"/>
      <c r="B518" s="10"/>
    </row>
    <row r="519" spans="1:2" x14ac:dyDescent="0.2">
      <c r="A519" s="10"/>
      <c r="B519" s="10"/>
    </row>
    <row r="520" spans="1:2" x14ac:dyDescent="0.2">
      <c r="A520" s="10"/>
      <c r="B520" s="10"/>
    </row>
    <row r="521" spans="1:2" x14ac:dyDescent="0.2">
      <c r="A521" s="10"/>
      <c r="B521" s="10"/>
    </row>
    <row r="522" spans="1:2" x14ac:dyDescent="0.2">
      <c r="A522" s="10"/>
      <c r="B522" s="10"/>
    </row>
    <row r="523" spans="1:2" x14ac:dyDescent="0.2">
      <c r="A523" s="10"/>
      <c r="B523" s="10"/>
    </row>
    <row r="524" spans="1:2" x14ac:dyDescent="0.2">
      <c r="A524" s="10"/>
      <c r="B524" s="10"/>
    </row>
    <row r="525" spans="1:2" x14ac:dyDescent="0.2">
      <c r="A525" s="10"/>
      <c r="B525" s="10"/>
    </row>
    <row r="526" spans="1:2" x14ac:dyDescent="0.2">
      <c r="A526" s="10"/>
      <c r="B526" s="10"/>
    </row>
    <row r="527" spans="1:2" x14ac:dyDescent="0.2">
      <c r="A527" s="10"/>
      <c r="B527" s="10"/>
    </row>
    <row r="528" spans="1:2" x14ac:dyDescent="0.2">
      <c r="A528" s="10"/>
      <c r="B528" s="10"/>
    </row>
    <row r="529" spans="1:2" x14ac:dyDescent="0.2">
      <c r="A529" s="10"/>
      <c r="B529" s="10"/>
    </row>
    <row r="530" spans="1:2" x14ac:dyDescent="0.2">
      <c r="A530" s="10"/>
      <c r="B530" s="10"/>
    </row>
    <row r="531" spans="1:2" x14ac:dyDescent="0.2">
      <c r="A531" s="10"/>
      <c r="B531" s="10"/>
    </row>
    <row r="532" spans="1:2" x14ac:dyDescent="0.2">
      <c r="A532" s="10"/>
      <c r="B532" s="10"/>
    </row>
    <row r="533" spans="1:2" x14ac:dyDescent="0.2">
      <c r="A533" s="10"/>
      <c r="B533" s="10"/>
    </row>
    <row r="534" spans="1:2" x14ac:dyDescent="0.2">
      <c r="A534" s="10"/>
      <c r="B534" s="10"/>
    </row>
    <row r="535" spans="1:2" x14ac:dyDescent="0.2">
      <c r="A535" s="10"/>
      <c r="B535" s="10"/>
    </row>
    <row r="536" spans="1:2" x14ac:dyDescent="0.2">
      <c r="A536" s="10"/>
      <c r="B536" s="10"/>
    </row>
    <row r="537" spans="1:2" x14ac:dyDescent="0.2">
      <c r="A537" s="10"/>
      <c r="B537" s="10"/>
    </row>
    <row r="538" spans="1:2" x14ac:dyDescent="0.2">
      <c r="A538" s="10"/>
      <c r="B538" s="10"/>
    </row>
    <row r="539" spans="1:2" x14ac:dyDescent="0.2">
      <c r="A539" s="10"/>
      <c r="B539" s="10"/>
    </row>
    <row r="540" spans="1:2" x14ac:dyDescent="0.2">
      <c r="A540" s="10"/>
      <c r="B540" s="10"/>
    </row>
    <row r="541" spans="1:2" x14ac:dyDescent="0.2">
      <c r="A541" s="10"/>
      <c r="B541" s="10"/>
    </row>
    <row r="542" spans="1:2" x14ac:dyDescent="0.2">
      <c r="A542" s="10"/>
      <c r="B542" s="10"/>
    </row>
    <row r="543" spans="1:2" x14ac:dyDescent="0.2">
      <c r="A543" s="10"/>
      <c r="B543" s="10"/>
    </row>
    <row r="544" spans="1:2" x14ac:dyDescent="0.2">
      <c r="A544" s="10"/>
      <c r="B544" s="10"/>
    </row>
    <row r="545" spans="1:2" x14ac:dyDescent="0.2">
      <c r="A545" s="10"/>
      <c r="B545" s="10"/>
    </row>
    <row r="546" spans="1:2" x14ac:dyDescent="0.2">
      <c r="A546" s="10"/>
      <c r="B546" s="10"/>
    </row>
    <row r="547" spans="1:2" x14ac:dyDescent="0.2">
      <c r="A547" s="10"/>
      <c r="B547" s="10"/>
    </row>
    <row r="548" spans="1:2" x14ac:dyDescent="0.2">
      <c r="A548" s="10"/>
      <c r="B548" s="10"/>
    </row>
    <row r="549" spans="1:2" x14ac:dyDescent="0.2">
      <c r="A549" s="10"/>
      <c r="B549" s="10"/>
    </row>
    <row r="550" spans="1:2" x14ac:dyDescent="0.2">
      <c r="A550" s="10"/>
      <c r="B550" s="10"/>
    </row>
    <row r="551" spans="1:2" x14ac:dyDescent="0.2">
      <c r="A551" s="10"/>
      <c r="B551" s="10"/>
    </row>
    <row r="552" spans="1:2" x14ac:dyDescent="0.2">
      <c r="A552" s="10"/>
      <c r="B552" s="10"/>
    </row>
    <row r="553" spans="1:2" x14ac:dyDescent="0.2">
      <c r="A553" s="10"/>
      <c r="B553" s="10"/>
    </row>
    <row r="554" spans="1:2" x14ac:dyDescent="0.2">
      <c r="A554" s="10"/>
      <c r="B554" s="10"/>
    </row>
    <row r="555" spans="1:2" x14ac:dyDescent="0.2">
      <c r="A555" s="10"/>
      <c r="B555" s="10"/>
    </row>
    <row r="556" spans="1:2" x14ac:dyDescent="0.2">
      <c r="A556" s="10"/>
      <c r="B556" s="10"/>
    </row>
    <row r="557" spans="1:2" x14ac:dyDescent="0.2">
      <c r="A557" s="10"/>
      <c r="B557" s="10"/>
    </row>
    <row r="558" spans="1:2" x14ac:dyDescent="0.2">
      <c r="A558" s="10"/>
      <c r="B558" s="10"/>
    </row>
    <row r="559" spans="1:2" x14ac:dyDescent="0.2">
      <c r="A559" s="10"/>
      <c r="B559" s="10"/>
    </row>
    <row r="560" spans="1:2" x14ac:dyDescent="0.2">
      <c r="A560" s="10"/>
      <c r="B560" s="10"/>
    </row>
    <row r="561" spans="1:2" x14ac:dyDescent="0.2">
      <c r="A561" s="10"/>
      <c r="B561" s="10"/>
    </row>
    <row r="562" spans="1:2" x14ac:dyDescent="0.2">
      <c r="A562" s="10"/>
      <c r="B562" s="10"/>
    </row>
    <row r="563" spans="1:2" x14ac:dyDescent="0.2">
      <c r="A563" s="10"/>
      <c r="B563" s="10"/>
    </row>
    <row r="564" spans="1:2" x14ac:dyDescent="0.2">
      <c r="A564" s="10"/>
      <c r="B564" s="10"/>
    </row>
    <row r="565" spans="1:2" x14ac:dyDescent="0.2">
      <c r="A565" s="10"/>
      <c r="B565" s="10"/>
    </row>
    <row r="566" spans="1:2" x14ac:dyDescent="0.2">
      <c r="A566" s="10"/>
      <c r="B566" s="10"/>
    </row>
    <row r="567" spans="1:2" x14ac:dyDescent="0.2">
      <c r="A567" s="10"/>
      <c r="B567" s="10"/>
    </row>
    <row r="568" spans="1:2" x14ac:dyDescent="0.2">
      <c r="A568" s="10"/>
      <c r="B568" s="10"/>
    </row>
    <row r="569" spans="1:2" x14ac:dyDescent="0.2">
      <c r="A569" s="10"/>
      <c r="B569" s="10"/>
    </row>
    <row r="570" spans="1:2" x14ac:dyDescent="0.2">
      <c r="A570" s="10"/>
      <c r="B570" s="10"/>
    </row>
    <row r="571" spans="1:2" x14ac:dyDescent="0.2">
      <c r="A571" s="10"/>
      <c r="B571" s="10"/>
    </row>
    <row r="572" spans="1:2" x14ac:dyDescent="0.2">
      <c r="A572" s="10"/>
      <c r="B572" s="10"/>
    </row>
    <row r="573" spans="1:2" x14ac:dyDescent="0.2">
      <c r="A573" s="10"/>
      <c r="B573" s="10"/>
    </row>
    <row r="574" spans="1:2" x14ac:dyDescent="0.2">
      <c r="A574" s="10"/>
      <c r="B574" s="10"/>
    </row>
    <row r="575" spans="1:2" x14ac:dyDescent="0.2">
      <c r="A575" s="10"/>
      <c r="B575" s="10"/>
    </row>
    <row r="576" spans="1:2" x14ac:dyDescent="0.2">
      <c r="A576" s="10"/>
      <c r="B576" s="10"/>
    </row>
    <row r="577" spans="1:2" x14ac:dyDescent="0.2">
      <c r="A577" s="10"/>
      <c r="B577" s="10"/>
    </row>
    <row r="578" spans="1:2" x14ac:dyDescent="0.2">
      <c r="A578" s="10"/>
      <c r="B578" s="10"/>
    </row>
    <row r="579" spans="1:2" x14ac:dyDescent="0.2">
      <c r="A579" s="10"/>
      <c r="B579" s="10"/>
    </row>
    <row r="580" spans="1:2" x14ac:dyDescent="0.2">
      <c r="A580" s="10"/>
      <c r="B580" s="10"/>
    </row>
    <row r="581" spans="1:2" x14ac:dyDescent="0.2">
      <c r="A581" s="10"/>
      <c r="B581" s="10"/>
    </row>
    <row r="582" spans="1:2" x14ac:dyDescent="0.2">
      <c r="A582" s="10"/>
      <c r="B582" s="10"/>
    </row>
    <row r="583" spans="1:2" x14ac:dyDescent="0.2">
      <c r="A583" s="10"/>
      <c r="B583" s="10"/>
    </row>
    <row r="584" spans="1:2" x14ac:dyDescent="0.2">
      <c r="A584" s="10"/>
      <c r="B584" s="10"/>
    </row>
    <row r="585" spans="1:2" x14ac:dyDescent="0.2">
      <c r="A585" s="10"/>
      <c r="B585" s="10"/>
    </row>
    <row r="586" spans="1:2" x14ac:dyDescent="0.2">
      <c r="A586" s="10"/>
      <c r="B586" s="10"/>
    </row>
    <row r="587" spans="1:2" x14ac:dyDescent="0.2">
      <c r="A587" s="10"/>
      <c r="B587" s="10"/>
    </row>
    <row r="588" spans="1:2" x14ac:dyDescent="0.2">
      <c r="A588" s="10"/>
      <c r="B588" s="10"/>
    </row>
    <row r="589" spans="1:2" x14ac:dyDescent="0.2">
      <c r="A589" s="10"/>
      <c r="B589" s="10"/>
    </row>
    <row r="590" spans="1:2" x14ac:dyDescent="0.2">
      <c r="A590" s="10"/>
      <c r="B590" s="10"/>
    </row>
    <row r="591" spans="1:2" x14ac:dyDescent="0.2">
      <c r="A591" s="10"/>
      <c r="B591" s="10"/>
    </row>
    <row r="592" spans="1:2" x14ac:dyDescent="0.2">
      <c r="A592" s="10"/>
      <c r="B592" s="10"/>
    </row>
    <row r="593" spans="1:2" x14ac:dyDescent="0.2">
      <c r="A593" s="10"/>
      <c r="B593" s="10"/>
    </row>
    <row r="594" spans="1:2" x14ac:dyDescent="0.2">
      <c r="A594" s="10"/>
      <c r="B594" s="10"/>
    </row>
    <row r="595" spans="1:2" x14ac:dyDescent="0.2">
      <c r="A595" s="10"/>
      <c r="B595" s="10"/>
    </row>
    <row r="596" spans="1:2" x14ac:dyDescent="0.2">
      <c r="A596" s="10"/>
      <c r="B596" s="10"/>
    </row>
    <row r="597" spans="1:2" x14ac:dyDescent="0.2">
      <c r="A597" s="10"/>
      <c r="B597" s="10"/>
    </row>
    <row r="598" spans="1:2" x14ac:dyDescent="0.2">
      <c r="A598" s="10"/>
      <c r="B598" s="10"/>
    </row>
    <row r="599" spans="1:2" x14ac:dyDescent="0.2">
      <c r="A599" s="10"/>
      <c r="B599" s="10"/>
    </row>
    <row r="600" spans="1:2" x14ac:dyDescent="0.2">
      <c r="A600" s="10"/>
      <c r="B600" s="10"/>
    </row>
    <row r="601" spans="1:2" x14ac:dyDescent="0.2">
      <c r="A601" s="10"/>
      <c r="B601" s="10"/>
    </row>
    <row r="602" spans="1:2" x14ac:dyDescent="0.2">
      <c r="A602" s="10"/>
      <c r="B602" s="10"/>
    </row>
    <row r="603" spans="1:2" x14ac:dyDescent="0.2">
      <c r="A603" s="10"/>
      <c r="B603" s="10"/>
    </row>
    <row r="604" spans="1:2" x14ac:dyDescent="0.2">
      <c r="A604" s="10"/>
      <c r="B604" s="10"/>
    </row>
    <row r="605" spans="1:2" x14ac:dyDescent="0.2">
      <c r="A605" s="10"/>
      <c r="B605" s="10"/>
    </row>
    <row r="606" spans="1:2" x14ac:dyDescent="0.2">
      <c r="A606" s="10"/>
      <c r="B606" s="10"/>
    </row>
    <row r="607" spans="1:2" x14ac:dyDescent="0.2">
      <c r="A607" s="10"/>
      <c r="B607" s="10"/>
    </row>
    <row r="608" spans="1:2" x14ac:dyDescent="0.2">
      <c r="A608" s="10"/>
      <c r="B608" s="10"/>
    </row>
    <row r="609" spans="1:2" x14ac:dyDescent="0.2">
      <c r="A609" s="10"/>
      <c r="B609" s="10"/>
    </row>
    <row r="610" spans="1:2" x14ac:dyDescent="0.2">
      <c r="A610" s="10"/>
      <c r="B610" s="10"/>
    </row>
    <row r="611" spans="1:2" x14ac:dyDescent="0.2">
      <c r="A611" s="10"/>
      <c r="B611" s="10"/>
    </row>
    <row r="612" spans="1:2" x14ac:dyDescent="0.2">
      <c r="A612" s="10"/>
      <c r="B612" s="10"/>
    </row>
    <row r="613" spans="1:2" x14ac:dyDescent="0.2">
      <c r="A613" s="10"/>
      <c r="B613" s="10"/>
    </row>
    <row r="614" spans="1:2" x14ac:dyDescent="0.2">
      <c r="A614" s="10"/>
      <c r="B614" s="10"/>
    </row>
    <row r="615" spans="1:2" x14ac:dyDescent="0.2">
      <c r="A615" s="10"/>
      <c r="B615" s="10"/>
    </row>
    <row r="616" spans="1:2" x14ac:dyDescent="0.2">
      <c r="A616" s="10"/>
      <c r="B616" s="10"/>
    </row>
    <row r="617" spans="1:2" x14ac:dyDescent="0.2">
      <c r="A617" s="10"/>
      <c r="B617" s="10"/>
    </row>
    <row r="618" spans="1:2" x14ac:dyDescent="0.2">
      <c r="A618" s="10"/>
      <c r="B618" s="10"/>
    </row>
    <row r="619" spans="1:2" x14ac:dyDescent="0.2">
      <c r="A619" s="10"/>
      <c r="B619" s="10"/>
    </row>
    <row r="620" spans="1:2" x14ac:dyDescent="0.2">
      <c r="A620" s="10"/>
      <c r="B620" s="10"/>
    </row>
    <row r="621" spans="1:2" x14ac:dyDescent="0.2">
      <c r="A621" s="10"/>
      <c r="B621" s="10"/>
    </row>
    <row r="622" spans="1:2" x14ac:dyDescent="0.2">
      <c r="A622" s="10"/>
      <c r="B622" s="10"/>
    </row>
    <row r="623" spans="1:2" x14ac:dyDescent="0.2">
      <c r="A623" s="10"/>
      <c r="B623" s="10"/>
    </row>
    <row r="624" spans="1:2" x14ac:dyDescent="0.2">
      <c r="A624" s="10"/>
      <c r="B624" s="10"/>
    </row>
    <row r="625" spans="1:2" x14ac:dyDescent="0.2">
      <c r="A625" s="10"/>
      <c r="B625" s="10"/>
    </row>
    <row r="626" spans="1:2" x14ac:dyDescent="0.2">
      <c r="A626" s="10"/>
      <c r="B626" s="10"/>
    </row>
    <row r="627" spans="1:2" x14ac:dyDescent="0.2">
      <c r="A627" s="10"/>
      <c r="B627" s="10"/>
    </row>
    <row r="628" spans="1:2" x14ac:dyDescent="0.2">
      <c r="A628" s="10"/>
      <c r="B628" s="10"/>
    </row>
    <row r="629" spans="1:2" x14ac:dyDescent="0.2">
      <c r="A629" s="10"/>
      <c r="B629" s="10"/>
    </row>
    <row r="630" spans="1:2" x14ac:dyDescent="0.2">
      <c r="A630" s="10"/>
      <c r="B630" s="10"/>
    </row>
    <row r="631" spans="1:2" x14ac:dyDescent="0.2">
      <c r="A631" s="10"/>
      <c r="B631" s="10"/>
    </row>
    <row r="632" spans="1:2" x14ac:dyDescent="0.2">
      <c r="A632" s="10"/>
      <c r="B632" s="10"/>
    </row>
    <row r="633" spans="1:2" x14ac:dyDescent="0.2">
      <c r="A633" s="10"/>
      <c r="B633" s="10"/>
    </row>
    <row r="634" spans="1:2" x14ac:dyDescent="0.2">
      <c r="A634" s="10"/>
      <c r="B634" s="10"/>
    </row>
    <row r="635" spans="1:2" x14ac:dyDescent="0.2">
      <c r="A635" s="10"/>
      <c r="B635" s="10"/>
    </row>
    <row r="636" spans="1:2" x14ac:dyDescent="0.2">
      <c r="A636" s="10"/>
      <c r="B636" s="10"/>
    </row>
    <row r="637" spans="1:2" x14ac:dyDescent="0.2">
      <c r="A637" s="10"/>
      <c r="B637" s="10"/>
    </row>
    <row r="638" spans="1:2" x14ac:dyDescent="0.2">
      <c r="A638" s="10"/>
      <c r="B638" s="10"/>
    </row>
    <row r="639" spans="1:2" x14ac:dyDescent="0.2">
      <c r="A639" s="10"/>
      <c r="B639" s="10"/>
    </row>
    <row r="640" spans="1:2" x14ac:dyDescent="0.2">
      <c r="A640" s="10"/>
      <c r="B640" s="10"/>
    </row>
    <row r="641" spans="1:2" x14ac:dyDescent="0.2">
      <c r="A641" s="10"/>
      <c r="B641" s="10"/>
    </row>
    <row r="642" spans="1:2" x14ac:dyDescent="0.2">
      <c r="A642" s="10"/>
      <c r="B642" s="10"/>
    </row>
    <row r="643" spans="1:2" x14ac:dyDescent="0.2">
      <c r="A643" s="10"/>
      <c r="B643" s="10"/>
    </row>
    <row r="644" spans="1:2" x14ac:dyDescent="0.2">
      <c r="A644" s="10"/>
      <c r="B644" s="10"/>
    </row>
    <row r="645" spans="1:2" x14ac:dyDescent="0.2">
      <c r="A645" s="10"/>
      <c r="B645" s="10"/>
    </row>
    <row r="646" spans="1:2" x14ac:dyDescent="0.2">
      <c r="A646" s="10"/>
      <c r="B646" s="10"/>
    </row>
    <row r="647" spans="1:2" x14ac:dyDescent="0.2">
      <c r="A647" s="10"/>
      <c r="B647" s="10"/>
    </row>
    <row r="648" spans="1:2" x14ac:dyDescent="0.2">
      <c r="A648" s="10"/>
      <c r="B648" s="10"/>
    </row>
    <row r="649" spans="1:2" x14ac:dyDescent="0.2">
      <c r="A649" s="10"/>
      <c r="B649" s="10"/>
    </row>
    <row r="650" spans="1:2" x14ac:dyDescent="0.2">
      <c r="A650" s="10"/>
      <c r="B650" s="10"/>
    </row>
    <row r="651" spans="1:2" x14ac:dyDescent="0.2">
      <c r="A651" s="10"/>
      <c r="B651" s="10"/>
    </row>
    <row r="652" spans="1:2" x14ac:dyDescent="0.2">
      <c r="A652" s="10"/>
      <c r="B652" s="10"/>
    </row>
    <row r="653" spans="1:2" x14ac:dyDescent="0.2">
      <c r="A653" s="10"/>
      <c r="B653" s="10"/>
    </row>
    <row r="654" spans="1:2" x14ac:dyDescent="0.2">
      <c r="A654" s="10"/>
      <c r="B654" s="10"/>
    </row>
    <row r="655" spans="1:2" x14ac:dyDescent="0.2">
      <c r="A655" s="10"/>
      <c r="B655" s="10"/>
    </row>
    <row r="656" spans="1:2" x14ac:dyDescent="0.2">
      <c r="A656" s="10"/>
      <c r="B656" s="10"/>
    </row>
    <row r="657" spans="1:2" x14ac:dyDescent="0.2">
      <c r="A657" s="10"/>
      <c r="B657" s="10"/>
    </row>
    <row r="658" spans="1:2" x14ac:dyDescent="0.2">
      <c r="A658" s="10"/>
      <c r="B658" s="10"/>
    </row>
    <row r="659" spans="1:2" x14ac:dyDescent="0.2">
      <c r="A659" s="10"/>
      <c r="B659" s="10"/>
    </row>
    <row r="660" spans="1:2" x14ac:dyDescent="0.2">
      <c r="A660" s="10"/>
      <c r="B660" s="10"/>
    </row>
    <row r="661" spans="1:2" x14ac:dyDescent="0.2">
      <c r="A661" s="10"/>
      <c r="B661" s="10"/>
    </row>
    <row r="662" spans="1:2" x14ac:dyDescent="0.2">
      <c r="A662" s="10"/>
      <c r="B662" s="10"/>
    </row>
    <row r="663" spans="1:2" x14ac:dyDescent="0.2">
      <c r="A663" s="10"/>
      <c r="B663" s="10"/>
    </row>
    <row r="664" spans="1:2" x14ac:dyDescent="0.2">
      <c r="A664" s="10"/>
      <c r="B664" s="10"/>
    </row>
    <row r="665" spans="1:2" x14ac:dyDescent="0.2">
      <c r="A665" s="10"/>
      <c r="B665" s="10"/>
    </row>
    <row r="666" spans="1:2" x14ac:dyDescent="0.2">
      <c r="A666" s="10"/>
      <c r="B666" s="10"/>
    </row>
    <row r="667" spans="1:2" x14ac:dyDescent="0.2">
      <c r="A667" s="10"/>
      <c r="B667" s="10"/>
    </row>
    <row r="668" spans="1:2" x14ac:dyDescent="0.2">
      <c r="A668" s="10"/>
      <c r="B668" s="10"/>
    </row>
    <row r="669" spans="1:2" x14ac:dyDescent="0.2">
      <c r="A669" s="10"/>
      <c r="B669" s="10"/>
    </row>
    <row r="670" spans="1:2" x14ac:dyDescent="0.2">
      <c r="A670" s="10"/>
      <c r="B670" s="10"/>
    </row>
    <row r="671" spans="1:2" x14ac:dyDescent="0.2">
      <c r="A671" s="10"/>
      <c r="B671" s="10"/>
    </row>
    <row r="672" spans="1:2" x14ac:dyDescent="0.2">
      <c r="A672" s="10"/>
      <c r="B672" s="10"/>
    </row>
    <row r="673" spans="1:2" x14ac:dyDescent="0.2">
      <c r="A673" s="10"/>
      <c r="B673" s="10"/>
    </row>
    <row r="674" spans="1:2" x14ac:dyDescent="0.2">
      <c r="A674" s="10"/>
      <c r="B674" s="10"/>
    </row>
    <row r="675" spans="1:2" x14ac:dyDescent="0.2">
      <c r="A675" s="10"/>
      <c r="B675" s="10"/>
    </row>
    <row r="676" spans="1:2" x14ac:dyDescent="0.2">
      <c r="A676" s="10"/>
      <c r="B676" s="10"/>
    </row>
    <row r="677" spans="1:2" x14ac:dyDescent="0.2">
      <c r="A677" s="10"/>
      <c r="B677" s="10"/>
    </row>
    <row r="678" spans="1:2" x14ac:dyDescent="0.2">
      <c r="A678" s="10"/>
      <c r="B678" s="10"/>
    </row>
    <row r="679" spans="1:2" x14ac:dyDescent="0.2">
      <c r="A679" s="10"/>
      <c r="B679" s="10"/>
    </row>
    <row r="680" spans="1:2" x14ac:dyDescent="0.2">
      <c r="A680" s="10"/>
      <c r="B680" s="10"/>
    </row>
    <row r="681" spans="1:2" x14ac:dyDescent="0.2">
      <c r="A681" s="10"/>
      <c r="B681" s="10"/>
    </row>
    <row r="682" spans="1:2" x14ac:dyDescent="0.2">
      <c r="A682" s="10"/>
      <c r="B682" s="10"/>
    </row>
    <row r="683" spans="1:2" x14ac:dyDescent="0.2">
      <c r="A683" s="10"/>
      <c r="B683" s="10"/>
    </row>
    <row r="684" spans="1:2" x14ac:dyDescent="0.2">
      <c r="A684" s="10"/>
      <c r="B684" s="10"/>
    </row>
    <row r="685" spans="1:2" x14ac:dyDescent="0.2">
      <c r="A685" s="10"/>
      <c r="B685" s="10"/>
    </row>
    <row r="686" spans="1:2" x14ac:dyDescent="0.2">
      <c r="A686" s="10"/>
      <c r="B686" s="10"/>
    </row>
    <row r="687" spans="1:2" x14ac:dyDescent="0.2">
      <c r="A687" s="10"/>
      <c r="B687" s="10"/>
    </row>
    <row r="688" spans="1:2" x14ac:dyDescent="0.2">
      <c r="A688" s="10"/>
      <c r="B688" s="10"/>
    </row>
    <row r="689" spans="1:2" x14ac:dyDescent="0.2">
      <c r="A689" s="10"/>
      <c r="B689" s="10"/>
    </row>
    <row r="690" spans="1:2" x14ac:dyDescent="0.2">
      <c r="A690" s="10"/>
      <c r="B690" s="10"/>
    </row>
    <row r="691" spans="1:2" x14ac:dyDescent="0.2">
      <c r="A691" s="10"/>
      <c r="B691" s="10"/>
    </row>
    <row r="692" spans="1:2" x14ac:dyDescent="0.2">
      <c r="A692" s="10"/>
      <c r="B692" s="10"/>
    </row>
    <row r="693" spans="1:2" x14ac:dyDescent="0.2">
      <c r="A693" s="10"/>
      <c r="B693" s="10"/>
    </row>
    <row r="694" spans="1:2" x14ac:dyDescent="0.2">
      <c r="A694" s="10"/>
      <c r="B694" s="10"/>
    </row>
    <row r="695" spans="1:2" x14ac:dyDescent="0.2">
      <c r="A695" s="10"/>
      <c r="B695" s="10"/>
    </row>
    <row r="696" spans="1:2" x14ac:dyDescent="0.2">
      <c r="A696" s="10"/>
      <c r="B696" s="10"/>
    </row>
    <row r="697" spans="1:2" x14ac:dyDescent="0.2">
      <c r="A697" s="10"/>
      <c r="B697" s="10"/>
    </row>
    <row r="698" spans="1:2" x14ac:dyDescent="0.2">
      <c r="A698" s="10"/>
      <c r="B698" s="10"/>
    </row>
    <row r="699" spans="1:2" x14ac:dyDescent="0.2">
      <c r="A699" s="10"/>
      <c r="B699" s="10"/>
    </row>
    <row r="700" spans="1:2" x14ac:dyDescent="0.2">
      <c r="A700" s="10"/>
      <c r="B700" s="10"/>
    </row>
    <row r="701" spans="1:2" x14ac:dyDescent="0.2">
      <c r="A701" s="10"/>
      <c r="B701" s="10"/>
    </row>
    <row r="702" spans="1:2" x14ac:dyDescent="0.2">
      <c r="A702" s="10"/>
      <c r="B702" s="10"/>
    </row>
    <row r="703" spans="1:2" x14ac:dyDescent="0.2">
      <c r="A703" s="10"/>
      <c r="B703" s="10"/>
    </row>
    <row r="704" spans="1:2" x14ac:dyDescent="0.2">
      <c r="A704" s="10"/>
      <c r="B704" s="10"/>
    </row>
    <row r="705" spans="1:2" x14ac:dyDescent="0.2">
      <c r="A705" s="10"/>
      <c r="B705" s="10"/>
    </row>
    <row r="706" spans="1:2" x14ac:dyDescent="0.2">
      <c r="A706" s="10"/>
      <c r="B706" s="10"/>
    </row>
    <row r="707" spans="1:2" x14ac:dyDescent="0.2">
      <c r="A707" s="10"/>
      <c r="B707" s="10"/>
    </row>
    <row r="708" spans="1:2" x14ac:dyDescent="0.2">
      <c r="A708" s="10"/>
      <c r="B708" s="10"/>
    </row>
    <row r="709" spans="1:2" x14ac:dyDescent="0.2">
      <c r="A709" s="10"/>
      <c r="B709" s="10"/>
    </row>
    <row r="710" spans="1:2" x14ac:dyDescent="0.2">
      <c r="A710" s="10"/>
      <c r="B710" s="10"/>
    </row>
    <row r="711" spans="1:2" x14ac:dyDescent="0.2">
      <c r="A711" s="10"/>
      <c r="B711" s="10"/>
    </row>
    <row r="712" spans="1:2" x14ac:dyDescent="0.2">
      <c r="A712" s="10"/>
      <c r="B712" s="10"/>
    </row>
    <row r="713" spans="1:2" x14ac:dyDescent="0.2">
      <c r="A713" s="10"/>
      <c r="B713" s="10"/>
    </row>
    <row r="714" spans="1:2" x14ac:dyDescent="0.2">
      <c r="A714" s="10"/>
      <c r="B714" s="10"/>
    </row>
    <row r="715" spans="1:2" x14ac:dyDescent="0.2">
      <c r="A715" s="10"/>
      <c r="B715" s="10"/>
    </row>
    <row r="716" spans="1:2" x14ac:dyDescent="0.2">
      <c r="A716" s="10"/>
      <c r="B716" s="10"/>
    </row>
    <row r="717" spans="1:2" x14ac:dyDescent="0.2">
      <c r="A717" s="10"/>
      <c r="B717" s="10"/>
    </row>
    <row r="718" spans="1:2" x14ac:dyDescent="0.2">
      <c r="A718" s="10"/>
      <c r="B718" s="10"/>
    </row>
    <row r="719" spans="1:2" x14ac:dyDescent="0.2">
      <c r="A719" s="10"/>
      <c r="B719" s="10"/>
    </row>
    <row r="720" spans="1:2" x14ac:dyDescent="0.2">
      <c r="A720" s="10"/>
      <c r="B720" s="10"/>
    </row>
    <row r="721" spans="1:2" x14ac:dyDescent="0.2">
      <c r="A721" s="10"/>
      <c r="B721" s="10"/>
    </row>
    <row r="722" spans="1:2" x14ac:dyDescent="0.2">
      <c r="A722" s="10"/>
      <c r="B722" s="10"/>
    </row>
    <row r="723" spans="1:2" x14ac:dyDescent="0.2">
      <c r="A723" s="10"/>
      <c r="B723" s="10"/>
    </row>
    <row r="724" spans="1:2" x14ac:dyDescent="0.2">
      <c r="A724" s="10"/>
      <c r="B724" s="10"/>
    </row>
    <row r="725" spans="1:2" x14ac:dyDescent="0.2">
      <c r="A725" s="10"/>
      <c r="B725" s="10"/>
    </row>
    <row r="726" spans="1:2" x14ac:dyDescent="0.2">
      <c r="A726" s="10"/>
      <c r="B726" s="10"/>
    </row>
    <row r="727" spans="1:2" x14ac:dyDescent="0.2">
      <c r="A727" s="10"/>
      <c r="B727" s="10"/>
    </row>
    <row r="728" spans="1:2" x14ac:dyDescent="0.2">
      <c r="A728" s="10"/>
      <c r="B728" s="10"/>
    </row>
    <row r="729" spans="1:2" x14ac:dyDescent="0.2">
      <c r="A729" s="10"/>
      <c r="B729" s="10"/>
    </row>
    <row r="730" spans="1:2" x14ac:dyDescent="0.2">
      <c r="A730" s="10"/>
      <c r="B730" s="10"/>
    </row>
    <row r="731" spans="1:2" x14ac:dyDescent="0.2">
      <c r="A731" s="10"/>
      <c r="B731" s="10"/>
    </row>
    <row r="732" spans="1:2" x14ac:dyDescent="0.2">
      <c r="A732" s="10"/>
      <c r="B732" s="10"/>
    </row>
    <row r="733" spans="1:2" x14ac:dyDescent="0.2">
      <c r="A733" s="10"/>
      <c r="B733" s="10"/>
    </row>
    <row r="734" spans="1:2" x14ac:dyDescent="0.2">
      <c r="A734" s="10"/>
      <c r="B734" s="10"/>
    </row>
    <row r="735" spans="1:2" x14ac:dyDescent="0.2">
      <c r="A735" s="10"/>
      <c r="B735" s="10"/>
    </row>
    <row r="736" spans="1:2" x14ac:dyDescent="0.2">
      <c r="A736" s="10"/>
      <c r="B736" s="10"/>
    </row>
    <row r="737" spans="1:2" x14ac:dyDescent="0.2">
      <c r="A737" s="10"/>
      <c r="B737" s="10"/>
    </row>
    <row r="738" spans="1:2" x14ac:dyDescent="0.2">
      <c r="A738" s="10"/>
      <c r="B738" s="10"/>
    </row>
    <row r="739" spans="1:2" x14ac:dyDescent="0.2">
      <c r="A739" s="10"/>
      <c r="B739" s="10"/>
    </row>
    <row r="740" spans="1:2" x14ac:dyDescent="0.2">
      <c r="A740" s="10"/>
      <c r="B740" s="10"/>
    </row>
    <row r="741" spans="1:2" x14ac:dyDescent="0.2">
      <c r="A741" s="10"/>
      <c r="B741" s="10"/>
    </row>
    <row r="742" spans="1:2" x14ac:dyDescent="0.2">
      <c r="A742" s="10"/>
      <c r="B742" s="10"/>
    </row>
    <row r="743" spans="1:2" x14ac:dyDescent="0.2">
      <c r="A743" s="10"/>
      <c r="B743" s="10"/>
    </row>
    <row r="744" spans="1:2" x14ac:dyDescent="0.2">
      <c r="A744" s="10"/>
      <c r="B744" s="10"/>
    </row>
    <row r="745" spans="1:2" x14ac:dyDescent="0.2">
      <c r="A745" s="10"/>
      <c r="B745" s="10"/>
    </row>
    <row r="746" spans="1:2" x14ac:dyDescent="0.2">
      <c r="A746" s="10"/>
      <c r="B746" s="10"/>
    </row>
    <row r="747" spans="1:2" x14ac:dyDescent="0.2">
      <c r="A747" s="10"/>
      <c r="B747" s="10"/>
    </row>
    <row r="748" spans="1:2" x14ac:dyDescent="0.2">
      <c r="A748" s="10"/>
      <c r="B748" s="10"/>
    </row>
    <row r="749" spans="1:2" x14ac:dyDescent="0.2">
      <c r="A749" s="10"/>
      <c r="B749" s="10"/>
    </row>
    <row r="750" spans="1:2" x14ac:dyDescent="0.2">
      <c r="A750" s="10"/>
      <c r="B750" s="10"/>
    </row>
    <row r="751" spans="1:2" x14ac:dyDescent="0.2">
      <c r="A751" s="10"/>
      <c r="B751" s="10"/>
    </row>
    <row r="752" spans="1:2" x14ac:dyDescent="0.2">
      <c r="A752" s="10"/>
      <c r="B752" s="10"/>
    </row>
    <row r="753" spans="1:2" x14ac:dyDescent="0.2">
      <c r="A753" s="10"/>
      <c r="B753" s="10"/>
    </row>
    <row r="754" spans="1:2" x14ac:dyDescent="0.2">
      <c r="A754" s="10"/>
      <c r="B754" s="10"/>
    </row>
    <row r="755" spans="1:2" x14ac:dyDescent="0.2">
      <c r="A755" s="10"/>
      <c r="B755" s="10"/>
    </row>
    <row r="756" spans="1:2" x14ac:dyDescent="0.2">
      <c r="A756" s="10"/>
      <c r="B756" s="10"/>
    </row>
    <row r="757" spans="1:2" x14ac:dyDescent="0.2">
      <c r="A757" s="10"/>
      <c r="B757" s="10"/>
    </row>
    <row r="758" spans="1:2" x14ac:dyDescent="0.2">
      <c r="A758" s="10"/>
      <c r="B758" s="10"/>
    </row>
    <row r="759" spans="1:2" x14ac:dyDescent="0.2">
      <c r="A759" s="10"/>
      <c r="B759" s="10"/>
    </row>
    <row r="760" spans="1:2" x14ac:dyDescent="0.2">
      <c r="A760" s="10"/>
      <c r="B760" s="10"/>
    </row>
    <row r="761" spans="1:2" x14ac:dyDescent="0.2">
      <c r="A761" s="10"/>
      <c r="B761" s="10"/>
    </row>
    <row r="762" spans="1:2" x14ac:dyDescent="0.2">
      <c r="A762" s="10"/>
      <c r="B762" s="10"/>
    </row>
    <row r="763" spans="1:2" x14ac:dyDescent="0.2">
      <c r="A763" s="10"/>
      <c r="B763" s="10"/>
    </row>
    <row r="764" spans="1:2" x14ac:dyDescent="0.2">
      <c r="A764" s="10"/>
      <c r="B764" s="10"/>
    </row>
    <row r="765" spans="1:2" x14ac:dyDescent="0.2">
      <c r="A765" s="10"/>
      <c r="B765" s="10"/>
    </row>
    <row r="766" spans="1:2" x14ac:dyDescent="0.2">
      <c r="A766" s="10"/>
      <c r="B766" s="10"/>
    </row>
    <row r="767" spans="1:2" x14ac:dyDescent="0.2">
      <c r="A767" s="10"/>
      <c r="B767" s="10"/>
    </row>
    <row r="768" spans="1:2" x14ac:dyDescent="0.2">
      <c r="A768" s="10"/>
      <c r="B768" s="10"/>
    </row>
    <row r="769" spans="1:2" x14ac:dyDescent="0.2">
      <c r="A769" s="10"/>
      <c r="B769" s="10"/>
    </row>
    <row r="770" spans="1:2" x14ac:dyDescent="0.2">
      <c r="A770" s="10"/>
      <c r="B770" s="10"/>
    </row>
    <row r="771" spans="1:2" x14ac:dyDescent="0.2">
      <c r="A771" s="10"/>
      <c r="B771" s="10"/>
    </row>
    <row r="772" spans="1:2" x14ac:dyDescent="0.2">
      <c r="A772" s="10"/>
      <c r="B772" s="10"/>
    </row>
    <row r="773" spans="1:2" x14ac:dyDescent="0.2">
      <c r="A773" s="10"/>
      <c r="B773" s="10"/>
    </row>
    <row r="774" spans="1:2" x14ac:dyDescent="0.2">
      <c r="A774" s="10"/>
      <c r="B774" s="10"/>
    </row>
    <row r="775" spans="1:2" x14ac:dyDescent="0.2">
      <c r="A775" s="10"/>
      <c r="B775" s="10"/>
    </row>
    <row r="776" spans="1:2" x14ac:dyDescent="0.2">
      <c r="A776" s="10"/>
      <c r="B776" s="10"/>
    </row>
    <row r="777" spans="1:2" x14ac:dyDescent="0.2">
      <c r="A777" s="10"/>
      <c r="B777" s="10"/>
    </row>
    <row r="778" spans="1:2" x14ac:dyDescent="0.2">
      <c r="A778" s="10"/>
      <c r="B778" s="10"/>
    </row>
    <row r="779" spans="1:2" x14ac:dyDescent="0.2">
      <c r="A779" s="10"/>
      <c r="B779" s="10"/>
    </row>
    <row r="780" spans="1:2" x14ac:dyDescent="0.2">
      <c r="A780" s="10"/>
      <c r="B780" s="10"/>
    </row>
    <row r="781" spans="1:2" x14ac:dyDescent="0.2">
      <c r="A781" s="10"/>
      <c r="B781" s="10"/>
    </row>
    <row r="782" spans="1:2" x14ac:dyDescent="0.2">
      <c r="A782" s="10"/>
      <c r="B782" s="10"/>
    </row>
    <row r="783" spans="1:2" x14ac:dyDescent="0.2">
      <c r="A783" s="10"/>
      <c r="B783" s="10"/>
    </row>
    <row r="784" spans="1:2" x14ac:dyDescent="0.2">
      <c r="A784" s="10"/>
      <c r="B784" s="10"/>
    </row>
    <row r="785" spans="1:2" x14ac:dyDescent="0.2">
      <c r="A785" s="10"/>
      <c r="B785" s="10"/>
    </row>
    <row r="786" spans="1:2" x14ac:dyDescent="0.2">
      <c r="A786" s="10"/>
      <c r="B786" s="10"/>
    </row>
    <row r="787" spans="1:2" x14ac:dyDescent="0.2">
      <c r="A787" s="10"/>
      <c r="B787" s="10"/>
    </row>
    <row r="788" spans="1:2" x14ac:dyDescent="0.2">
      <c r="A788" s="10"/>
      <c r="B788" s="10"/>
    </row>
    <row r="789" spans="1:2" x14ac:dyDescent="0.2">
      <c r="A789" s="10"/>
      <c r="B789" s="10"/>
    </row>
    <row r="790" spans="1:2" x14ac:dyDescent="0.2">
      <c r="A790" s="10"/>
      <c r="B790" s="10"/>
    </row>
    <row r="791" spans="1:2" x14ac:dyDescent="0.2">
      <c r="A791" s="10"/>
      <c r="B791" s="10"/>
    </row>
    <row r="792" spans="1:2" x14ac:dyDescent="0.2">
      <c r="A792" s="10"/>
      <c r="B792" s="10"/>
    </row>
    <row r="793" spans="1:2" x14ac:dyDescent="0.2">
      <c r="A793" s="10"/>
      <c r="B793" s="10"/>
    </row>
    <row r="794" spans="1:2" x14ac:dyDescent="0.2">
      <c r="A794" s="10"/>
      <c r="B794" s="10"/>
    </row>
    <row r="795" spans="1:2" x14ac:dyDescent="0.2">
      <c r="A795" s="10"/>
      <c r="B795" s="10"/>
    </row>
    <row r="796" spans="1:2" x14ac:dyDescent="0.2">
      <c r="A796" s="10"/>
      <c r="B796" s="10"/>
    </row>
    <row r="797" spans="1:2" x14ac:dyDescent="0.2">
      <c r="A797" s="10"/>
      <c r="B797" s="10"/>
    </row>
    <row r="798" spans="1:2" x14ac:dyDescent="0.2">
      <c r="A798" s="10"/>
      <c r="B798" s="10"/>
    </row>
    <row r="799" spans="1:2" x14ac:dyDescent="0.2">
      <c r="A799" s="10"/>
      <c r="B799" s="10"/>
    </row>
    <row r="800" spans="1:2" x14ac:dyDescent="0.2">
      <c r="A800" s="10"/>
      <c r="B800" s="10"/>
    </row>
    <row r="801" spans="1:2" x14ac:dyDescent="0.2">
      <c r="A801" s="10"/>
      <c r="B801" s="10"/>
    </row>
    <row r="802" spans="1:2" x14ac:dyDescent="0.2">
      <c r="A802" s="10"/>
      <c r="B802" s="10"/>
    </row>
    <row r="803" spans="1:2" x14ac:dyDescent="0.2">
      <c r="A803" s="10"/>
      <c r="B803" s="10"/>
    </row>
    <row r="804" spans="1:2" x14ac:dyDescent="0.2">
      <c r="A804" s="10"/>
      <c r="B804" s="10"/>
    </row>
    <row r="805" spans="1:2" x14ac:dyDescent="0.2">
      <c r="A805" s="10"/>
      <c r="B805" s="10"/>
    </row>
    <row r="806" spans="1:2" x14ac:dyDescent="0.2">
      <c r="A806" s="10"/>
      <c r="B806" s="10"/>
    </row>
    <row r="807" spans="1:2" x14ac:dyDescent="0.2">
      <c r="A807" s="10"/>
      <c r="B807" s="10"/>
    </row>
    <row r="808" spans="1:2" x14ac:dyDescent="0.2">
      <c r="A808" s="10"/>
      <c r="B808" s="10"/>
    </row>
    <row r="809" spans="1:2" x14ac:dyDescent="0.2">
      <c r="A809" s="10"/>
      <c r="B809" s="10"/>
    </row>
    <row r="810" spans="1:2" x14ac:dyDescent="0.2">
      <c r="A810" s="10"/>
      <c r="B810" s="10"/>
    </row>
    <row r="811" spans="1:2" x14ac:dyDescent="0.2">
      <c r="A811" s="10"/>
      <c r="B811" s="10"/>
    </row>
    <row r="812" spans="1:2" x14ac:dyDescent="0.2">
      <c r="A812" s="10"/>
      <c r="B812" s="10"/>
    </row>
    <row r="813" spans="1:2" x14ac:dyDescent="0.2">
      <c r="A813" s="10"/>
      <c r="B813" s="10"/>
    </row>
    <row r="814" spans="1:2" x14ac:dyDescent="0.2">
      <c r="A814" s="10"/>
      <c r="B814" s="10"/>
    </row>
    <row r="815" spans="1:2" x14ac:dyDescent="0.2">
      <c r="A815" s="10"/>
      <c r="B815" s="10"/>
    </row>
    <row r="816" spans="1:2" x14ac:dyDescent="0.2">
      <c r="A816" s="10"/>
      <c r="B816" s="10"/>
    </row>
    <row r="817" spans="1:2" x14ac:dyDescent="0.2">
      <c r="A817" s="10"/>
      <c r="B817" s="10"/>
    </row>
    <row r="818" spans="1:2" x14ac:dyDescent="0.2">
      <c r="A818" s="10"/>
      <c r="B818" s="10"/>
    </row>
    <row r="819" spans="1:2" x14ac:dyDescent="0.2">
      <c r="A819" s="10"/>
      <c r="B819" s="10"/>
    </row>
    <row r="820" spans="1:2" x14ac:dyDescent="0.2">
      <c r="A820" s="10"/>
      <c r="B820" s="10"/>
    </row>
    <row r="821" spans="1:2" x14ac:dyDescent="0.2">
      <c r="A821" s="10"/>
      <c r="B821" s="10"/>
    </row>
    <row r="822" spans="1:2" x14ac:dyDescent="0.2">
      <c r="A822" s="10"/>
      <c r="B822" s="10"/>
    </row>
    <row r="823" spans="1:2" x14ac:dyDescent="0.2">
      <c r="A823" s="10"/>
      <c r="B823" s="10"/>
    </row>
    <row r="824" spans="1:2" x14ac:dyDescent="0.2">
      <c r="A824" s="10"/>
      <c r="B824" s="10"/>
    </row>
    <row r="825" spans="1:2" x14ac:dyDescent="0.2">
      <c r="A825" s="10"/>
      <c r="B825" s="10"/>
    </row>
    <row r="826" spans="1:2" x14ac:dyDescent="0.2">
      <c r="A826" s="10"/>
      <c r="B826" s="10"/>
    </row>
    <row r="827" spans="1:2" x14ac:dyDescent="0.2">
      <c r="A827" s="10"/>
      <c r="B827" s="10"/>
    </row>
    <row r="828" spans="1:2" x14ac:dyDescent="0.2">
      <c r="A828" s="10"/>
      <c r="B828" s="10"/>
    </row>
    <row r="829" spans="1:2" x14ac:dyDescent="0.2">
      <c r="A829" s="10"/>
      <c r="B829" s="10"/>
    </row>
    <row r="830" spans="1:2" x14ac:dyDescent="0.2">
      <c r="A830" s="10"/>
      <c r="B830" s="10"/>
    </row>
    <row r="831" spans="1:2" x14ac:dyDescent="0.2">
      <c r="A831" s="10"/>
      <c r="B831" s="10"/>
    </row>
    <row r="832" spans="1:2" x14ac:dyDescent="0.2">
      <c r="A832" s="10"/>
      <c r="B832" s="10"/>
    </row>
    <row r="833" spans="1:2" x14ac:dyDescent="0.2">
      <c r="A833" s="10"/>
      <c r="B833" s="10"/>
    </row>
    <row r="834" spans="1:2" x14ac:dyDescent="0.2">
      <c r="A834" s="10"/>
      <c r="B834" s="10"/>
    </row>
    <row r="835" spans="1:2" x14ac:dyDescent="0.2">
      <c r="A835" s="10"/>
      <c r="B835" s="10"/>
    </row>
    <row r="836" spans="1:2" x14ac:dyDescent="0.2">
      <c r="A836" s="10"/>
      <c r="B836" s="10"/>
    </row>
    <row r="837" spans="1:2" x14ac:dyDescent="0.2">
      <c r="A837" s="10"/>
      <c r="B837" s="10"/>
    </row>
    <row r="838" spans="1:2" x14ac:dyDescent="0.2">
      <c r="A838" s="10"/>
      <c r="B838" s="10"/>
    </row>
    <row r="839" spans="1:2" x14ac:dyDescent="0.2">
      <c r="A839" s="10"/>
      <c r="B839" s="10"/>
    </row>
    <row r="840" spans="1:2" x14ac:dyDescent="0.2">
      <c r="A840" s="10"/>
      <c r="B840" s="10"/>
    </row>
    <row r="841" spans="1:2" x14ac:dyDescent="0.2">
      <c r="A841" s="10"/>
      <c r="B841" s="10"/>
    </row>
    <row r="842" spans="1:2" x14ac:dyDescent="0.2">
      <c r="A842" s="10"/>
      <c r="B842" s="10"/>
    </row>
    <row r="843" spans="1:2" x14ac:dyDescent="0.2">
      <c r="A843" s="10"/>
      <c r="B843" s="10"/>
    </row>
    <row r="844" spans="1:2" x14ac:dyDescent="0.2">
      <c r="A844" s="10"/>
      <c r="B844" s="10"/>
    </row>
    <row r="845" spans="1:2" x14ac:dyDescent="0.2">
      <c r="A845" s="10"/>
      <c r="B845" s="10"/>
    </row>
    <row r="846" spans="1:2" x14ac:dyDescent="0.2">
      <c r="A846" s="10"/>
      <c r="B846" s="10"/>
    </row>
    <row r="847" spans="1:2" x14ac:dyDescent="0.2">
      <c r="A847" s="10"/>
      <c r="B847" s="10"/>
    </row>
    <row r="848" spans="1:2" x14ac:dyDescent="0.2">
      <c r="A848" s="10"/>
      <c r="B848" s="10"/>
    </row>
    <row r="849" spans="1:2" x14ac:dyDescent="0.2">
      <c r="A849" s="10"/>
      <c r="B849" s="10"/>
    </row>
    <row r="850" spans="1:2" x14ac:dyDescent="0.2">
      <c r="A850" s="10"/>
      <c r="B850" s="10"/>
    </row>
    <row r="851" spans="1:2" x14ac:dyDescent="0.2">
      <c r="A851" s="10"/>
      <c r="B851" s="10"/>
    </row>
    <row r="852" spans="1:2" x14ac:dyDescent="0.2">
      <c r="A852" s="10"/>
      <c r="B852" s="10"/>
    </row>
    <row r="853" spans="1:2" x14ac:dyDescent="0.2">
      <c r="A853" s="10"/>
      <c r="B853" s="10"/>
    </row>
    <row r="854" spans="1:2" x14ac:dyDescent="0.2">
      <c r="A854" s="10"/>
      <c r="B854" s="10"/>
    </row>
    <row r="855" spans="1:2" x14ac:dyDescent="0.2">
      <c r="A855" s="10"/>
      <c r="B855" s="10"/>
    </row>
    <row r="856" spans="1:2" x14ac:dyDescent="0.2">
      <c r="A856" s="10"/>
      <c r="B856" s="10"/>
    </row>
    <row r="857" spans="1:2" x14ac:dyDescent="0.2">
      <c r="A857" s="10"/>
      <c r="B857" s="10"/>
    </row>
    <row r="858" spans="1:2" x14ac:dyDescent="0.2">
      <c r="A858" s="10"/>
      <c r="B858" s="10"/>
    </row>
    <row r="859" spans="1:2" x14ac:dyDescent="0.2">
      <c r="A859" s="10"/>
      <c r="B859" s="10"/>
    </row>
    <row r="860" spans="1:2" x14ac:dyDescent="0.2">
      <c r="A860" s="10"/>
      <c r="B860" s="10"/>
    </row>
    <row r="861" spans="1:2" x14ac:dyDescent="0.2">
      <c r="A861" s="10"/>
      <c r="B861" s="10"/>
    </row>
    <row r="862" spans="1:2" x14ac:dyDescent="0.2">
      <c r="A862" s="10"/>
      <c r="B862" s="10"/>
    </row>
    <row r="863" spans="1:2" x14ac:dyDescent="0.2">
      <c r="A863" s="10"/>
      <c r="B863" s="10"/>
    </row>
    <row r="864" spans="1:2" x14ac:dyDescent="0.2">
      <c r="A864" s="10"/>
      <c r="B864" s="10"/>
    </row>
    <row r="865" spans="1:2" x14ac:dyDescent="0.2">
      <c r="A865" s="10"/>
      <c r="B865" s="10"/>
    </row>
    <row r="866" spans="1:2" x14ac:dyDescent="0.2">
      <c r="A866" s="10"/>
      <c r="B866" s="10"/>
    </row>
    <row r="867" spans="1:2" x14ac:dyDescent="0.2">
      <c r="A867" s="10"/>
      <c r="B867" s="10"/>
    </row>
    <row r="868" spans="1:2" x14ac:dyDescent="0.2">
      <c r="A868" s="10"/>
      <c r="B868" s="10"/>
    </row>
    <row r="869" spans="1:2" x14ac:dyDescent="0.2">
      <c r="A869" s="10"/>
      <c r="B869" s="10"/>
    </row>
    <row r="870" spans="1:2" x14ac:dyDescent="0.2">
      <c r="A870" s="10"/>
      <c r="B870" s="10"/>
    </row>
    <row r="871" spans="1:2" x14ac:dyDescent="0.2">
      <c r="A871" s="10"/>
      <c r="B871" s="10"/>
    </row>
    <row r="872" spans="1:2" x14ac:dyDescent="0.2">
      <c r="A872" s="10"/>
      <c r="B872" s="10"/>
    </row>
    <row r="873" spans="1:2" x14ac:dyDescent="0.2">
      <c r="A873" s="10"/>
      <c r="B873" s="10"/>
    </row>
    <row r="874" spans="1:2" x14ac:dyDescent="0.2">
      <c r="A874" s="10"/>
      <c r="B874" s="10"/>
    </row>
    <row r="875" spans="1:2" x14ac:dyDescent="0.2">
      <c r="A875" s="10"/>
      <c r="B875" s="10"/>
    </row>
    <row r="876" spans="1:2" x14ac:dyDescent="0.2">
      <c r="A876" s="10"/>
      <c r="B876" s="10"/>
    </row>
    <row r="877" spans="1:2" x14ac:dyDescent="0.2">
      <c r="A877" s="10"/>
      <c r="B877" s="10"/>
    </row>
    <row r="878" spans="1:2" x14ac:dyDescent="0.2">
      <c r="A878" s="10"/>
      <c r="B878" s="10"/>
    </row>
    <row r="879" spans="1:2" x14ac:dyDescent="0.2">
      <c r="A879" s="10"/>
      <c r="B879" s="10"/>
    </row>
    <row r="880" spans="1:2" x14ac:dyDescent="0.2">
      <c r="A880" s="10"/>
      <c r="B880" s="10"/>
    </row>
    <row r="881" spans="1:2" x14ac:dyDescent="0.2">
      <c r="A881" s="10"/>
      <c r="B881" s="10"/>
    </row>
    <row r="882" spans="1:2" x14ac:dyDescent="0.2">
      <c r="A882" s="10"/>
      <c r="B882" s="10"/>
    </row>
    <row r="883" spans="1:2" x14ac:dyDescent="0.2">
      <c r="A883" s="10"/>
      <c r="B883" s="10"/>
    </row>
    <row r="884" spans="1:2" x14ac:dyDescent="0.2">
      <c r="A884" s="10"/>
      <c r="B884" s="10"/>
    </row>
    <row r="885" spans="1:2" x14ac:dyDescent="0.2">
      <c r="A885" s="10"/>
      <c r="B885" s="10"/>
    </row>
    <row r="886" spans="1:2" x14ac:dyDescent="0.2">
      <c r="A886" s="10"/>
      <c r="B886" s="10"/>
    </row>
    <row r="887" spans="1:2" x14ac:dyDescent="0.2">
      <c r="A887" s="10"/>
      <c r="B887" s="10"/>
    </row>
    <row r="888" spans="1:2" x14ac:dyDescent="0.2">
      <c r="A888" s="10"/>
      <c r="B888" s="10"/>
    </row>
    <row r="889" spans="1:2" x14ac:dyDescent="0.2">
      <c r="A889" s="10"/>
      <c r="B889" s="10"/>
    </row>
    <row r="890" spans="1:2" x14ac:dyDescent="0.2">
      <c r="A890" s="10"/>
      <c r="B890" s="10"/>
    </row>
    <row r="891" spans="1:2" x14ac:dyDescent="0.2">
      <c r="A891" s="10"/>
      <c r="B891" s="10"/>
    </row>
    <row r="892" spans="1:2" x14ac:dyDescent="0.2">
      <c r="A892" s="10"/>
      <c r="B892" s="10"/>
    </row>
    <row r="893" spans="1:2" x14ac:dyDescent="0.2">
      <c r="A893" s="10"/>
      <c r="B893" s="10"/>
    </row>
    <row r="894" spans="1:2" x14ac:dyDescent="0.2">
      <c r="A894" s="10"/>
      <c r="B894" s="10"/>
    </row>
    <row r="895" spans="1:2" x14ac:dyDescent="0.2">
      <c r="A895" s="10"/>
      <c r="B895" s="10"/>
    </row>
    <row r="896" spans="1:2" x14ac:dyDescent="0.2">
      <c r="A896" s="10"/>
      <c r="B896" s="10"/>
    </row>
    <row r="897" spans="1:2" x14ac:dyDescent="0.2">
      <c r="A897" s="10"/>
      <c r="B897" s="10"/>
    </row>
    <row r="898" spans="1:2" x14ac:dyDescent="0.2">
      <c r="A898" s="10"/>
      <c r="B898" s="10"/>
    </row>
    <row r="899" spans="1:2" x14ac:dyDescent="0.2">
      <c r="A899" s="10"/>
      <c r="B899" s="10"/>
    </row>
    <row r="900" spans="1:2" x14ac:dyDescent="0.2">
      <c r="A900" s="10"/>
      <c r="B900" s="10"/>
    </row>
    <row r="901" spans="1:2" x14ac:dyDescent="0.2">
      <c r="A901" s="10"/>
      <c r="B901" s="10"/>
    </row>
    <row r="902" spans="1:2" x14ac:dyDescent="0.2">
      <c r="A902" s="10"/>
      <c r="B902" s="10"/>
    </row>
    <row r="903" spans="1:2" x14ac:dyDescent="0.2">
      <c r="A903" s="10"/>
      <c r="B903" s="10"/>
    </row>
    <row r="904" spans="1:2" x14ac:dyDescent="0.2">
      <c r="A904" s="10"/>
      <c r="B904" s="10"/>
    </row>
    <row r="905" spans="1:2" x14ac:dyDescent="0.2">
      <c r="A905" s="10"/>
      <c r="B905" s="10"/>
    </row>
    <row r="906" spans="1:2" x14ac:dyDescent="0.2">
      <c r="A906" s="10"/>
      <c r="B906" s="10"/>
    </row>
    <row r="907" spans="1:2" x14ac:dyDescent="0.2">
      <c r="A907" s="10"/>
      <c r="B907" s="10"/>
    </row>
    <row r="908" spans="1:2" x14ac:dyDescent="0.2">
      <c r="A908" s="10"/>
      <c r="B908" s="10"/>
    </row>
    <row r="909" spans="1:2" x14ac:dyDescent="0.2">
      <c r="A909" s="10"/>
      <c r="B909" s="10"/>
    </row>
    <row r="910" spans="1:2" x14ac:dyDescent="0.2">
      <c r="A910" s="10"/>
      <c r="B910" s="10"/>
    </row>
    <row r="911" spans="1:2" x14ac:dyDescent="0.2">
      <c r="A911" s="10"/>
      <c r="B911" s="10"/>
    </row>
    <row r="912" spans="1:2" x14ac:dyDescent="0.2">
      <c r="A912" s="10"/>
      <c r="B912" s="10"/>
    </row>
    <row r="913" spans="1:2" x14ac:dyDescent="0.2">
      <c r="A913" s="10"/>
      <c r="B913" s="10"/>
    </row>
    <row r="914" spans="1:2" x14ac:dyDescent="0.2">
      <c r="A914" s="10"/>
      <c r="B914" s="10"/>
    </row>
    <row r="915" spans="1:2" x14ac:dyDescent="0.2">
      <c r="A915" s="10"/>
      <c r="B915" s="10"/>
    </row>
    <row r="916" spans="1:2" x14ac:dyDescent="0.2">
      <c r="A916" s="10"/>
      <c r="B916" s="10"/>
    </row>
    <row r="917" spans="1:2" x14ac:dyDescent="0.2">
      <c r="A917" s="10"/>
      <c r="B917" s="10"/>
    </row>
    <row r="918" spans="1:2" x14ac:dyDescent="0.2">
      <c r="A918" s="10"/>
      <c r="B918" s="10"/>
    </row>
    <row r="919" spans="1:2" x14ac:dyDescent="0.2">
      <c r="A919" s="10"/>
      <c r="B919" s="10"/>
    </row>
    <row r="920" spans="1:2" x14ac:dyDescent="0.2">
      <c r="A920" s="10"/>
      <c r="B920" s="10"/>
    </row>
    <row r="921" spans="1:2" x14ac:dyDescent="0.2">
      <c r="A921" s="10"/>
      <c r="B921" s="10"/>
    </row>
    <row r="922" spans="1:2" x14ac:dyDescent="0.2">
      <c r="A922" s="10"/>
      <c r="B922" s="10"/>
    </row>
    <row r="923" spans="1:2" x14ac:dyDescent="0.2">
      <c r="A923" s="10"/>
      <c r="B923" s="10"/>
    </row>
    <row r="924" spans="1:2" x14ac:dyDescent="0.2">
      <c r="A924" s="10"/>
      <c r="B924" s="10"/>
    </row>
    <row r="925" spans="1:2" x14ac:dyDescent="0.2">
      <c r="A925" s="10"/>
      <c r="B925" s="10"/>
    </row>
    <row r="926" spans="1:2" x14ac:dyDescent="0.2">
      <c r="A926" s="10"/>
      <c r="B926" s="10"/>
    </row>
    <row r="927" spans="1:2" x14ac:dyDescent="0.2">
      <c r="A927" s="10"/>
      <c r="B927" s="10"/>
    </row>
    <row r="928" spans="1:2" x14ac:dyDescent="0.2">
      <c r="A928" s="10"/>
      <c r="B928" s="10"/>
    </row>
    <row r="929" spans="1:2" x14ac:dyDescent="0.2">
      <c r="A929" s="10"/>
      <c r="B929" s="10"/>
    </row>
    <row r="930" spans="1:2" x14ac:dyDescent="0.2">
      <c r="A930" s="10"/>
      <c r="B930" s="10"/>
    </row>
    <row r="931" spans="1:2" x14ac:dyDescent="0.2">
      <c r="A931" s="10"/>
      <c r="B931" s="10"/>
    </row>
    <row r="932" spans="1:2" x14ac:dyDescent="0.2">
      <c r="A932" s="10"/>
      <c r="B932" s="10"/>
    </row>
    <row r="933" spans="1:2" x14ac:dyDescent="0.2">
      <c r="A933" s="10"/>
      <c r="B933" s="10"/>
    </row>
    <row r="934" spans="1:2" x14ac:dyDescent="0.2">
      <c r="A934" s="10"/>
      <c r="B934" s="10"/>
    </row>
    <row r="935" spans="1:2" x14ac:dyDescent="0.2">
      <c r="A935" s="10"/>
      <c r="B935" s="10"/>
    </row>
    <row r="936" spans="1:2" x14ac:dyDescent="0.2">
      <c r="A936" s="10"/>
      <c r="B936" s="10"/>
    </row>
    <row r="937" spans="1:2" x14ac:dyDescent="0.2">
      <c r="A937" s="10"/>
      <c r="B937" s="10"/>
    </row>
    <row r="938" spans="1:2" x14ac:dyDescent="0.2">
      <c r="A938" s="10"/>
      <c r="B938" s="10"/>
    </row>
    <row r="939" spans="1:2" x14ac:dyDescent="0.2">
      <c r="A939" s="10"/>
      <c r="B939" s="10"/>
    </row>
    <row r="940" spans="1:2" x14ac:dyDescent="0.2">
      <c r="A940" s="10"/>
      <c r="B940" s="10"/>
    </row>
    <row r="941" spans="1:2" x14ac:dyDescent="0.2">
      <c r="A941" s="10"/>
      <c r="B941" s="10"/>
    </row>
    <row r="942" spans="1:2" x14ac:dyDescent="0.2">
      <c r="A942" s="10"/>
      <c r="B942" s="10"/>
    </row>
    <row r="943" spans="1:2" x14ac:dyDescent="0.2">
      <c r="A943" s="10"/>
      <c r="B943" s="10"/>
    </row>
    <row r="944" spans="1:2" x14ac:dyDescent="0.2">
      <c r="A944" s="10"/>
      <c r="B944" s="10"/>
    </row>
    <row r="945" spans="1:2" x14ac:dyDescent="0.2">
      <c r="A945" s="10"/>
      <c r="B945" s="10"/>
    </row>
    <row r="946" spans="1:2" x14ac:dyDescent="0.2">
      <c r="A946" s="10"/>
      <c r="B946" s="10"/>
    </row>
    <row r="947" spans="1:2" x14ac:dyDescent="0.2">
      <c r="A947" s="10"/>
      <c r="B947" s="10"/>
    </row>
    <row r="948" spans="1:2" x14ac:dyDescent="0.2">
      <c r="A948" s="10"/>
      <c r="B948" s="10"/>
    </row>
    <row r="949" spans="1:2" x14ac:dyDescent="0.2">
      <c r="A949" s="10"/>
      <c r="B949" s="10"/>
    </row>
    <row r="950" spans="1:2" x14ac:dyDescent="0.2">
      <c r="A950" s="10"/>
      <c r="B950" s="10"/>
    </row>
    <row r="951" spans="1:2" x14ac:dyDescent="0.2">
      <c r="A951" s="10"/>
      <c r="B951" s="10"/>
    </row>
    <row r="952" spans="1:2" x14ac:dyDescent="0.2">
      <c r="A952" s="10"/>
      <c r="B952" s="10"/>
    </row>
    <row r="953" spans="1:2" x14ac:dyDescent="0.2">
      <c r="A953" s="10"/>
      <c r="B953" s="10"/>
    </row>
    <row r="954" spans="1:2" x14ac:dyDescent="0.2">
      <c r="A954" s="10"/>
      <c r="B954" s="10"/>
    </row>
    <row r="955" spans="1:2" x14ac:dyDescent="0.2">
      <c r="A955" s="10"/>
      <c r="B955" s="10"/>
    </row>
    <row r="956" spans="1:2" x14ac:dyDescent="0.2">
      <c r="A956" s="10"/>
      <c r="B956" s="10"/>
    </row>
    <row r="957" spans="1:2" x14ac:dyDescent="0.2">
      <c r="A957" s="10"/>
      <c r="B957" s="10"/>
    </row>
    <row r="958" spans="1:2" x14ac:dyDescent="0.2">
      <c r="A958" s="10"/>
      <c r="B958" s="10"/>
    </row>
    <row r="959" spans="1:2" x14ac:dyDescent="0.2">
      <c r="A959" s="10"/>
      <c r="B959" s="10"/>
    </row>
    <row r="960" spans="1:2" x14ac:dyDescent="0.2">
      <c r="A960" s="10"/>
      <c r="B960" s="10"/>
    </row>
    <row r="961" spans="1:2" x14ac:dyDescent="0.2">
      <c r="A961" s="10"/>
      <c r="B961" s="10"/>
    </row>
    <row r="962" spans="1:2" x14ac:dyDescent="0.2">
      <c r="A962" s="10"/>
      <c r="B962" s="10"/>
    </row>
    <row r="963" spans="1:2" x14ac:dyDescent="0.2">
      <c r="A963" s="10"/>
      <c r="B963" s="10"/>
    </row>
    <row r="964" spans="1:2" x14ac:dyDescent="0.2">
      <c r="A964" s="10"/>
      <c r="B964" s="10"/>
    </row>
    <row r="965" spans="1:2" x14ac:dyDescent="0.2">
      <c r="A965" s="10"/>
      <c r="B965" s="10"/>
    </row>
    <row r="966" spans="1:2" x14ac:dyDescent="0.2">
      <c r="A966" s="10"/>
      <c r="B966" s="10"/>
    </row>
    <row r="967" spans="1:2" x14ac:dyDescent="0.2">
      <c r="A967" s="10"/>
      <c r="B967" s="10"/>
    </row>
    <row r="968" spans="1:2" x14ac:dyDescent="0.2">
      <c r="A968" s="10"/>
      <c r="B968" s="10"/>
    </row>
    <row r="969" spans="1:2" x14ac:dyDescent="0.2">
      <c r="A969" s="10"/>
      <c r="B969" s="10"/>
    </row>
    <row r="970" spans="1:2" x14ac:dyDescent="0.2">
      <c r="A970" s="10"/>
      <c r="B970" s="10"/>
    </row>
    <row r="971" spans="1:2" x14ac:dyDescent="0.2">
      <c r="A971" s="10"/>
      <c r="B971" s="10"/>
    </row>
    <row r="972" spans="1:2" x14ac:dyDescent="0.2">
      <c r="A972" s="10"/>
      <c r="B972" s="10"/>
    </row>
    <row r="973" spans="1:2" x14ac:dyDescent="0.2">
      <c r="A973" s="10"/>
      <c r="B973" s="10"/>
    </row>
    <row r="974" spans="1:2" x14ac:dyDescent="0.2">
      <c r="A974" s="10"/>
      <c r="B974" s="10"/>
    </row>
    <row r="975" spans="1:2" x14ac:dyDescent="0.2">
      <c r="A975" s="10"/>
      <c r="B975" s="10"/>
    </row>
    <row r="976" spans="1:2" x14ac:dyDescent="0.2">
      <c r="A976" s="10"/>
      <c r="B976" s="10"/>
    </row>
    <row r="977" spans="1:2" x14ac:dyDescent="0.2">
      <c r="A977" s="10"/>
      <c r="B977" s="10"/>
    </row>
    <row r="978" spans="1:2" x14ac:dyDescent="0.2">
      <c r="A978" s="10"/>
      <c r="B978" s="10"/>
    </row>
    <row r="979" spans="1:2" x14ac:dyDescent="0.2">
      <c r="A979" s="10"/>
      <c r="B979" s="10"/>
    </row>
    <row r="980" spans="1:2" x14ac:dyDescent="0.2">
      <c r="A980" s="10"/>
      <c r="B980" s="10"/>
    </row>
    <row r="981" spans="1:2" x14ac:dyDescent="0.2">
      <c r="A981" s="10"/>
      <c r="B981" s="1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6"/>
  <sheetViews>
    <sheetView workbookViewId="0"/>
  </sheetViews>
  <sheetFormatPr defaultColWidth="12.5703125" defaultRowHeight="15.75" customHeight="1" x14ac:dyDescent="0.2"/>
  <cols>
    <col min="9" max="9" width="20.28515625" customWidth="1"/>
  </cols>
  <sheetData>
    <row r="1" spans="1:9" ht="15.75" customHeight="1" x14ac:dyDescent="0.3">
      <c r="A1" s="8" t="s">
        <v>3736</v>
      </c>
      <c r="B1" s="8" t="s">
        <v>3737</v>
      </c>
      <c r="C1" s="8" t="s">
        <v>3738</v>
      </c>
      <c r="D1" s="8" t="s">
        <v>3739</v>
      </c>
      <c r="E1" s="8" t="s">
        <v>3740</v>
      </c>
      <c r="F1" s="8" t="s">
        <v>3741</v>
      </c>
      <c r="G1" s="8" t="s">
        <v>3740</v>
      </c>
      <c r="H1" s="8" t="s">
        <v>3742</v>
      </c>
      <c r="I1" s="29" t="s">
        <v>3743</v>
      </c>
    </row>
    <row r="2" spans="1:9" ht="12.75" x14ac:dyDescent="0.2">
      <c r="A2" s="4" t="s">
        <v>506</v>
      </c>
      <c r="B2" s="4" t="s">
        <v>507</v>
      </c>
      <c r="D2" s="4">
        <v>90.97984962406025</v>
      </c>
      <c r="E2" s="4">
        <v>90.198897058823619</v>
      </c>
      <c r="F2" s="4">
        <v>88.641492537313511</v>
      </c>
      <c r="G2" s="4">
        <v>69.081686746988069</v>
      </c>
      <c r="H2" s="4">
        <v>75.631528384279633</v>
      </c>
      <c r="I2" s="8" t="s">
        <v>3736</v>
      </c>
    </row>
    <row r="3" spans="1:9" ht="12.75" x14ac:dyDescent="0.2">
      <c r="A3" s="4" t="s">
        <v>508</v>
      </c>
      <c r="B3" s="4" t="s">
        <v>509</v>
      </c>
      <c r="D3" s="4">
        <v>4.944042553191494</v>
      </c>
      <c r="E3" s="4">
        <v>4.9691291291291337</v>
      </c>
      <c r="F3" s="4">
        <v>4.9547590361445835</v>
      </c>
      <c r="G3" s="4">
        <v>4.9912643678160968</v>
      </c>
      <c r="H3" s="4">
        <v>5.0581643835616488</v>
      </c>
      <c r="I3" s="8" t="s">
        <v>3736</v>
      </c>
    </row>
    <row r="4" spans="1:9" ht="12.75" x14ac:dyDescent="0.2">
      <c r="A4" s="4" t="s">
        <v>510</v>
      </c>
      <c r="B4" s="4" t="s">
        <v>511</v>
      </c>
      <c r="D4" s="4">
        <v>684.91664233576716</v>
      </c>
      <c r="E4" s="4">
        <v>684.91664233576716</v>
      </c>
      <c r="F4" s="4">
        <v>684.91664233576716</v>
      </c>
      <c r="G4" s="4">
        <v>271.3</v>
      </c>
      <c r="H4" s="4">
        <v>271.3</v>
      </c>
    </row>
    <row r="5" spans="1:9" ht="12.75" x14ac:dyDescent="0.2">
      <c r="A5" s="4" t="s">
        <v>512</v>
      </c>
      <c r="B5" s="4" t="s">
        <v>513</v>
      </c>
      <c r="D5" s="4">
        <v>150.8568678160922</v>
      </c>
      <c r="E5" s="4">
        <v>151.42312500000023</v>
      </c>
      <c r="F5" s="4">
        <v>158.9859142857143</v>
      </c>
      <c r="G5" s="4">
        <v>157.69655826558281</v>
      </c>
      <c r="H5" s="4">
        <v>167.82742930591263</v>
      </c>
      <c r="I5" s="8" t="s">
        <v>3736</v>
      </c>
    </row>
    <row r="6" spans="1:9" ht="12.75" x14ac:dyDescent="0.2">
      <c r="A6" s="4" t="s">
        <v>514</v>
      </c>
      <c r="B6" s="4" t="s">
        <v>515</v>
      </c>
      <c r="D6" s="4">
        <v>911.34866855524149</v>
      </c>
      <c r="E6" s="4">
        <v>922.53969187675136</v>
      </c>
      <c r="F6" s="4">
        <v>756.28791549295727</v>
      </c>
      <c r="G6" s="4">
        <v>166.86836065573766</v>
      </c>
      <c r="H6" s="4">
        <v>164.29580645161295</v>
      </c>
    </row>
    <row r="7" spans="1:9" ht="12.75" x14ac:dyDescent="0.2">
      <c r="A7" s="4" t="s">
        <v>560</v>
      </c>
      <c r="B7" s="4" t="s">
        <v>561</v>
      </c>
      <c r="D7" s="4">
        <v>1876.9935714285714</v>
      </c>
      <c r="E7" s="4">
        <v>1876.9935714285714</v>
      </c>
      <c r="F7" s="4">
        <v>1876.9935714285714</v>
      </c>
      <c r="G7" s="4">
        <v>1687.1899999999996</v>
      </c>
      <c r="H7" s="4">
        <v>1745.3134999999997</v>
      </c>
      <c r="I7" s="8" t="s">
        <v>3736</v>
      </c>
    </row>
    <row r="8" spans="1:9" ht="12.75" x14ac:dyDescent="0.2">
      <c r="A8" s="4" t="s">
        <v>516</v>
      </c>
      <c r="B8" s="4" t="s">
        <v>562</v>
      </c>
      <c r="F8" s="4">
        <v>133.51625786163507</v>
      </c>
      <c r="G8" s="4">
        <v>2.7856896551724106</v>
      </c>
      <c r="H8" s="4">
        <v>2.9964888888888859</v>
      </c>
      <c r="I8" s="8" t="s">
        <v>3736</v>
      </c>
    </row>
    <row r="9" spans="1:9" ht="12.75" x14ac:dyDescent="0.2">
      <c r="A9" s="4" t="s">
        <v>517</v>
      </c>
      <c r="B9" s="4" t="s">
        <v>518</v>
      </c>
      <c r="D9" s="4">
        <v>212.33497942386862</v>
      </c>
      <c r="E9" s="4">
        <v>239.19999999999979</v>
      </c>
      <c r="F9" s="4">
        <v>239.19999999999985</v>
      </c>
      <c r="G9" s="4">
        <v>3.6800000000000015</v>
      </c>
      <c r="H9" s="4">
        <v>3.6800000000000015</v>
      </c>
    </row>
    <row r="10" spans="1:9" ht="12.75" x14ac:dyDescent="0.2">
      <c r="A10" s="4" t="s">
        <v>554</v>
      </c>
      <c r="B10" s="4" t="s">
        <v>555</v>
      </c>
      <c r="D10" s="4">
        <v>136.41999999999999</v>
      </c>
      <c r="E10" s="4">
        <v>136.41999999999999</v>
      </c>
      <c r="F10" s="4">
        <v>136.41999999999999</v>
      </c>
      <c r="G10" s="4">
        <v>136.41999999999999</v>
      </c>
      <c r="H10" s="4">
        <v>136.41999999999999</v>
      </c>
      <c r="I10" s="8" t="s">
        <v>3736</v>
      </c>
    </row>
    <row r="11" spans="1:9" ht="12.75" x14ac:dyDescent="0.2">
      <c r="A11" s="4" t="s">
        <v>550</v>
      </c>
      <c r="B11" s="4" t="s">
        <v>551</v>
      </c>
      <c r="D11" s="4">
        <v>151.83000000000001</v>
      </c>
      <c r="E11" s="4">
        <v>151.83000000000001</v>
      </c>
      <c r="F11" s="4">
        <v>151.83000000000001</v>
      </c>
      <c r="G11" s="4">
        <v>151.83000000000001</v>
      </c>
      <c r="H11" s="4">
        <v>151.83000000000001</v>
      </c>
    </row>
    <row r="12" spans="1:9" ht="12.75" x14ac:dyDescent="0.2">
      <c r="A12" s="4" t="s">
        <v>519</v>
      </c>
      <c r="B12" s="4" t="s">
        <v>520</v>
      </c>
      <c r="D12" s="4">
        <v>658.87356321838979</v>
      </c>
      <c r="E12" s="4">
        <v>655.35133522727165</v>
      </c>
      <c r="F12" s="4">
        <v>656.16382857142753</v>
      </c>
      <c r="G12" s="4">
        <v>27.958307692307695</v>
      </c>
      <c r="H12" s="4">
        <v>39.930404040404028</v>
      </c>
    </row>
    <row r="13" spans="1:9" ht="12.75" x14ac:dyDescent="0.2">
      <c r="A13" s="4" t="s">
        <v>521</v>
      </c>
      <c r="B13" s="4" t="s">
        <v>522</v>
      </c>
      <c r="D13" s="4">
        <v>768.00810734463244</v>
      </c>
      <c r="E13" s="4">
        <v>760.74667597765347</v>
      </c>
      <c r="F13" s="4">
        <v>760.85522471910087</v>
      </c>
      <c r="G13" s="4">
        <v>259.03067567567541</v>
      </c>
      <c r="H13" s="4">
        <v>169.52942492012787</v>
      </c>
    </row>
    <row r="14" spans="1:9" ht="12.75" x14ac:dyDescent="0.2">
      <c r="A14" s="4" t="s">
        <v>523</v>
      </c>
      <c r="B14" s="4" t="s">
        <v>524</v>
      </c>
      <c r="D14" s="4">
        <v>94.535523809523852</v>
      </c>
      <c r="E14" s="4">
        <v>95.26305164319254</v>
      </c>
      <c r="F14" s="4">
        <v>90.658672985782061</v>
      </c>
      <c r="G14" s="4">
        <v>96.731238938053224</v>
      </c>
      <c r="H14" s="4">
        <v>117.90315573770511</v>
      </c>
      <c r="I14" s="8" t="s">
        <v>3736</v>
      </c>
    </row>
    <row r="15" spans="1:9" ht="12.75" x14ac:dyDescent="0.2">
      <c r="A15" s="4" t="s">
        <v>548</v>
      </c>
      <c r="B15" s="4" t="s">
        <v>549</v>
      </c>
      <c r="D15" s="4">
        <v>14.019999999999998</v>
      </c>
      <c r="E15" s="4">
        <v>14.019999999999998</v>
      </c>
      <c r="F15" s="4">
        <v>14.019999999999998</v>
      </c>
      <c r="G15" s="4">
        <v>14.019999999999998</v>
      </c>
      <c r="H15" s="4">
        <v>14.019999999999998</v>
      </c>
      <c r="I15" s="8" t="s">
        <v>3736</v>
      </c>
    </row>
    <row r="16" spans="1:9" ht="12.75" x14ac:dyDescent="0.2">
      <c r="A16" s="4" t="s">
        <v>544</v>
      </c>
      <c r="B16" s="4" t="s">
        <v>545</v>
      </c>
      <c r="D16" s="4">
        <v>1531.6588461538477</v>
      </c>
      <c r="E16" s="4">
        <v>1532.7650909090926</v>
      </c>
      <c r="F16" s="4">
        <v>1542.5998113207563</v>
      </c>
      <c r="G16" s="4">
        <v>815.61</v>
      </c>
      <c r="H16" s="4">
        <v>815.61</v>
      </c>
    </row>
    <row r="17" spans="1:9" ht="12.75" x14ac:dyDescent="0.2">
      <c r="A17" s="4" t="s">
        <v>525</v>
      </c>
      <c r="B17" s="4" t="s">
        <v>526</v>
      </c>
      <c r="D17" s="4">
        <v>171.70541666666662</v>
      </c>
      <c r="E17" s="4">
        <v>174.07082539682534</v>
      </c>
      <c r="F17" s="4">
        <v>187.42846645367334</v>
      </c>
      <c r="G17" s="4">
        <v>269.24725903614365</v>
      </c>
      <c r="H17" s="4">
        <v>285.16625000000016</v>
      </c>
      <c r="I17" s="8" t="s">
        <v>3736</v>
      </c>
    </row>
    <row r="18" spans="1:9" ht="12.75" x14ac:dyDescent="0.2">
      <c r="A18" s="4" t="s">
        <v>556</v>
      </c>
      <c r="B18" s="4" t="s">
        <v>557</v>
      </c>
      <c r="D18" s="4">
        <v>1452.24</v>
      </c>
      <c r="E18" s="4">
        <v>1452.24</v>
      </c>
      <c r="F18" s="4">
        <v>775.63</v>
      </c>
      <c r="G18" s="4">
        <v>1067.5899999999999</v>
      </c>
      <c r="H18" s="4">
        <v>1067.5899999999999</v>
      </c>
    </row>
    <row r="19" spans="1:9" ht="12.75" x14ac:dyDescent="0.2">
      <c r="A19" s="4" t="s">
        <v>540</v>
      </c>
      <c r="B19" s="4" t="s">
        <v>541</v>
      </c>
      <c r="D19" s="4">
        <v>4.3239655172413753</v>
      </c>
      <c r="E19" s="4">
        <v>4.3239655172413753</v>
      </c>
      <c r="F19" s="4">
        <v>4.3239655172413753</v>
      </c>
      <c r="G19" s="4">
        <v>4.3181355932203349</v>
      </c>
      <c r="H19" s="4">
        <v>4.3070491803278657</v>
      </c>
      <c r="I19" s="8" t="s">
        <v>3736</v>
      </c>
    </row>
    <row r="20" spans="1:9" ht="12.75" x14ac:dyDescent="0.2">
      <c r="A20" s="4" t="s">
        <v>558</v>
      </c>
      <c r="B20" s="4" t="s">
        <v>559</v>
      </c>
      <c r="D20" s="4">
        <v>2051.8404761904758</v>
      </c>
      <c r="E20" s="4">
        <v>2051.8404761904758</v>
      </c>
      <c r="F20" s="4">
        <v>2051.8404761904758</v>
      </c>
      <c r="G20" s="4">
        <v>1099.6500000000001</v>
      </c>
      <c r="H20" s="4">
        <v>1099.6500000000001</v>
      </c>
    </row>
    <row r="24" spans="1:9" ht="12.75" x14ac:dyDescent="0.2">
      <c r="A24" s="4" t="s">
        <v>508</v>
      </c>
      <c r="B24" s="4" t="str">
        <f t="shared" ref="B24:B36" si="0">A24&amp;";"</f>
        <v>120121;</v>
      </c>
      <c r="C24" s="4" t="str">
        <f>CONCATENATE(B24:B36)</f>
        <v>120121;</v>
      </c>
    </row>
    <row r="25" spans="1:9" ht="12.75" x14ac:dyDescent="0.2">
      <c r="A25" s="4" t="s">
        <v>510</v>
      </c>
      <c r="B25" s="4" t="str">
        <f t="shared" si="0"/>
        <v>120133;</v>
      </c>
    </row>
    <row r="26" spans="1:9" ht="12.75" x14ac:dyDescent="0.2">
      <c r="A26" s="4" t="s">
        <v>514</v>
      </c>
      <c r="B26" s="4" t="str">
        <f t="shared" si="0"/>
        <v>120200;</v>
      </c>
    </row>
    <row r="27" spans="1:9" ht="12.75" x14ac:dyDescent="0.2">
      <c r="A27" s="4" t="s">
        <v>560</v>
      </c>
      <c r="B27" s="4" t="str">
        <f t="shared" si="0"/>
        <v>120202;</v>
      </c>
    </row>
    <row r="28" spans="1:9" ht="12.75" x14ac:dyDescent="0.2">
      <c r="A28" s="4" t="s">
        <v>517</v>
      </c>
      <c r="B28" s="4" t="str">
        <f t="shared" si="0"/>
        <v>120255;</v>
      </c>
    </row>
    <row r="29" spans="1:9" ht="12.75" x14ac:dyDescent="0.2">
      <c r="A29" s="4" t="s">
        <v>550</v>
      </c>
      <c r="B29" s="4" t="str">
        <f t="shared" si="0"/>
        <v>120264;</v>
      </c>
    </row>
    <row r="30" spans="1:9" ht="12.75" x14ac:dyDescent="0.2">
      <c r="A30" s="4" t="s">
        <v>519</v>
      </c>
      <c r="B30" s="4" t="str">
        <f t="shared" si="0"/>
        <v>120273;</v>
      </c>
    </row>
    <row r="31" spans="1:9" ht="12.75" x14ac:dyDescent="0.2">
      <c r="A31" s="4" t="s">
        <v>521</v>
      </c>
      <c r="B31" s="4" t="str">
        <f t="shared" si="0"/>
        <v>120303;</v>
      </c>
    </row>
    <row r="32" spans="1:9" ht="12.75" x14ac:dyDescent="0.2">
      <c r="A32" s="4" t="s">
        <v>548</v>
      </c>
      <c r="B32" s="4" t="str">
        <f t="shared" si="0"/>
        <v>120509;</v>
      </c>
    </row>
    <row r="33" spans="1:2" ht="12.75" x14ac:dyDescent="0.2">
      <c r="A33" s="4" t="s">
        <v>544</v>
      </c>
      <c r="B33" s="4" t="str">
        <f t="shared" si="0"/>
        <v>120535;</v>
      </c>
    </row>
    <row r="34" spans="1:2" ht="12.75" x14ac:dyDescent="0.2">
      <c r="A34" s="4" t="s">
        <v>525</v>
      </c>
      <c r="B34" s="4" t="str">
        <f t="shared" si="0"/>
        <v>120650;</v>
      </c>
    </row>
    <row r="35" spans="1:2" ht="12.75" x14ac:dyDescent="0.2">
      <c r="A35" s="4" t="s">
        <v>556</v>
      </c>
      <c r="B35" s="4" t="str">
        <f t="shared" si="0"/>
        <v>120705;</v>
      </c>
    </row>
    <row r="36" spans="1:2" ht="12.75" x14ac:dyDescent="0.2">
      <c r="A36" s="4" t="s">
        <v>558</v>
      </c>
      <c r="B36" s="4" t="str">
        <f t="shared" si="0"/>
        <v>120927;</v>
      </c>
    </row>
  </sheetData>
  <customSheetViews>
    <customSheetView guid="{F2A77CF4-59D0-4F55-8065-E003F1E0AC73}" filter="1" showAutoFilter="1">
      <pageMargins left="0.511811024" right="0.511811024" top="0.78740157499999996" bottom="0.78740157499999996" header="0.31496062000000002" footer="0.31496062000000002"/>
      <autoFilter ref="A1:I20">
        <filterColumn colId="8">
          <filters blank="1"/>
        </filterColumn>
      </autoFilter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37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21.42578125" bestFit="1" customWidth="1"/>
    <col min="2" max="2" width="56.85546875" bestFit="1" customWidth="1"/>
    <col min="3" max="3" width="12" bestFit="1" customWidth="1"/>
    <col min="7" max="7" width="21.42578125" bestFit="1" customWidth="1"/>
    <col min="8" max="8" width="34.140625" customWidth="1"/>
    <col min="9" max="9" width="13.42578125" customWidth="1"/>
    <col min="12" max="12" width="18.7109375" customWidth="1"/>
    <col min="13" max="13" width="34.140625" customWidth="1"/>
    <col min="14" max="14" width="13.42578125" customWidth="1"/>
    <col min="15" max="15" width="17.42578125" customWidth="1"/>
    <col min="16" max="16" width="13.42578125" customWidth="1"/>
  </cols>
  <sheetData>
    <row r="1" spans="1:16" x14ac:dyDescent="0.2">
      <c r="A1" s="8" t="s">
        <v>3744</v>
      </c>
      <c r="B1" s="8" t="s">
        <v>3762</v>
      </c>
      <c r="C1" s="8" t="s">
        <v>3745</v>
      </c>
      <c r="G1" s="8"/>
      <c r="L1" s="8"/>
    </row>
    <row r="2" spans="1:16" x14ac:dyDescent="0.2">
      <c r="A2" s="8" t="s">
        <v>3746</v>
      </c>
      <c r="B2" s="8" t="s">
        <v>20</v>
      </c>
      <c r="C2" s="30">
        <v>16358</v>
      </c>
      <c r="G2" s="8"/>
      <c r="H2" s="8"/>
      <c r="I2" s="8"/>
      <c r="L2" s="8"/>
      <c r="M2" s="8"/>
      <c r="N2" s="8"/>
      <c r="O2" s="8"/>
      <c r="P2" s="8"/>
    </row>
    <row r="3" spans="1:16" x14ac:dyDescent="0.2">
      <c r="A3" s="8" t="s">
        <v>3746</v>
      </c>
      <c r="B3" s="8" t="s">
        <v>22</v>
      </c>
      <c r="C3" s="30">
        <v>15409</v>
      </c>
      <c r="G3" s="8"/>
      <c r="H3" s="8"/>
      <c r="I3" s="30"/>
      <c r="L3" s="8"/>
      <c r="M3" s="8"/>
      <c r="N3" s="30"/>
      <c r="O3" s="30"/>
      <c r="P3" s="30"/>
    </row>
    <row r="4" spans="1:16" x14ac:dyDescent="0.2">
      <c r="A4" s="8" t="s">
        <v>3746</v>
      </c>
      <c r="B4" s="8" t="s">
        <v>25</v>
      </c>
      <c r="C4" s="30">
        <v>15509</v>
      </c>
      <c r="G4" s="8"/>
      <c r="H4" s="8"/>
      <c r="I4" s="30"/>
      <c r="L4" s="8"/>
      <c r="M4" s="8"/>
      <c r="N4" s="30"/>
      <c r="O4" s="30"/>
      <c r="P4" s="30"/>
    </row>
    <row r="5" spans="1:16" x14ac:dyDescent="0.2">
      <c r="A5" s="8" t="s">
        <v>3746</v>
      </c>
      <c r="B5" s="8" t="s">
        <v>598</v>
      </c>
      <c r="C5" s="30">
        <v>17234</v>
      </c>
      <c r="G5" s="8"/>
      <c r="H5" s="8"/>
      <c r="I5" s="30"/>
      <c r="L5" s="8"/>
      <c r="M5" s="8"/>
      <c r="N5" s="30"/>
      <c r="O5" s="30"/>
      <c r="P5" s="30"/>
    </row>
    <row r="6" spans="1:16" x14ac:dyDescent="0.2">
      <c r="A6" s="8" t="s">
        <v>3746</v>
      </c>
      <c r="B6" s="8" t="s">
        <v>29</v>
      </c>
      <c r="C6" s="30">
        <v>20892</v>
      </c>
      <c r="G6" s="8"/>
      <c r="H6" s="8"/>
      <c r="I6" s="30"/>
      <c r="L6" s="8"/>
      <c r="M6" s="8"/>
      <c r="N6" s="30"/>
      <c r="O6" s="30"/>
      <c r="P6" s="30"/>
    </row>
    <row r="7" spans="1:16" x14ac:dyDescent="0.2">
      <c r="A7" s="8" t="s">
        <v>3746</v>
      </c>
      <c r="B7" s="8" t="s">
        <v>32</v>
      </c>
      <c r="C7" s="30">
        <v>21838</v>
      </c>
      <c r="G7" s="8"/>
      <c r="H7" s="8"/>
      <c r="I7" s="30"/>
      <c r="L7" s="8"/>
      <c r="M7" s="8"/>
      <c r="N7" s="30"/>
      <c r="O7" s="30"/>
      <c r="P7" s="30"/>
    </row>
    <row r="8" spans="1:16" x14ac:dyDescent="0.2">
      <c r="A8" s="8" t="s">
        <v>3746</v>
      </c>
      <c r="B8" s="8" t="s">
        <v>3747</v>
      </c>
      <c r="C8" s="30">
        <v>25488</v>
      </c>
      <c r="G8" s="8"/>
      <c r="H8" s="8"/>
      <c r="I8" s="30"/>
      <c r="L8" s="8"/>
      <c r="M8" s="8"/>
      <c r="N8" s="30"/>
      <c r="O8" s="30"/>
      <c r="P8" s="30"/>
    </row>
    <row r="9" spans="1:16" x14ac:dyDescent="0.2">
      <c r="A9" s="8" t="s">
        <v>3746</v>
      </c>
      <c r="B9" s="8" t="s">
        <v>35</v>
      </c>
      <c r="C9" s="30">
        <v>21938</v>
      </c>
      <c r="G9" s="8"/>
      <c r="H9" s="8"/>
      <c r="I9" s="30"/>
      <c r="L9" s="8"/>
      <c r="M9" s="8"/>
      <c r="N9" s="30"/>
      <c r="O9" s="30"/>
      <c r="P9" s="30"/>
    </row>
    <row r="10" spans="1:16" x14ac:dyDescent="0.2">
      <c r="A10" s="8" t="s">
        <v>3746</v>
      </c>
      <c r="B10" s="8" t="s">
        <v>38</v>
      </c>
      <c r="C10" s="30">
        <v>20404</v>
      </c>
      <c r="G10" s="8"/>
      <c r="H10" s="8"/>
      <c r="I10" s="30"/>
      <c r="L10" s="8"/>
      <c r="M10" s="8"/>
      <c r="N10" s="30"/>
      <c r="O10" s="30"/>
      <c r="P10" s="30"/>
    </row>
    <row r="11" spans="1:16" x14ac:dyDescent="0.2">
      <c r="A11" s="8" t="s">
        <v>3746</v>
      </c>
      <c r="B11" s="8" t="s">
        <v>40</v>
      </c>
      <c r="C11" s="30">
        <v>20504</v>
      </c>
      <c r="G11" s="8"/>
      <c r="H11" s="8"/>
      <c r="I11" s="30"/>
    </row>
    <row r="12" spans="1:16" x14ac:dyDescent="0.2">
      <c r="A12" s="8" t="s">
        <v>3746</v>
      </c>
      <c r="B12" s="8" t="s">
        <v>42</v>
      </c>
      <c r="C12" s="30">
        <v>24154</v>
      </c>
      <c r="G12" s="8"/>
      <c r="H12" s="8"/>
      <c r="I12" s="30"/>
    </row>
    <row r="13" spans="1:16" x14ac:dyDescent="0.2">
      <c r="A13" s="8" t="s">
        <v>3746</v>
      </c>
      <c r="B13" s="8" t="s">
        <v>44</v>
      </c>
      <c r="C13" s="30">
        <v>21978</v>
      </c>
      <c r="G13" s="8"/>
      <c r="H13" s="8"/>
      <c r="I13" s="30"/>
    </row>
    <row r="14" spans="1:16" x14ac:dyDescent="0.2">
      <c r="A14" s="8" t="s">
        <v>3746</v>
      </c>
      <c r="B14" s="8" t="s">
        <v>46</v>
      </c>
      <c r="C14" s="30">
        <v>22078</v>
      </c>
      <c r="G14" s="8"/>
      <c r="H14" s="8"/>
      <c r="I14" s="30"/>
    </row>
    <row r="15" spans="1:16" x14ac:dyDescent="0.2">
      <c r="A15" s="8" t="s">
        <v>3746</v>
      </c>
      <c r="B15" s="8" t="s">
        <v>339</v>
      </c>
      <c r="C15" s="30">
        <v>19536</v>
      </c>
      <c r="G15" s="8"/>
      <c r="H15" s="8"/>
      <c r="I15" s="30"/>
    </row>
    <row r="16" spans="1:16" x14ac:dyDescent="0.2">
      <c r="A16" s="8" t="s">
        <v>3746</v>
      </c>
      <c r="B16" s="8" t="s">
        <v>47</v>
      </c>
      <c r="C16" s="30">
        <v>19912</v>
      </c>
      <c r="G16" s="8"/>
      <c r="H16" s="8"/>
      <c r="I16" s="30"/>
    </row>
    <row r="17" spans="1:9" x14ac:dyDescent="0.2">
      <c r="A17" s="8" t="s">
        <v>3746</v>
      </c>
      <c r="B17" s="8" t="s">
        <v>48</v>
      </c>
      <c r="C17" s="30">
        <v>20012</v>
      </c>
      <c r="G17" s="8"/>
      <c r="H17" s="8"/>
      <c r="I17" s="30"/>
    </row>
    <row r="18" spans="1:9" x14ac:dyDescent="0.2">
      <c r="A18" s="8" t="s">
        <v>3746</v>
      </c>
      <c r="B18" s="8" t="s">
        <v>49</v>
      </c>
      <c r="C18" s="30">
        <v>23662</v>
      </c>
      <c r="G18" s="8"/>
      <c r="H18" s="8"/>
      <c r="I18" s="30"/>
    </row>
    <row r="19" spans="1:9" x14ac:dyDescent="0.2">
      <c r="A19" s="8" t="s">
        <v>3746</v>
      </c>
      <c r="B19" s="8" t="s">
        <v>50</v>
      </c>
      <c r="C19" s="30">
        <v>23562</v>
      </c>
      <c r="G19" s="8"/>
      <c r="H19" s="8"/>
      <c r="I19" s="30"/>
    </row>
    <row r="20" spans="1:9" x14ac:dyDescent="0.2">
      <c r="A20" s="8" t="s">
        <v>3746</v>
      </c>
      <c r="B20" s="8" t="s">
        <v>51</v>
      </c>
      <c r="C20" s="30">
        <v>22827</v>
      </c>
      <c r="G20" s="8"/>
      <c r="H20" s="8"/>
      <c r="I20" s="30"/>
    </row>
    <row r="21" spans="1:9" x14ac:dyDescent="0.2">
      <c r="A21" s="8" t="s">
        <v>3746</v>
      </c>
      <c r="B21" s="8" t="s">
        <v>341</v>
      </c>
      <c r="C21" s="30">
        <v>21765</v>
      </c>
      <c r="G21" s="8"/>
      <c r="H21" s="8"/>
      <c r="I21" s="30"/>
    </row>
    <row r="22" spans="1:9" x14ac:dyDescent="0.2">
      <c r="A22" s="8" t="s">
        <v>3746</v>
      </c>
      <c r="B22" s="8" t="s">
        <v>52</v>
      </c>
      <c r="C22" s="30">
        <v>22742</v>
      </c>
      <c r="G22" s="8"/>
      <c r="H22" s="8"/>
      <c r="I22" s="30"/>
    </row>
    <row r="23" spans="1:9" x14ac:dyDescent="0.2">
      <c r="A23" s="8" t="s">
        <v>3746</v>
      </c>
      <c r="B23" s="8" t="s">
        <v>53</v>
      </c>
      <c r="C23" s="30">
        <v>22842</v>
      </c>
      <c r="G23" s="8"/>
      <c r="H23" s="8"/>
      <c r="I23" s="30"/>
    </row>
    <row r="24" spans="1:9" x14ac:dyDescent="0.2">
      <c r="A24" s="8" t="s">
        <v>3746</v>
      </c>
      <c r="B24" s="8" t="s">
        <v>340</v>
      </c>
      <c r="C24" s="30">
        <v>26492</v>
      </c>
    </row>
    <row r="25" spans="1:9" x14ac:dyDescent="0.2">
      <c r="A25" s="8" t="s">
        <v>3746</v>
      </c>
      <c r="B25" s="8" t="s">
        <v>54</v>
      </c>
      <c r="C25" s="30">
        <v>19639</v>
      </c>
    </row>
    <row r="26" spans="1:9" x14ac:dyDescent="0.2">
      <c r="A26" s="8" t="s">
        <v>3746</v>
      </c>
      <c r="B26" s="8" t="s">
        <v>55</v>
      </c>
      <c r="C26" s="30">
        <v>23289</v>
      </c>
    </row>
    <row r="27" spans="1:9" x14ac:dyDescent="0.2">
      <c r="A27" s="8" t="s">
        <v>3746</v>
      </c>
      <c r="B27" s="8" t="s">
        <v>56</v>
      </c>
      <c r="C27" s="30">
        <v>19152</v>
      </c>
    </row>
    <row r="28" spans="1:9" x14ac:dyDescent="0.2">
      <c r="A28" s="8" t="s">
        <v>3746</v>
      </c>
      <c r="B28" s="8" t="s">
        <v>3750</v>
      </c>
      <c r="C28" s="30">
        <v>24235</v>
      </c>
    </row>
    <row r="29" spans="1:9" x14ac:dyDescent="0.2">
      <c r="A29" s="8" t="s">
        <v>3746</v>
      </c>
      <c r="B29" s="8" t="s">
        <v>57</v>
      </c>
      <c r="C29" s="30">
        <v>22902</v>
      </c>
    </row>
    <row r="30" spans="1:9" x14ac:dyDescent="0.2">
      <c r="A30" s="8" t="s">
        <v>3746</v>
      </c>
      <c r="B30" s="8" t="s">
        <v>58</v>
      </c>
      <c r="C30" s="30">
        <v>19379</v>
      </c>
    </row>
    <row r="31" spans="1:9" x14ac:dyDescent="0.2">
      <c r="A31" s="8" t="s">
        <v>3746</v>
      </c>
      <c r="B31" s="8" t="s">
        <v>59</v>
      </c>
      <c r="C31" s="30">
        <v>18601</v>
      </c>
    </row>
    <row r="32" spans="1:9" x14ac:dyDescent="0.2">
      <c r="A32" s="8" t="s">
        <v>3746</v>
      </c>
      <c r="B32" s="8" t="s">
        <v>60</v>
      </c>
      <c r="C32" s="30">
        <v>18701</v>
      </c>
    </row>
    <row r="33" spans="1:3" x14ac:dyDescent="0.2">
      <c r="A33" s="8" t="s">
        <v>3746</v>
      </c>
      <c r="B33" s="8" t="s">
        <v>61</v>
      </c>
      <c r="C33" s="30">
        <v>22351</v>
      </c>
    </row>
    <row r="34" spans="1:3" x14ac:dyDescent="0.2">
      <c r="A34" s="8" t="s">
        <v>3746</v>
      </c>
      <c r="B34" s="8" t="s">
        <v>62</v>
      </c>
      <c r="C34" s="30">
        <v>22251</v>
      </c>
    </row>
    <row r="35" spans="1:3" x14ac:dyDescent="0.2">
      <c r="A35" s="8" t="s">
        <v>3746</v>
      </c>
      <c r="B35" s="8" t="s">
        <v>63</v>
      </c>
      <c r="C35" s="30">
        <v>21575</v>
      </c>
    </row>
    <row r="36" spans="1:3" x14ac:dyDescent="0.2">
      <c r="A36" s="8" t="s">
        <v>3746</v>
      </c>
      <c r="B36" s="8" t="s">
        <v>64</v>
      </c>
      <c r="C36" s="30">
        <v>25325</v>
      </c>
    </row>
    <row r="37" spans="1:3" x14ac:dyDescent="0.2">
      <c r="A37" s="8" t="s">
        <v>3746</v>
      </c>
      <c r="B37" s="8" t="s">
        <v>65</v>
      </c>
      <c r="C37" s="30">
        <v>20307</v>
      </c>
    </row>
    <row r="38" spans="1:3" x14ac:dyDescent="0.2">
      <c r="A38" s="8" t="s">
        <v>3746</v>
      </c>
      <c r="B38" s="8" t="s">
        <v>66</v>
      </c>
      <c r="C38" s="30">
        <v>20407</v>
      </c>
    </row>
    <row r="39" spans="1:3" x14ac:dyDescent="0.2">
      <c r="A39" s="8" t="s">
        <v>3746</v>
      </c>
      <c r="B39" s="8" t="s">
        <v>343</v>
      </c>
      <c r="C39" s="30">
        <v>24057</v>
      </c>
    </row>
    <row r="40" spans="1:3" x14ac:dyDescent="0.2">
      <c r="A40" s="8" t="s">
        <v>3746</v>
      </c>
      <c r="B40" s="8" t="s">
        <v>67</v>
      </c>
      <c r="C40" s="30">
        <v>17697</v>
      </c>
    </row>
    <row r="41" spans="1:3" x14ac:dyDescent="0.2">
      <c r="A41" s="8" t="s">
        <v>3746</v>
      </c>
      <c r="B41" s="8" t="s">
        <v>68</v>
      </c>
      <c r="C41" s="30">
        <v>21347</v>
      </c>
    </row>
    <row r="42" spans="1:3" x14ac:dyDescent="0.2">
      <c r="A42" s="8" t="s">
        <v>3746</v>
      </c>
      <c r="B42" s="8" t="s">
        <v>69</v>
      </c>
      <c r="C42" s="30">
        <v>19034</v>
      </c>
    </row>
    <row r="43" spans="1:3" x14ac:dyDescent="0.2">
      <c r="A43" s="8" t="s">
        <v>3746</v>
      </c>
      <c r="B43" s="8" t="s">
        <v>70</v>
      </c>
      <c r="C43" s="30">
        <v>16747</v>
      </c>
    </row>
    <row r="44" spans="1:3" x14ac:dyDescent="0.2">
      <c r="A44" s="8" t="s">
        <v>3746</v>
      </c>
      <c r="B44" s="8" t="s">
        <v>344</v>
      </c>
      <c r="C44" s="30">
        <v>16371</v>
      </c>
    </row>
    <row r="45" spans="1:3" x14ac:dyDescent="0.2">
      <c r="A45" s="8" t="s">
        <v>3746</v>
      </c>
      <c r="B45" s="8" t="s">
        <v>71</v>
      </c>
      <c r="C45" s="30">
        <v>20397</v>
      </c>
    </row>
    <row r="46" spans="1:3" x14ac:dyDescent="0.2">
      <c r="A46" s="8" t="s">
        <v>3746</v>
      </c>
      <c r="B46" s="8" t="s">
        <v>72</v>
      </c>
      <c r="C46" s="30">
        <v>18364</v>
      </c>
    </row>
    <row r="47" spans="1:3" x14ac:dyDescent="0.2">
      <c r="A47" s="8" t="s">
        <v>3746</v>
      </c>
      <c r="B47" s="8" t="s">
        <v>345</v>
      </c>
      <c r="C47" s="30">
        <v>18600</v>
      </c>
    </row>
    <row r="48" spans="1:3" x14ac:dyDescent="0.2">
      <c r="A48" s="8" t="s">
        <v>3746</v>
      </c>
      <c r="B48" s="8" t="s">
        <v>73</v>
      </c>
      <c r="C48" s="30">
        <v>18464</v>
      </c>
    </row>
    <row r="49" spans="1:3" x14ac:dyDescent="0.2">
      <c r="A49" s="8" t="s">
        <v>3746</v>
      </c>
      <c r="B49" s="8" t="s">
        <v>74</v>
      </c>
      <c r="C49" s="30">
        <v>22014</v>
      </c>
    </row>
    <row r="50" spans="1:3" x14ac:dyDescent="0.2">
      <c r="A50" s="8" t="s">
        <v>3746</v>
      </c>
      <c r="B50" s="8" t="s">
        <v>75</v>
      </c>
      <c r="C50" s="30">
        <v>23052</v>
      </c>
    </row>
    <row r="51" spans="1:3" x14ac:dyDescent="0.2">
      <c r="A51" s="8" t="s">
        <v>3746</v>
      </c>
      <c r="B51" s="8" t="s">
        <v>76</v>
      </c>
      <c r="C51" s="30">
        <v>23152</v>
      </c>
    </row>
    <row r="52" spans="1:3" x14ac:dyDescent="0.2">
      <c r="A52" s="8" t="s">
        <v>3746</v>
      </c>
      <c r="B52" s="8" t="s">
        <v>346</v>
      </c>
      <c r="C52" s="30">
        <v>26802</v>
      </c>
    </row>
    <row r="53" spans="1:3" x14ac:dyDescent="0.2">
      <c r="A53" s="8" t="s">
        <v>3746</v>
      </c>
      <c r="B53" s="8" t="s">
        <v>347</v>
      </c>
      <c r="C53" s="30">
        <v>20946</v>
      </c>
    </row>
    <row r="54" spans="1:3" x14ac:dyDescent="0.2">
      <c r="A54" s="8" t="s">
        <v>3746</v>
      </c>
      <c r="B54" s="8" t="s">
        <v>348</v>
      </c>
      <c r="C54" s="30">
        <v>21046</v>
      </c>
    </row>
    <row r="55" spans="1:3" x14ac:dyDescent="0.2">
      <c r="A55" s="8" t="s">
        <v>3746</v>
      </c>
      <c r="B55" s="8" t="s">
        <v>349</v>
      </c>
      <c r="C55" s="30">
        <v>24696</v>
      </c>
    </row>
    <row r="56" spans="1:3" x14ac:dyDescent="0.2">
      <c r="A56" s="8" t="s">
        <v>3746</v>
      </c>
      <c r="B56" s="8" t="s">
        <v>77</v>
      </c>
      <c r="C56" s="30">
        <v>24596</v>
      </c>
    </row>
    <row r="57" spans="1:3" x14ac:dyDescent="0.2">
      <c r="A57" s="8" t="s">
        <v>3746</v>
      </c>
      <c r="B57" s="8" t="s">
        <v>352</v>
      </c>
      <c r="C57" s="30">
        <v>26690</v>
      </c>
    </row>
    <row r="58" spans="1:3" x14ac:dyDescent="0.2">
      <c r="A58" s="8" t="s">
        <v>3746</v>
      </c>
      <c r="B58" s="8" t="s">
        <v>78</v>
      </c>
      <c r="C58" s="30">
        <v>24647</v>
      </c>
    </row>
    <row r="59" spans="1:3" x14ac:dyDescent="0.2">
      <c r="A59" s="8" t="s">
        <v>3746</v>
      </c>
      <c r="B59" s="8" t="s">
        <v>79</v>
      </c>
      <c r="C59" s="30">
        <v>24747</v>
      </c>
    </row>
    <row r="60" spans="1:3" x14ac:dyDescent="0.2">
      <c r="A60" s="8" t="s">
        <v>3746</v>
      </c>
      <c r="B60" s="8" t="s">
        <v>350</v>
      </c>
      <c r="C60" s="30">
        <v>28397</v>
      </c>
    </row>
    <row r="61" spans="1:3" x14ac:dyDescent="0.2">
      <c r="A61" s="8" t="s">
        <v>3746</v>
      </c>
      <c r="B61" s="8" t="s">
        <v>351</v>
      </c>
      <c r="C61" s="30">
        <v>28297</v>
      </c>
    </row>
    <row r="62" spans="1:3" x14ac:dyDescent="0.2">
      <c r="A62" s="8" t="s">
        <v>3746</v>
      </c>
      <c r="B62" s="8" t="s">
        <v>80</v>
      </c>
      <c r="C62" s="30">
        <v>21630</v>
      </c>
    </row>
    <row r="63" spans="1:3" x14ac:dyDescent="0.2">
      <c r="A63" s="8" t="s">
        <v>3746</v>
      </c>
      <c r="B63" s="8" t="s">
        <v>81</v>
      </c>
      <c r="C63" s="30">
        <v>20957</v>
      </c>
    </row>
    <row r="64" spans="1:3" x14ac:dyDescent="0.2">
      <c r="A64" s="8" t="s">
        <v>3746</v>
      </c>
      <c r="B64" s="8" t="s">
        <v>82</v>
      </c>
      <c r="C64" s="30">
        <v>21057</v>
      </c>
    </row>
    <row r="65" spans="1:3" x14ac:dyDescent="0.2">
      <c r="A65" s="8" t="s">
        <v>3746</v>
      </c>
      <c r="B65" s="8" t="s">
        <v>83</v>
      </c>
      <c r="C65" s="30">
        <v>24707</v>
      </c>
    </row>
    <row r="66" spans="1:3" x14ac:dyDescent="0.2">
      <c r="A66" s="8" t="s">
        <v>3746</v>
      </c>
      <c r="B66" s="8" t="s">
        <v>84</v>
      </c>
      <c r="C66" s="30">
        <v>23225</v>
      </c>
    </row>
    <row r="67" spans="1:3" x14ac:dyDescent="0.2">
      <c r="A67" s="8" t="s">
        <v>3746</v>
      </c>
      <c r="B67" s="8" t="s">
        <v>85</v>
      </c>
      <c r="C67" s="30">
        <v>26875</v>
      </c>
    </row>
    <row r="68" spans="1:3" x14ac:dyDescent="0.2">
      <c r="A68" s="8" t="s">
        <v>3746</v>
      </c>
      <c r="B68" s="8" t="s">
        <v>86</v>
      </c>
      <c r="C68" s="30">
        <v>21081</v>
      </c>
    </row>
    <row r="69" spans="1:3" x14ac:dyDescent="0.2">
      <c r="A69" s="8" t="s">
        <v>3746</v>
      </c>
      <c r="B69" s="8" t="s">
        <v>87</v>
      </c>
      <c r="C69" s="30">
        <v>18887</v>
      </c>
    </row>
    <row r="70" spans="1:3" x14ac:dyDescent="0.2">
      <c r="A70" s="8" t="s">
        <v>3746</v>
      </c>
      <c r="B70" s="8" t="s">
        <v>88</v>
      </c>
      <c r="C70" s="30">
        <v>22537</v>
      </c>
    </row>
    <row r="71" spans="1:3" x14ac:dyDescent="0.2">
      <c r="A71" s="8" t="s">
        <v>3746</v>
      </c>
      <c r="B71" s="8" t="s">
        <v>89</v>
      </c>
      <c r="C71" s="30">
        <v>21119</v>
      </c>
    </row>
    <row r="72" spans="1:3" x14ac:dyDescent="0.2">
      <c r="A72" s="8" t="s">
        <v>3746</v>
      </c>
      <c r="B72" s="8" t="s">
        <v>355</v>
      </c>
      <c r="C72" s="30">
        <v>23162</v>
      </c>
    </row>
    <row r="73" spans="1:3" x14ac:dyDescent="0.2">
      <c r="A73" s="8" t="s">
        <v>3746</v>
      </c>
      <c r="B73" s="8" t="s">
        <v>356</v>
      </c>
      <c r="C73" s="30">
        <v>33834</v>
      </c>
    </row>
    <row r="74" spans="1:3" x14ac:dyDescent="0.2">
      <c r="A74" s="8" t="s">
        <v>3746</v>
      </c>
      <c r="B74" s="8" t="s">
        <v>90</v>
      </c>
      <c r="C74" s="30">
        <v>28359</v>
      </c>
    </row>
    <row r="75" spans="1:3" x14ac:dyDescent="0.2">
      <c r="A75" s="8" t="s">
        <v>3746</v>
      </c>
      <c r="B75" s="8" t="s">
        <v>91</v>
      </c>
      <c r="C75" s="30">
        <v>33834</v>
      </c>
    </row>
    <row r="76" spans="1:3" x14ac:dyDescent="0.2">
      <c r="A76" s="8" t="s">
        <v>3746</v>
      </c>
      <c r="B76" s="8" t="s">
        <v>92</v>
      </c>
      <c r="C76" s="30">
        <v>29653</v>
      </c>
    </row>
    <row r="77" spans="1:3" x14ac:dyDescent="0.2">
      <c r="A77" s="8" t="s">
        <v>3746</v>
      </c>
      <c r="B77" s="8" t="s">
        <v>93</v>
      </c>
      <c r="C77" s="30">
        <v>35128</v>
      </c>
    </row>
    <row r="78" spans="1:3" x14ac:dyDescent="0.2">
      <c r="A78" s="8" t="s">
        <v>3746</v>
      </c>
      <c r="B78" s="8" t="s">
        <v>94</v>
      </c>
      <c r="C78" s="30">
        <v>26853</v>
      </c>
    </row>
    <row r="79" spans="1:3" x14ac:dyDescent="0.2">
      <c r="A79" s="8" t="s">
        <v>3746</v>
      </c>
      <c r="B79" s="8" t="s">
        <v>95</v>
      </c>
      <c r="C79" s="30">
        <v>28190</v>
      </c>
    </row>
    <row r="80" spans="1:3" x14ac:dyDescent="0.2">
      <c r="A80" s="8" t="s">
        <v>3746</v>
      </c>
      <c r="B80" s="8" t="s">
        <v>96</v>
      </c>
      <c r="C80" s="30">
        <v>24471</v>
      </c>
    </row>
    <row r="81" spans="1:3" x14ac:dyDescent="0.2">
      <c r="A81" s="8" t="s">
        <v>3746</v>
      </c>
      <c r="B81" s="8" t="s">
        <v>97</v>
      </c>
      <c r="C81" s="30">
        <v>23323</v>
      </c>
    </row>
    <row r="82" spans="1:3" x14ac:dyDescent="0.2">
      <c r="A82" s="8" t="s">
        <v>3746</v>
      </c>
      <c r="B82" s="8" t="s">
        <v>98</v>
      </c>
      <c r="C82" s="30">
        <v>26973</v>
      </c>
    </row>
    <row r="83" spans="1:3" x14ac:dyDescent="0.2">
      <c r="A83" s="8" t="s">
        <v>3746</v>
      </c>
      <c r="B83" s="8" t="s">
        <v>99</v>
      </c>
      <c r="C83" s="30">
        <v>24046</v>
      </c>
    </row>
    <row r="84" spans="1:3" x14ac:dyDescent="0.2">
      <c r="A84" s="8" t="s">
        <v>3746</v>
      </c>
      <c r="B84" s="8" t="s">
        <v>100</v>
      </c>
      <c r="C84" s="30">
        <v>24146</v>
      </c>
    </row>
    <row r="85" spans="1:3" x14ac:dyDescent="0.2">
      <c r="A85" s="8" t="s">
        <v>3746</v>
      </c>
      <c r="B85" s="8" t="s">
        <v>101</v>
      </c>
      <c r="C85" s="30">
        <v>27696</v>
      </c>
    </row>
    <row r="86" spans="1:3" x14ac:dyDescent="0.2">
      <c r="A86" s="8" t="s">
        <v>3746</v>
      </c>
      <c r="B86" s="8" t="s">
        <v>102</v>
      </c>
      <c r="C86" s="30">
        <v>24250</v>
      </c>
    </row>
    <row r="87" spans="1:3" x14ac:dyDescent="0.2">
      <c r="A87" s="8" t="s">
        <v>3746</v>
      </c>
      <c r="B87" s="8" t="s">
        <v>103</v>
      </c>
      <c r="C87" s="30">
        <v>24350</v>
      </c>
    </row>
    <row r="88" spans="1:3" x14ac:dyDescent="0.2">
      <c r="A88" s="8" t="s">
        <v>3746</v>
      </c>
      <c r="B88" s="8" t="s">
        <v>104</v>
      </c>
      <c r="C88" s="30">
        <v>26378</v>
      </c>
    </row>
    <row r="89" spans="1:3" x14ac:dyDescent="0.2">
      <c r="A89" s="8" t="s">
        <v>3746</v>
      </c>
      <c r="B89" s="8" t="s">
        <v>105</v>
      </c>
      <c r="C89" s="30">
        <v>26478</v>
      </c>
    </row>
    <row r="90" spans="1:3" x14ac:dyDescent="0.2">
      <c r="A90" s="8" t="s">
        <v>3746</v>
      </c>
      <c r="B90" s="8" t="s">
        <v>106</v>
      </c>
      <c r="C90" s="30">
        <v>23733</v>
      </c>
    </row>
    <row r="91" spans="1:3" x14ac:dyDescent="0.2">
      <c r="A91" s="8" t="s">
        <v>3746</v>
      </c>
      <c r="B91" s="8" t="s">
        <v>107</v>
      </c>
      <c r="C91" s="30">
        <v>23833</v>
      </c>
    </row>
    <row r="92" spans="1:3" x14ac:dyDescent="0.2">
      <c r="A92" s="8" t="s">
        <v>3746</v>
      </c>
      <c r="B92" s="8" t="s">
        <v>108</v>
      </c>
      <c r="C92" s="30">
        <v>27483</v>
      </c>
    </row>
    <row r="93" spans="1:3" x14ac:dyDescent="0.2">
      <c r="A93" s="8" t="s">
        <v>3746</v>
      </c>
      <c r="B93" s="8" t="s">
        <v>109</v>
      </c>
      <c r="C93" s="30">
        <v>27383</v>
      </c>
    </row>
    <row r="94" spans="1:3" x14ac:dyDescent="0.2">
      <c r="A94" s="8" t="s">
        <v>3746</v>
      </c>
      <c r="B94" s="8" t="s">
        <v>110</v>
      </c>
      <c r="C94" s="30">
        <v>25932</v>
      </c>
    </row>
    <row r="95" spans="1:3" x14ac:dyDescent="0.2">
      <c r="A95" s="8" t="s">
        <v>3746</v>
      </c>
      <c r="B95" s="8" t="s">
        <v>111</v>
      </c>
      <c r="C95" s="30">
        <v>26032</v>
      </c>
    </row>
    <row r="96" spans="1:3" x14ac:dyDescent="0.2">
      <c r="A96" s="8" t="s">
        <v>3746</v>
      </c>
      <c r="B96" s="8" t="s">
        <v>362</v>
      </c>
      <c r="C96" s="30">
        <v>27846</v>
      </c>
    </row>
    <row r="97" spans="1:3" x14ac:dyDescent="0.2">
      <c r="A97" s="8" t="s">
        <v>3746</v>
      </c>
      <c r="B97" s="8" t="s">
        <v>112</v>
      </c>
      <c r="C97" s="30">
        <v>29682</v>
      </c>
    </row>
    <row r="98" spans="1:3" x14ac:dyDescent="0.2">
      <c r="A98" s="8" t="s">
        <v>3746</v>
      </c>
      <c r="B98" s="8" t="s">
        <v>113</v>
      </c>
      <c r="C98" s="30">
        <v>29582</v>
      </c>
    </row>
    <row r="99" spans="1:3" x14ac:dyDescent="0.2">
      <c r="A99" s="8" t="s">
        <v>3746</v>
      </c>
      <c r="B99" s="8" t="s">
        <v>360</v>
      </c>
      <c r="C99" s="30">
        <v>27854</v>
      </c>
    </row>
    <row r="100" spans="1:3" x14ac:dyDescent="0.2">
      <c r="A100" s="8" t="s">
        <v>3746</v>
      </c>
      <c r="B100" s="8" t="s">
        <v>361</v>
      </c>
      <c r="C100" s="30">
        <v>38034</v>
      </c>
    </row>
    <row r="101" spans="1:3" x14ac:dyDescent="0.2">
      <c r="A101" s="8" t="s">
        <v>3746</v>
      </c>
      <c r="B101" s="8" t="s">
        <v>114</v>
      </c>
      <c r="C101" s="30">
        <v>22261</v>
      </c>
    </row>
    <row r="102" spans="1:3" x14ac:dyDescent="0.2">
      <c r="A102" s="8" t="s">
        <v>3746</v>
      </c>
      <c r="B102" s="8" t="s">
        <v>115</v>
      </c>
      <c r="C102" s="30">
        <v>25911</v>
      </c>
    </row>
    <row r="103" spans="1:3" x14ac:dyDescent="0.2">
      <c r="A103" s="8" t="s">
        <v>3746</v>
      </c>
      <c r="B103" s="8" t="s">
        <v>116</v>
      </c>
      <c r="C103" s="30">
        <v>24534</v>
      </c>
    </row>
    <row r="104" spans="1:3" x14ac:dyDescent="0.2">
      <c r="A104" s="8" t="s">
        <v>3746</v>
      </c>
      <c r="B104" s="8" t="s">
        <v>117</v>
      </c>
      <c r="C104" s="30">
        <v>20635</v>
      </c>
    </row>
    <row r="105" spans="1:3" x14ac:dyDescent="0.2">
      <c r="A105" s="8" t="s">
        <v>3746</v>
      </c>
      <c r="B105" s="8" t="s">
        <v>118</v>
      </c>
      <c r="C105" s="30">
        <v>20124</v>
      </c>
    </row>
    <row r="106" spans="1:3" x14ac:dyDescent="0.2">
      <c r="A106" s="8" t="s">
        <v>3746</v>
      </c>
      <c r="B106" s="8" t="s">
        <v>119</v>
      </c>
      <c r="C106" s="30">
        <v>23774</v>
      </c>
    </row>
    <row r="107" spans="1:3" x14ac:dyDescent="0.2">
      <c r="A107" s="8" t="s">
        <v>3746</v>
      </c>
      <c r="B107" s="8" t="s">
        <v>120</v>
      </c>
      <c r="C107" s="30">
        <v>22366</v>
      </c>
    </row>
    <row r="108" spans="1:3" x14ac:dyDescent="0.2">
      <c r="A108" s="8" t="s">
        <v>3746</v>
      </c>
      <c r="B108" s="8" t="s">
        <v>364</v>
      </c>
      <c r="C108" s="30">
        <v>24298</v>
      </c>
    </row>
    <row r="109" spans="1:3" x14ac:dyDescent="0.2">
      <c r="A109" s="8" t="s">
        <v>3746</v>
      </c>
      <c r="B109" s="8" t="s">
        <v>365</v>
      </c>
      <c r="C109" s="30">
        <v>31486</v>
      </c>
    </row>
    <row r="110" spans="1:3" x14ac:dyDescent="0.2">
      <c r="A110" s="8" t="s">
        <v>3746</v>
      </c>
      <c r="B110" s="8" t="s">
        <v>366</v>
      </c>
      <c r="C110" s="30">
        <v>30212</v>
      </c>
    </row>
    <row r="111" spans="1:3" x14ac:dyDescent="0.2">
      <c r="A111" s="8" t="s">
        <v>3746</v>
      </c>
      <c r="B111" s="8" t="s">
        <v>368</v>
      </c>
      <c r="C111" s="30">
        <v>31421</v>
      </c>
    </row>
    <row r="112" spans="1:3" x14ac:dyDescent="0.2">
      <c r="A112" s="8" t="s">
        <v>3746</v>
      </c>
      <c r="B112" s="8" t="s">
        <v>36</v>
      </c>
      <c r="C112" s="30">
        <v>34276</v>
      </c>
    </row>
    <row r="113" spans="1:3" x14ac:dyDescent="0.2">
      <c r="A113" s="8" t="s">
        <v>3746</v>
      </c>
      <c r="B113" s="8" t="s">
        <v>369</v>
      </c>
      <c r="C113" s="30">
        <v>49546</v>
      </c>
    </row>
    <row r="114" spans="1:3" x14ac:dyDescent="0.2">
      <c r="A114" s="8" t="s">
        <v>3746</v>
      </c>
      <c r="B114" s="8" t="s">
        <v>371</v>
      </c>
      <c r="C114" s="30">
        <v>26054</v>
      </c>
    </row>
    <row r="115" spans="1:3" x14ac:dyDescent="0.2">
      <c r="A115" s="8" t="s">
        <v>3746</v>
      </c>
      <c r="B115" s="8" t="s">
        <v>122</v>
      </c>
      <c r="C115" s="30">
        <v>27537</v>
      </c>
    </row>
    <row r="116" spans="1:3" x14ac:dyDescent="0.2">
      <c r="A116" s="8" t="s">
        <v>3746</v>
      </c>
      <c r="B116" s="8" t="s">
        <v>123</v>
      </c>
      <c r="C116" s="30">
        <v>24901</v>
      </c>
    </row>
    <row r="117" spans="1:3" x14ac:dyDescent="0.2">
      <c r="A117" s="8" t="s">
        <v>3746</v>
      </c>
      <c r="B117" s="8" t="s">
        <v>124</v>
      </c>
      <c r="C117" s="30">
        <v>28551</v>
      </c>
    </row>
    <row r="118" spans="1:3" x14ac:dyDescent="0.2">
      <c r="A118" s="8" t="s">
        <v>3746</v>
      </c>
      <c r="B118" s="8" t="s">
        <v>383</v>
      </c>
      <c r="C118" s="30">
        <v>26776</v>
      </c>
    </row>
    <row r="119" spans="1:3" x14ac:dyDescent="0.2">
      <c r="A119" s="8" t="s">
        <v>3746</v>
      </c>
      <c r="B119" s="8" t="s">
        <v>3751</v>
      </c>
      <c r="C119" s="30">
        <v>30426</v>
      </c>
    </row>
    <row r="120" spans="1:3" x14ac:dyDescent="0.2">
      <c r="A120" s="8" t="s">
        <v>3746</v>
      </c>
      <c r="B120" s="8" t="s">
        <v>384</v>
      </c>
      <c r="C120" s="30">
        <v>29012</v>
      </c>
    </row>
    <row r="121" spans="1:3" x14ac:dyDescent="0.2">
      <c r="A121" s="8" t="s">
        <v>3746</v>
      </c>
      <c r="B121" s="8" t="s">
        <v>385</v>
      </c>
      <c r="C121" s="30">
        <v>39192</v>
      </c>
    </row>
    <row r="122" spans="1:3" x14ac:dyDescent="0.2">
      <c r="A122" s="8" t="s">
        <v>3746</v>
      </c>
      <c r="B122" s="8" t="s">
        <v>125</v>
      </c>
      <c r="C122" s="30">
        <v>28932</v>
      </c>
    </row>
    <row r="123" spans="1:3" x14ac:dyDescent="0.2">
      <c r="A123" s="8" t="s">
        <v>3746</v>
      </c>
      <c r="B123" s="8" t="s">
        <v>126</v>
      </c>
      <c r="C123" s="30">
        <v>34407</v>
      </c>
    </row>
    <row r="124" spans="1:3" x14ac:dyDescent="0.2">
      <c r="A124" s="8" t="s">
        <v>3746</v>
      </c>
      <c r="B124" s="8" t="s">
        <v>127</v>
      </c>
      <c r="C124" s="30">
        <v>27899</v>
      </c>
    </row>
    <row r="125" spans="1:3" x14ac:dyDescent="0.2">
      <c r="A125" s="8" t="s">
        <v>3746</v>
      </c>
      <c r="B125" s="8" t="s">
        <v>386</v>
      </c>
      <c r="C125" s="30">
        <v>29874</v>
      </c>
    </row>
    <row r="126" spans="1:3" x14ac:dyDescent="0.2">
      <c r="A126" s="8" t="s">
        <v>3746</v>
      </c>
      <c r="B126" s="8" t="s">
        <v>387</v>
      </c>
      <c r="C126" s="30">
        <v>40054</v>
      </c>
    </row>
    <row r="127" spans="1:3" x14ac:dyDescent="0.2">
      <c r="A127" s="8" t="s">
        <v>3746</v>
      </c>
      <c r="B127" s="8" t="s">
        <v>128</v>
      </c>
      <c r="C127" s="30">
        <v>30909</v>
      </c>
    </row>
    <row r="128" spans="1:3" x14ac:dyDescent="0.2">
      <c r="A128" s="8" t="s">
        <v>3746</v>
      </c>
      <c r="B128" s="8" t="s">
        <v>129</v>
      </c>
      <c r="C128" s="30">
        <v>17837</v>
      </c>
    </row>
    <row r="129" spans="1:3" x14ac:dyDescent="0.2">
      <c r="A129" s="8" t="s">
        <v>3746</v>
      </c>
      <c r="B129" s="8" t="s">
        <v>130</v>
      </c>
      <c r="C129" s="30">
        <v>14683</v>
      </c>
    </row>
    <row r="130" spans="1:3" x14ac:dyDescent="0.2">
      <c r="A130" s="8" t="s">
        <v>3746</v>
      </c>
      <c r="B130" s="8" t="s">
        <v>131</v>
      </c>
      <c r="C130" s="30">
        <v>17409</v>
      </c>
    </row>
    <row r="131" spans="1:3" x14ac:dyDescent="0.2">
      <c r="A131" s="8" t="s">
        <v>3746</v>
      </c>
      <c r="B131" s="8" t="s">
        <v>132</v>
      </c>
      <c r="C131" s="30">
        <v>15608</v>
      </c>
    </row>
    <row r="132" spans="1:3" x14ac:dyDescent="0.2">
      <c r="A132" s="8" t="s">
        <v>3746</v>
      </c>
      <c r="B132" s="8" t="s">
        <v>390</v>
      </c>
      <c r="C132" s="30">
        <v>19258</v>
      </c>
    </row>
    <row r="133" spans="1:3" x14ac:dyDescent="0.2">
      <c r="A133" s="8" t="s">
        <v>3746</v>
      </c>
      <c r="B133" s="8" t="s">
        <v>133</v>
      </c>
      <c r="C133" s="30">
        <v>14208</v>
      </c>
    </row>
    <row r="134" spans="1:3" x14ac:dyDescent="0.2">
      <c r="A134" s="8" t="s">
        <v>3746</v>
      </c>
      <c r="B134" s="8" t="s">
        <v>134</v>
      </c>
      <c r="C134" s="30">
        <v>15107</v>
      </c>
    </row>
    <row r="135" spans="1:3" x14ac:dyDescent="0.2">
      <c r="A135" s="8" t="s">
        <v>3746</v>
      </c>
      <c r="B135" s="8" t="s">
        <v>135</v>
      </c>
      <c r="C135" s="30">
        <v>15207</v>
      </c>
    </row>
    <row r="136" spans="1:3" x14ac:dyDescent="0.2">
      <c r="A136" s="8" t="s">
        <v>3746</v>
      </c>
      <c r="B136" s="8" t="s">
        <v>136</v>
      </c>
      <c r="C136" s="30">
        <v>18757</v>
      </c>
    </row>
    <row r="137" spans="1:3" x14ac:dyDescent="0.2">
      <c r="A137" s="8" t="s">
        <v>3746</v>
      </c>
      <c r="B137" s="8" t="s">
        <v>137</v>
      </c>
      <c r="C137" s="30">
        <v>14668</v>
      </c>
    </row>
    <row r="138" spans="1:3" x14ac:dyDescent="0.2">
      <c r="A138" s="8" t="s">
        <v>3746</v>
      </c>
      <c r="B138" s="8" t="s">
        <v>138</v>
      </c>
      <c r="C138" s="30">
        <v>14768</v>
      </c>
    </row>
    <row r="139" spans="1:3" x14ac:dyDescent="0.2">
      <c r="A139" s="8" t="s">
        <v>3746</v>
      </c>
      <c r="B139" s="8" t="s">
        <v>139</v>
      </c>
      <c r="C139" s="30">
        <v>16493</v>
      </c>
    </row>
    <row r="140" spans="1:3" x14ac:dyDescent="0.2">
      <c r="A140" s="8" t="s">
        <v>3746</v>
      </c>
      <c r="B140" s="8" t="s">
        <v>140</v>
      </c>
      <c r="C140" s="30">
        <v>15843</v>
      </c>
    </row>
    <row r="141" spans="1:3" x14ac:dyDescent="0.2">
      <c r="A141" s="8" t="s">
        <v>3746</v>
      </c>
      <c r="B141" s="8" t="s">
        <v>1045</v>
      </c>
      <c r="C141" s="30">
        <v>19493</v>
      </c>
    </row>
    <row r="142" spans="1:3" x14ac:dyDescent="0.2">
      <c r="A142" s="8" t="s">
        <v>3746</v>
      </c>
      <c r="B142" s="8" t="s">
        <v>141</v>
      </c>
      <c r="C142" s="30">
        <v>14553</v>
      </c>
    </row>
    <row r="143" spans="1:3" x14ac:dyDescent="0.2">
      <c r="A143" s="8" t="s">
        <v>3746</v>
      </c>
      <c r="B143" s="8" t="s">
        <v>142</v>
      </c>
      <c r="C143" s="30">
        <v>17709</v>
      </c>
    </row>
    <row r="144" spans="1:3" x14ac:dyDescent="0.2">
      <c r="A144" s="8" t="s">
        <v>3746</v>
      </c>
      <c r="B144" s="8" t="s">
        <v>143</v>
      </c>
      <c r="C144" s="30">
        <v>17809</v>
      </c>
    </row>
    <row r="145" spans="1:3" x14ac:dyDescent="0.2">
      <c r="A145" s="8" t="s">
        <v>3746</v>
      </c>
      <c r="B145" s="8" t="s">
        <v>144</v>
      </c>
      <c r="C145" s="30">
        <v>21459</v>
      </c>
    </row>
    <row r="146" spans="1:3" x14ac:dyDescent="0.2">
      <c r="A146" s="8" t="s">
        <v>3746</v>
      </c>
      <c r="B146" s="8" t="s">
        <v>145</v>
      </c>
      <c r="C146" s="30">
        <v>21359</v>
      </c>
    </row>
    <row r="147" spans="1:3" x14ac:dyDescent="0.2">
      <c r="A147" s="8" t="s">
        <v>3746</v>
      </c>
      <c r="B147" s="8" t="s">
        <v>146</v>
      </c>
      <c r="C147" s="30">
        <v>15210</v>
      </c>
    </row>
    <row r="148" spans="1:3" x14ac:dyDescent="0.2">
      <c r="A148" s="8" t="s">
        <v>3746</v>
      </c>
      <c r="B148" s="8" t="s">
        <v>392</v>
      </c>
      <c r="C148" s="30">
        <v>17797</v>
      </c>
    </row>
    <row r="149" spans="1:3" x14ac:dyDescent="0.2">
      <c r="A149" s="8" t="s">
        <v>3746</v>
      </c>
      <c r="B149" s="8" t="s">
        <v>147</v>
      </c>
      <c r="C149" s="30">
        <v>21447</v>
      </c>
    </row>
    <row r="150" spans="1:3" x14ac:dyDescent="0.2">
      <c r="A150" s="8" t="s">
        <v>3746</v>
      </c>
      <c r="B150" s="8" t="s">
        <v>148</v>
      </c>
      <c r="C150" s="30">
        <v>17697</v>
      </c>
    </row>
    <row r="151" spans="1:3" x14ac:dyDescent="0.2">
      <c r="A151" s="8" t="s">
        <v>3746</v>
      </c>
      <c r="B151" s="8" t="s">
        <v>149</v>
      </c>
      <c r="C151" s="30">
        <v>17797</v>
      </c>
    </row>
    <row r="152" spans="1:3" x14ac:dyDescent="0.2">
      <c r="A152" s="8" t="s">
        <v>3746</v>
      </c>
      <c r="B152" s="8" t="s">
        <v>150</v>
      </c>
      <c r="C152" s="30">
        <v>21447</v>
      </c>
    </row>
    <row r="153" spans="1:3" x14ac:dyDescent="0.2">
      <c r="A153" s="8" t="s">
        <v>3746</v>
      </c>
      <c r="B153" s="8" t="s">
        <v>27</v>
      </c>
      <c r="C153" s="30">
        <v>22215</v>
      </c>
    </row>
    <row r="154" spans="1:3" x14ac:dyDescent="0.2">
      <c r="A154" s="8" t="s">
        <v>3746</v>
      </c>
      <c r="B154" s="8" t="s">
        <v>393</v>
      </c>
      <c r="C154" s="30">
        <v>21132</v>
      </c>
    </row>
    <row r="155" spans="1:3" x14ac:dyDescent="0.2">
      <c r="A155" s="8" t="s">
        <v>3746</v>
      </c>
      <c r="B155" s="8" t="s">
        <v>151</v>
      </c>
      <c r="C155" s="30">
        <v>17482</v>
      </c>
    </row>
    <row r="156" spans="1:3" x14ac:dyDescent="0.2">
      <c r="A156" s="8" t="s">
        <v>3746</v>
      </c>
      <c r="B156" s="8" t="s">
        <v>394</v>
      </c>
      <c r="C156" s="30">
        <v>21132</v>
      </c>
    </row>
    <row r="157" spans="1:3" x14ac:dyDescent="0.2">
      <c r="A157" s="8" t="s">
        <v>3746</v>
      </c>
      <c r="B157" s="8" t="s">
        <v>395</v>
      </c>
      <c r="C157" s="30">
        <v>18000</v>
      </c>
    </row>
    <row r="158" spans="1:3" x14ac:dyDescent="0.2">
      <c r="A158" s="8" t="s">
        <v>3746</v>
      </c>
      <c r="B158" s="8" t="s">
        <v>396</v>
      </c>
      <c r="C158" s="30">
        <v>21650</v>
      </c>
    </row>
    <row r="159" spans="1:3" x14ac:dyDescent="0.2">
      <c r="A159" s="8" t="s">
        <v>3746</v>
      </c>
      <c r="B159" s="8" t="s">
        <v>152</v>
      </c>
      <c r="C159" s="30">
        <v>17252</v>
      </c>
    </row>
    <row r="160" spans="1:3" x14ac:dyDescent="0.2">
      <c r="A160" s="8" t="s">
        <v>3746</v>
      </c>
      <c r="B160" s="8" t="s">
        <v>3752</v>
      </c>
      <c r="C160" s="30">
        <v>20902</v>
      </c>
    </row>
    <row r="161" spans="1:3" x14ac:dyDescent="0.2">
      <c r="A161" s="8" t="s">
        <v>3746</v>
      </c>
      <c r="B161" s="8" t="s">
        <v>153</v>
      </c>
      <c r="C161" s="30">
        <v>17252</v>
      </c>
    </row>
    <row r="162" spans="1:3" x14ac:dyDescent="0.2">
      <c r="A162" s="8" t="s">
        <v>3746</v>
      </c>
      <c r="B162" s="8" t="s">
        <v>154</v>
      </c>
      <c r="C162" s="30">
        <v>19549</v>
      </c>
    </row>
    <row r="163" spans="1:3" x14ac:dyDescent="0.2">
      <c r="A163" s="8" t="s">
        <v>3746</v>
      </c>
      <c r="B163" s="8" t="s">
        <v>155</v>
      </c>
      <c r="C163" s="30">
        <v>23099</v>
      </c>
    </row>
    <row r="164" spans="1:3" x14ac:dyDescent="0.2">
      <c r="A164" s="8" t="s">
        <v>3746</v>
      </c>
      <c r="B164" s="8" t="s">
        <v>156</v>
      </c>
      <c r="C164" s="30">
        <v>17697</v>
      </c>
    </row>
    <row r="165" spans="1:3" x14ac:dyDescent="0.2">
      <c r="A165" s="8" t="s">
        <v>3746</v>
      </c>
      <c r="B165" s="8" t="s">
        <v>157</v>
      </c>
      <c r="C165" s="30">
        <v>17797</v>
      </c>
    </row>
    <row r="166" spans="1:3" x14ac:dyDescent="0.2">
      <c r="A166" s="8" t="s">
        <v>3746</v>
      </c>
      <c r="B166" s="8" t="s">
        <v>158</v>
      </c>
      <c r="C166" s="30">
        <v>21447</v>
      </c>
    </row>
    <row r="167" spans="1:3" x14ac:dyDescent="0.2">
      <c r="A167" s="8" t="s">
        <v>3746</v>
      </c>
      <c r="B167" s="8" t="s">
        <v>159</v>
      </c>
      <c r="C167" s="30">
        <v>21347</v>
      </c>
    </row>
    <row r="168" spans="1:3" x14ac:dyDescent="0.2">
      <c r="A168" s="8" t="s">
        <v>3746</v>
      </c>
      <c r="B168" s="8" t="s">
        <v>160</v>
      </c>
      <c r="C168" s="30">
        <v>18465</v>
      </c>
    </row>
    <row r="169" spans="1:3" x14ac:dyDescent="0.2">
      <c r="A169" s="8" t="s">
        <v>3746</v>
      </c>
      <c r="B169" s="8" t="s">
        <v>161</v>
      </c>
      <c r="C169" s="30">
        <v>18565</v>
      </c>
    </row>
    <row r="170" spans="1:3" x14ac:dyDescent="0.2">
      <c r="A170" s="8" t="s">
        <v>3746</v>
      </c>
      <c r="B170" s="8" t="s">
        <v>162</v>
      </c>
      <c r="C170" s="30">
        <v>22215</v>
      </c>
    </row>
    <row r="171" spans="1:3" x14ac:dyDescent="0.2">
      <c r="A171" s="8" t="s">
        <v>3746</v>
      </c>
      <c r="B171" s="8" t="s">
        <v>163</v>
      </c>
      <c r="C171" s="30">
        <v>18763</v>
      </c>
    </row>
    <row r="172" spans="1:3" x14ac:dyDescent="0.2">
      <c r="A172" s="8" t="s">
        <v>3746</v>
      </c>
      <c r="B172" s="8" t="s">
        <v>164</v>
      </c>
      <c r="C172" s="30">
        <v>18863</v>
      </c>
    </row>
    <row r="173" spans="1:3" x14ac:dyDescent="0.2">
      <c r="A173" s="8" t="s">
        <v>3746</v>
      </c>
      <c r="B173" s="8" t="s">
        <v>165</v>
      </c>
      <c r="C173" s="30">
        <v>22513</v>
      </c>
    </row>
    <row r="174" spans="1:3" x14ac:dyDescent="0.2">
      <c r="A174" s="8" t="s">
        <v>3746</v>
      </c>
      <c r="B174" s="8" t="s">
        <v>166</v>
      </c>
      <c r="C174" s="30">
        <v>17382</v>
      </c>
    </row>
    <row r="175" spans="1:3" x14ac:dyDescent="0.2">
      <c r="A175" s="8" t="s">
        <v>3746</v>
      </c>
      <c r="B175" s="8" t="s">
        <v>167</v>
      </c>
      <c r="C175" s="30">
        <v>17482</v>
      </c>
    </row>
    <row r="176" spans="1:3" x14ac:dyDescent="0.2">
      <c r="A176" s="8" t="s">
        <v>3746</v>
      </c>
      <c r="B176" s="8" t="s">
        <v>168</v>
      </c>
      <c r="C176" s="30">
        <v>21032</v>
      </c>
    </row>
    <row r="177" spans="1:3" x14ac:dyDescent="0.2">
      <c r="A177" s="8" t="s">
        <v>3746</v>
      </c>
      <c r="B177" s="8" t="s">
        <v>169</v>
      </c>
      <c r="C177" s="30">
        <v>17900</v>
      </c>
    </row>
    <row r="178" spans="1:3" x14ac:dyDescent="0.2">
      <c r="A178" s="8" t="s">
        <v>3746</v>
      </c>
      <c r="B178" s="8" t="s">
        <v>170</v>
      </c>
      <c r="C178" s="30">
        <v>18000</v>
      </c>
    </row>
    <row r="179" spans="1:3" x14ac:dyDescent="0.2">
      <c r="A179" s="8" t="s">
        <v>3746</v>
      </c>
      <c r="B179" s="8" t="s">
        <v>398</v>
      </c>
      <c r="C179" s="30">
        <v>21650</v>
      </c>
    </row>
    <row r="180" spans="1:3" x14ac:dyDescent="0.2">
      <c r="A180" s="8" t="s">
        <v>3746</v>
      </c>
      <c r="B180" s="8" t="s">
        <v>171</v>
      </c>
      <c r="C180" s="30">
        <v>21550</v>
      </c>
    </row>
    <row r="181" spans="1:3" x14ac:dyDescent="0.2">
      <c r="A181" s="8" t="s">
        <v>3746</v>
      </c>
      <c r="B181" s="8" t="s">
        <v>172</v>
      </c>
      <c r="C181" s="30">
        <v>21550</v>
      </c>
    </row>
    <row r="182" spans="1:3" x14ac:dyDescent="0.2">
      <c r="A182" s="8" t="s">
        <v>3746</v>
      </c>
      <c r="B182" s="8" t="s">
        <v>399</v>
      </c>
      <c r="C182" s="30">
        <v>20774</v>
      </c>
    </row>
    <row r="183" spans="1:3" x14ac:dyDescent="0.2">
      <c r="A183" s="8" t="s">
        <v>3746</v>
      </c>
      <c r="B183" s="8" t="s">
        <v>173</v>
      </c>
      <c r="C183" s="30">
        <v>24424</v>
      </c>
    </row>
    <row r="184" spans="1:3" x14ac:dyDescent="0.2">
      <c r="A184" s="8" t="s">
        <v>3746</v>
      </c>
      <c r="B184" s="8" t="s">
        <v>174</v>
      </c>
      <c r="C184" s="30">
        <v>20674</v>
      </c>
    </row>
    <row r="185" spans="1:3" x14ac:dyDescent="0.2">
      <c r="A185" s="8" t="s">
        <v>3746</v>
      </c>
      <c r="B185" s="8" t="s">
        <v>175</v>
      </c>
      <c r="C185" s="30">
        <v>20774</v>
      </c>
    </row>
    <row r="186" spans="1:3" x14ac:dyDescent="0.2">
      <c r="A186" s="8" t="s">
        <v>3746</v>
      </c>
      <c r="B186" s="8" t="s">
        <v>176</v>
      </c>
      <c r="C186" s="30">
        <v>24424</v>
      </c>
    </row>
    <row r="187" spans="1:3" x14ac:dyDescent="0.2">
      <c r="A187" s="8" t="s">
        <v>3746</v>
      </c>
      <c r="B187" s="8" t="s">
        <v>177</v>
      </c>
      <c r="C187" s="30">
        <v>24324</v>
      </c>
    </row>
    <row r="188" spans="1:3" x14ac:dyDescent="0.2">
      <c r="A188" s="8" t="s">
        <v>3746</v>
      </c>
      <c r="B188" s="8" t="s">
        <v>178</v>
      </c>
      <c r="C188" s="30">
        <v>22411</v>
      </c>
    </row>
    <row r="189" spans="1:3" x14ac:dyDescent="0.2">
      <c r="A189" s="8" t="s">
        <v>3746</v>
      </c>
      <c r="B189" s="8" t="s">
        <v>179</v>
      </c>
      <c r="C189" s="30">
        <v>22511</v>
      </c>
    </row>
    <row r="190" spans="1:3" x14ac:dyDescent="0.2">
      <c r="A190" s="8" t="s">
        <v>3746</v>
      </c>
      <c r="B190" s="8" t="s">
        <v>400</v>
      </c>
      <c r="C190" s="30">
        <v>26161</v>
      </c>
    </row>
    <row r="191" spans="1:3" x14ac:dyDescent="0.2">
      <c r="A191" s="8" t="s">
        <v>3746</v>
      </c>
      <c r="B191" s="8" t="s">
        <v>401</v>
      </c>
      <c r="C191" s="30">
        <v>23924</v>
      </c>
    </row>
    <row r="192" spans="1:3" x14ac:dyDescent="0.2">
      <c r="A192" s="8" t="s">
        <v>3746</v>
      </c>
      <c r="B192" s="8" t="s">
        <v>180</v>
      </c>
      <c r="C192" s="30">
        <v>23824</v>
      </c>
    </row>
    <row r="193" spans="1:3" x14ac:dyDescent="0.2">
      <c r="A193" s="8" t="s">
        <v>3746</v>
      </c>
      <c r="B193" s="8" t="s">
        <v>181</v>
      </c>
      <c r="C193" s="30">
        <v>20174</v>
      </c>
    </row>
    <row r="194" spans="1:3" x14ac:dyDescent="0.2">
      <c r="A194" s="8" t="s">
        <v>3746</v>
      </c>
      <c r="B194" s="8" t="s">
        <v>182</v>
      </c>
      <c r="C194" s="30">
        <v>20274</v>
      </c>
    </row>
    <row r="195" spans="1:3" x14ac:dyDescent="0.2">
      <c r="A195" s="8" t="s">
        <v>3746</v>
      </c>
      <c r="B195" s="8" t="s">
        <v>183</v>
      </c>
      <c r="C195" s="30">
        <v>23924</v>
      </c>
    </row>
    <row r="196" spans="1:3" x14ac:dyDescent="0.2">
      <c r="A196" s="8" t="s">
        <v>3746</v>
      </c>
      <c r="B196" s="8" t="s">
        <v>184</v>
      </c>
      <c r="C196" s="30">
        <v>23824</v>
      </c>
    </row>
    <row r="197" spans="1:3" x14ac:dyDescent="0.2">
      <c r="A197" s="8" t="s">
        <v>3746</v>
      </c>
      <c r="B197" s="8" t="s">
        <v>185</v>
      </c>
      <c r="C197" s="30">
        <v>21791</v>
      </c>
    </row>
    <row r="198" spans="1:3" x14ac:dyDescent="0.2">
      <c r="A198" s="8" t="s">
        <v>3746</v>
      </c>
      <c r="B198" s="8" t="s">
        <v>186</v>
      </c>
      <c r="C198" s="30">
        <v>21891</v>
      </c>
    </row>
    <row r="199" spans="1:3" x14ac:dyDescent="0.2">
      <c r="A199" s="8" t="s">
        <v>3746</v>
      </c>
      <c r="B199" s="8" t="s">
        <v>187</v>
      </c>
      <c r="C199" s="30">
        <v>24377</v>
      </c>
    </row>
    <row r="200" spans="1:3" x14ac:dyDescent="0.2">
      <c r="A200" s="8" t="s">
        <v>3746</v>
      </c>
      <c r="B200" s="8" t="s">
        <v>188</v>
      </c>
      <c r="C200" s="30">
        <v>24477</v>
      </c>
    </row>
    <row r="201" spans="1:3" x14ac:dyDescent="0.2">
      <c r="A201" s="8" t="s">
        <v>3746</v>
      </c>
      <c r="B201" s="8" t="s">
        <v>189</v>
      </c>
      <c r="C201" s="30">
        <v>28127</v>
      </c>
    </row>
    <row r="202" spans="1:3" x14ac:dyDescent="0.2">
      <c r="A202" s="8" t="s">
        <v>3746</v>
      </c>
      <c r="B202" s="8" t="s">
        <v>190</v>
      </c>
      <c r="C202" s="30">
        <v>28027</v>
      </c>
    </row>
    <row r="203" spans="1:3" x14ac:dyDescent="0.2">
      <c r="A203" s="8" t="s">
        <v>3746</v>
      </c>
      <c r="B203" s="8" t="s">
        <v>191</v>
      </c>
      <c r="C203" s="30">
        <v>23759</v>
      </c>
    </row>
    <row r="204" spans="1:3" x14ac:dyDescent="0.2">
      <c r="A204" s="8" t="s">
        <v>3746</v>
      </c>
      <c r="B204" s="8" t="s">
        <v>192</v>
      </c>
      <c r="C204" s="30">
        <v>23859</v>
      </c>
    </row>
    <row r="205" spans="1:3" x14ac:dyDescent="0.2">
      <c r="A205" s="8" t="s">
        <v>3746</v>
      </c>
      <c r="B205" s="8" t="s">
        <v>193</v>
      </c>
      <c r="C205" s="30">
        <v>27409</v>
      </c>
    </row>
    <row r="206" spans="1:3" x14ac:dyDescent="0.2">
      <c r="A206" s="8" t="s">
        <v>3746</v>
      </c>
      <c r="B206" s="8" t="s">
        <v>194</v>
      </c>
      <c r="C206" s="30">
        <v>23849</v>
      </c>
    </row>
    <row r="207" spans="1:3" x14ac:dyDescent="0.2">
      <c r="A207" s="8" t="s">
        <v>3746</v>
      </c>
      <c r="B207" s="8" t="s">
        <v>195</v>
      </c>
      <c r="C207" s="30">
        <v>23949</v>
      </c>
    </row>
    <row r="208" spans="1:3" x14ac:dyDescent="0.2">
      <c r="A208" s="8" t="s">
        <v>3746</v>
      </c>
      <c r="B208" s="8" t="s">
        <v>196</v>
      </c>
      <c r="C208" s="30">
        <v>27499</v>
      </c>
    </row>
    <row r="209" spans="1:3" x14ac:dyDescent="0.2">
      <c r="A209" s="8" t="s">
        <v>3746</v>
      </c>
      <c r="B209" s="8" t="s">
        <v>402</v>
      </c>
      <c r="C209" s="30">
        <v>25879</v>
      </c>
    </row>
    <row r="210" spans="1:3" x14ac:dyDescent="0.2">
      <c r="A210" s="8" t="s">
        <v>3746</v>
      </c>
      <c r="B210" s="8" t="s">
        <v>403</v>
      </c>
      <c r="C210" s="30">
        <v>36059</v>
      </c>
    </row>
    <row r="211" spans="1:3" x14ac:dyDescent="0.2">
      <c r="A211" s="8" t="s">
        <v>3746</v>
      </c>
      <c r="B211" s="8" t="s">
        <v>197</v>
      </c>
      <c r="C211" s="30">
        <v>25670</v>
      </c>
    </row>
    <row r="212" spans="1:3" x14ac:dyDescent="0.2">
      <c r="A212" s="8" t="s">
        <v>3746</v>
      </c>
      <c r="B212" s="8" t="s">
        <v>198</v>
      </c>
      <c r="C212" s="30">
        <v>31145</v>
      </c>
    </row>
    <row r="213" spans="1:3" x14ac:dyDescent="0.2">
      <c r="A213" s="8" t="s">
        <v>3746</v>
      </c>
      <c r="B213" s="8" t="s">
        <v>199</v>
      </c>
      <c r="C213" s="30">
        <v>24797</v>
      </c>
    </row>
    <row r="214" spans="1:3" x14ac:dyDescent="0.2">
      <c r="A214" s="8" t="s">
        <v>3746</v>
      </c>
      <c r="B214" s="8" t="s">
        <v>200</v>
      </c>
      <c r="C214" s="30">
        <v>28447</v>
      </c>
    </row>
    <row r="215" spans="1:3" x14ac:dyDescent="0.2">
      <c r="A215" s="8" t="s">
        <v>3746</v>
      </c>
      <c r="B215" s="8" t="s">
        <v>404</v>
      </c>
      <c r="C215" s="30">
        <v>26624</v>
      </c>
    </row>
    <row r="216" spans="1:3" x14ac:dyDescent="0.2">
      <c r="A216" s="8" t="s">
        <v>3746</v>
      </c>
      <c r="B216" s="8" t="s">
        <v>405</v>
      </c>
      <c r="C216" s="30">
        <v>36804</v>
      </c>
    </row>
    <row r="217" spans="1:3" x14ac:dyDescent="0.2">
      <c r="A217" s="8" t="s">
        <v>3746</v>
      </c>
      <c r="B217" s="8" t="s">
        <v>406</v>
      </c>
      <c r="C217" s="30">
        <v>27145</v>
      </c>
    </row>
    <row r="218" spans="1:3" x14ac:dyDescent="0.2">
      <c r="A218" s="8" t="s">
        <v>3746</v>
      </c>
      <c r="B218" s="8" t="s">
        <v>407</v>
      </c>
      <c r="C218" s="30">
        <v>32620</v>
      </c>
    </row>
    <row r="219" spans="1:3" x14ac:dyDescent="0.2">
      <c r="A219" s="8" t="s">
        <v>3746</v>
      </c>
      <c r="B219" s="8" t="s">
        <v>201</v>
      </c>
      <c r="C219" s="30">
        <v>19731</v>
      </c>
    </row>
    <row r="220" spans="1:3" x14ac:dyDescent="0.2">
      <c r="A220" s="8" t="s">
        <v>3746</v>
      </c>
      <c r="B220" s="8" t="s">
        <v>202</v>
      </c>
      <c r="C220" s="30">
        <v>20519</v>
      </c>
    </row>
    <row r="221" spans="1:3" x14ac:dyDescent="0.2">
      <c r="A221" s="8" t="s">
        <v>3746</v>
      </c>
      <c r="B221" s="8" t="s">
        <v>203</v>
      </c>
      <c r="C221" s="30">
        <v>19004</v>
      </c>
    </row>
    <row r="222" spans="1:3" x14ac:dyDescent="0.2">
      <c r="A222" s="8" t="s">
        <v>3746</v>
      </c>
      <c r="B222" s="8" t="s">
        <v>204</v>
      </c>
      <c r="C222" s="30">
        <v>18585</v>
      </c>
    </row>
    <row r="223" spans="1:3" x14ac:dyDescent="0.2">
      <c r="A223" s="8" t="s">
        <v>3746</v>
      </c>
      <c r="B223" s="8" t="s">
        <v>205</v>
      </c>
      <c r="C223" s="30">
        <v>18685</v>
      </c>
    </row>
    <row r="224" spans="1:3" x14ac:dyDescent="0.2">
      <c r="A224" s="8" t="s">
        <v>3746</v>
      </c>
      <c r="B224" s="8" t="s">
        <v>206</v>
      </c>
      <c r="C224" s="30">
        <v>22235</v>
      </c>
    </row>
    <row r="225" spans="1:3" x14ac:dyDescent="0.2">
      <c r="A225" s="8" t="s">
        <v>3746</v>
      </c>
      <c r="B225" s="8" t="s">
        <v>207</v>
      </c>
      <c r="C225" s="30">
        <v>20151</v>
      </c>
    </row>
    <row r="226" spans="1:3" x14ac:dyDescent="0.2">
      <c r="A226" s="8" t="s">
        <v>3746</v>
      </c>
      <c r="B226" s="8" t="s">
        <v>3125</v>
      </c>
      <c r="C226" s="30">
        <v>14399</v>
      </c>
    </row>
    <row r="227" spans="1:3" x14ac:dyDescent="0.2">
      <c r="A227" s="8" t="s">
        <v>3746</v>
      </c>
      <c r="B227" s="8" t="s">
        <v>209</v>
      </c>
      <c r="C227" s="30">
        <v>15055</v>
      </c>
    </row>
    <row r="228" spans="1:3" x14ac:dyDescent="0.2">
      <c r="A228" s="8" t="s">
        <v>3746</v>
      </c>
      <c r="B228" s="8" t="s">
        <v>3135</v>
      </c>
      <c r="C228" s="30">
        <v>18049</v>
      </c>
    </row>
    <row r="229" spans="1:3" x14ac:dyDescent="0.2">
      <c r="A229" s="8" t="s">
        <v>3746</v>
      </c>
      <c r="B229" s="8" t="s">
        <v>3138</v>
      </c>
      <c r="C229" s="30">
        <v>14970</v>
      </c>
    </row>
    <row r="230" spans="1:3" x14ac:dyDescent="0.2">
      <c r="A230" s="8" t="s">
        <v>3746</v>
      </c>
      <c r="B230" s="8" t="s">
        <v>3141</v>
      </c>
      <c r="C230" s="30">
        <v>16974</v>
      </c>
    </row>
    <row r="231" spans="1:3" x14ac:dyDescent="0.2">
      <c r="A231" s="8" t="s">
        <v>3746</v>
      </c>
      <c r="B231" s="8" t="s">
        <v>214</v>
      </c>
      <c r="C231" s="30">
        <v>16616</v>
      </c>
    </row>
    <row r="232" spans="1:3" x14ac:dyDescent="0.2">
      <c r="A232" s="8" t="s">
        <v>3746</v>
      </c>
      <c r="B232" s="8" t="s">
        <v>215</v>
      </c>
      <c r="C232" s="30">
        <v>20266</v>
      </c>
    </row>
    <row r="233" spans="1:3" x14ac:dyDescent="0.2">
      <c r="A233" s="8" t="s">
        <v>3746</v>
      </c>
      <c r="B233" s="8" t="s">
        <v>3147</v>
      </c>
      <c r="C233" s="30">
        <v>13038</v>
      </c>
    </row>
    <row r="234" spans="1:3" x14ac:dyDescent="0.2">
      <c r="A234" s="8" t="s">
        <v>3746</v>
      </c>
      <c r="B234" s="8" t="s">
        <v>3157</v>
      </c>
      <c r="C234" s="30">
        <v>16688</v>
      </c>
    </row>
    <row r="235" spans="1:3" x14ac:dyDescent="0.2">
      <c r="A235" s="8" t="s">
        <v>3746</v>
      </c>
      <c r="B235" s="8" t="s">
        <v>3160</v>
      </c>
      <c r="C235" s="30">
        <v>13612</v>
      </c>
    </row>
    <row r="236" spans="1:3" x14ac:dyDescent="0.2">
      <c r="A236" s="8" t="s">
        <v>3746</v>
      </c>
      <c r="B236" s="8" t="s">
        <v>413</v>
      </c>
      <c r="C236" s="30">
        <v>17262</v>
      </c>
    </row>
    <row r="237" spans="1:3" x14ac:dyDescent="0.2">
      <c r="A237" s="8" t="s">
        <v>3746</v>
      </c>
      <c r="B237" s="8" t="s">
        <v>3167</v>
      </c>
      <c r="C237" s="30">
        <v>15874</v>
      </c>
    </row>
    <row r="238" spans="1:3" x14ac:dyDescent="0.2">
      <c r="A238" s="8" t="s">
        <v>3746</v>
      </c>
      <c r="B238" s="8" t="s">
        <v>3171</v>
      </c>
      <c r="C238" s="30">
        <v>19524</v>
      </c>
    </row>
    <row r="239" spans="1:3" x14ac:dyDescent="0.2">
      <c r="A239" s="8" t="s">
        <v>3746</v>
      </c>
      <c r="B239" s="8" t="s">
        <v>3174</v>
      </c>
      <c r="C239" s="30">
        <v>15294</v>
      </c>
    </row>
    <row r="240" spans="1:3" x14ac:dyDescent="0.2">
      <c r="A240" s="8" t="s">
        <v>3746</v>
      </c>
      <c r="B240" s="8" t="s">
        <v>223</v>
      </c>
      <c r="C240" s="30">
        <v>15093</v>
      </c>
    </row>
    <row r="241" spans="1:3" x14ac:dyDescent="0.2">
      <c r="A241" s="8" t="s">
        <v>3746</v>
      </c>
      <c r="B241" s="8" t="s">
        <v>3179</v>
      </c>
      <c r="C241" s="30">
        <v>17378</v>
      </c>
    </row>
    <row r="242" spans="1:3" x14ac:dyDescent="0.2">
      <c r="A242" s="8" t="s">
        <v>3746</v>
      </c>
      <c r="B242" s="8" t="s">
        <v>3183</v>
      </c>
      <c r="C242" s="30">
        <v>21028</v>
      </c>
    </row>
    <row r="243" spans="1:3" x14ac:dyDescent="0.2">
      <c r="A243" s="8" t="s">
        <v>3746</v>
      </c>
      <c r="B243" s="8" t="s">
        <v>3186</v>
      </c>
      <c r="C243" s="30">
        <v>16798</v>
      </c>
    </row>
    <row r="244" spans="1:3" x14ac:dyDescent="0.2">
      <c r="A244" s="8" t="s">
        <v>3746</v>
      </c>
      <c r="B244" s="8" t="s">
        <v>227</v>
      </c>
      <c r="C244" s="30">
        <v>17942</v>
      </c>
    </row>
    <row r="245" spans="1:3" x14ac:dyDescent="0.2">
      <c r="A245" s="8" t="s">
        <v>3746</v>
      </c>
      <c r="B245" s="8" t="s">
        <v>228</v>
      </c>
      <c r="C245" s="30">
        <v>17362</v>
      </c>
    </row>
    <row r="246" spans="1:3" x14ac:dyDescent="0.2">
      <c r="A246" s="8" t="s">
        <v>3746</v>
      </c>
      <c r="B246" s="8" t="s">
        <v>3199</v>
      </c>
      <c r="C246" s="30">
        <v>20448</v>
      </c>
    </row>
    <row r="247" spans="1:3" x14ac:dyDescent="0.2">
      <c r="A247" s="8" t="s">
        <v>3746</v>
      </c>
      <c r="B247" s="8" t="s">
        <v>3202</v>
      </c>
      <c r="C247" s="30">
        <v>17486</v>
      </c>
    </row>
    <row r="248" spans="1:3" x14ac:dyDescent="0.2">
      <c r="A248" s="8" t="s">
        <v>3746</v>
      </c>
      <c r="B248" s="8" t="s">
        <v>24</v>
      </c>
      <c r="C248" s="30">
        <v>16775</v>
      </c>
    </row>
    <row r="249" spans="1:3" x14ac:dyDescent="0.2">
      <c r="A249" s="8" t="s">
        <v>3746</v>
      </c>
      <c r="B249" s="8" t="s">
        <v>3210</v>
      </c>
      <c r="C249" s="30">
        <v>23693</v>
      </c>
    </row>
    <row r="250" spans="1:3" x14ac:dyDescent="0.2">
      <c r="A250" s="8" t="s">
        <v>3746</v>
      </c>
      <c r="B250" s="8" t="s">
        <v>3213</v>
      </c>
      <c r="C250" s="30">
        <v>19463</v>
      </c>
    </row>
    <row r="251" spans="1:3" x14ac:dyDescent="0.2">
      <c r="A251" s="8" t="s">
        <v>3746</v>
      </c>
      <c r="B251" s="8" t="s">
        <v>233</v>
      </c>
      <c r="C251" s="30">
        <v>19534</v>
      </c>
    </row>
    <row r="252" spans="1:3" x14ac:dyDescent="0.2">
      <c r="A252" s="8" t="s">
        <v>3746</v>
      </c>
      <c r="B252" s="8" t="s">
        <v>415</v>
      </c>
      <c r="C252" s="30">
        <v>23184</v>
      </c>
    </row>
    <row r="253" spans="1:3" x14ac:dyDescent="0.2">
      <c r="A253" s="8" t="s">
        <v>3746</v>
      </c>
      <c r="B253" s="8" t="s">
        <v>3220</v>
      </c>
      <c r="C253" s="30">
        <v>23113</v>
      </c>
    </row>
    <row r="254" spans="1:3" x14ac:dyDescent="0.2">
      <c r="A254" s="8" t="s">
        <v>3746</v>
      </c>
      <c r="B254" s="8" t="s">
        <v>3226</v>
      </c>
      <c r="C254" s="30">
        <v>14911</v>
      </c>
    </row>
    <row r="255" spans="1:3" x14ac:dyDescent="0.2">
      <c r="A255" s="8" t="s">
        <v>3746</v>
      </c>
      <c r="B255" s="8" t="s">
        <v>236</v>
      </c>
      <c r="C255" s="30">
        <v>15475</v>
      </c>
    </row>
    <row r="256" spans="1:3" x14ac:dyDescent="0.2">
      <c r="A256" s="8" t="s">
        <v>3746</v>
      </c>
      <c r="B256" s="8" t="s">
        <v>418</v>
      </c>
      <c r="C256" s="30">
        <v>19125</v>
      </c>
    </row>
    <row r="257" spans="1:3" x14ac:dyDescent="0.2">
      <c r="A257" s="8" t="s">
        <v>3746</v>
      </c>
      <c r="B257" s="8" t="s">
        <v>3239</v>
      </c>
      <c r="C257" s="30">
        <v>18561</v>
      </c>
    </row>
    <row r="258" spans="1:3" x14ac:dyDescent="0.2">
      <c r="A258" s="8" t="s">
        <v>3746</v>
      </c>
      <c r="B258" s="8" t="s">
        <v>3242</v>
      </c>
      <c r="C258" s="30">
        <v>15599</v>
      </c>
    </row>
    <row r="259" spans="1:3" x14ac:dyDescent="0.2">
      <c r="A259" s="8" t="s">
        <v>3746</v>
      </c>
      <c r="B259" s="8" t="s">
        <v>3246</v>
      </c>
      <c r="C259" s="30">
        <v>19249</v>
      </c>
    </row>
    <row r="260" spans="1:3" x14ac:dyDescent="0.2">
      <c r="A260" s="8" t="s">
        <v>3746</v>
      </c>
      <c r="B260" s="8" t="s">
        <v>3249</v>
      </c>
      <c r="C260" s="30">
        <v>17635</v>
      </c>
    </row>
    <row r="261" spans="1:3" x14ac:dyDescent="0.2">
      <c r="A261" s="8" t="s">
        <v>3746</v>
      </c>
      <c r="B261" s="8" t="s">
        <v>241</v>
      </c>
      <c r="C261" s="30">
        <v>17647</v>
      </c>
    </row>
    <row r="262" spans="1:3" x14ac:dyDescent="0.2">
      <c r="A262" s="8" t="s">
        <v>3746</v>
      </c>
      <c r="B262" s="8" t="s">
        <v>422</v>
      </c>
      <c r="C262" s="30">
        <v>15191</v>
      </c>
    </row>
    <row r="263" spans="1:3" x14ac:dyDescent="0.2">
      <c r="A263" s="8" t="s">
        <v>3746</v>
      </c>
      <c r="B263" s="8" t="s">
        <v>424</v>
      </c>
      <c r="C263" s="30">
        <v>15656</v>
      </c>
    </row>
    <row r="264" spans="1:3" x14ac:dyDescent="0.2">
      <c r="A264" s="8" t="s">
        <v>3746</v>
      </c>
      <c r="B264" s="8" t="s">
        <v>246</v>
      </c>
      <c r="C264" s="30">
        <v>10299</v>
      </c>
    </row>
    <row r="265" spans="1:3" x14ac:dyDescent="0.2">
      <c r="A265" s="8" t="s">
        <v>3746</v>
      </c>
      <c r="B265" s="8" t="s">
        <v>248</v>
      </c>
      <c r="C265" s="30">
        <v>9425</v>
      </c>
    </row>
    <row r="266" spans="1:3" x14ac:dyDescent="0.2">
      <c r="A266" s="8" t="s">
        <v>3746</v>
      </c>
      <c r="B266" s="8" t="s">
        <v>265</v>
      </c>
      <c r="C266" s="30">
        <v>13409</v>
      </c>
    </row>
    <row r="267" spans="1:3" x14ac:dyDescent="0.2">
      <c r="A267" s="8" t="s">
        <v>3746</v>
      </c>
      <c r="B267" s="8" t="s">
        <v>445</v>
      </c>
      <c r="C267" s="30">
        <v>21113</v>
      </c>
    </row>
    <row r="268" spans="1:3" x14ac:dyDescent="0.2">
      <c r="A268" s="8" t="s">
        <v>3746</v>
      </c>
      <c r="B268" s="8" t="s">
        <v>446</v>
      </c>
      <c r="C268" s="30">
        <v>24763</v>
      </c>
    </row>
    <row r="269" spans="1:3" x14ac:dyDescent="0.2">
      <c r="A269" s="8" t="s">
        <v>3746</v>
      </c>
      <c r="B269" s="8" t="s">
        <v>270</v>
      </c>
      <c r="C269" s="30">
        <v>15961</v>
      </c>
    </row>
    <row r="270" spans="1:3" x14ac:dyDescent="0.2">
      <c r="A270" s="8" t="s">
        <v>3746</v>
      </c>
      <c r="B270" s="8" t="s">
        <v>271</v>
      </c>
      <c r="C270" s="30">
        <v>19611</v>
      </c>
    </row>
    <row r="271" spans="1:3" x14ac:dyDescent="0.2">
      <c r="A271" s="8" t="s">
        <v>3746</v>
      </c>
      <c r="B271" s="8" t="s">
        <v>3753</v>
      </c>
      <c r="C271" s="30">
        <v>16721</v>
      </c>
    </row>
    <row r="272" spans="1:3" x14ac:dyDescent="0.2">
      <c r="A272" s="8" t="s">
        <v>3746</v>
      </c>
      <c r="B272" s="8" t="s">
        <v>210</v>
      </c>
      <c r="C272" s="30">
        <v>18705</v>
      </c>
    </row>
    <row r="273" spans="1:3" x14ac:dyDescent="0.2">
      <c r="A273" s="8" t="s">
        <v>3746</v>
      </c>
      <c r="B273" s="8" t="s">
        <v>3290</v>
      </c>
      <c r="C273" s="30">
        <v>16600</v>
      </c>
    </row>
    <row r="274" spans="1:3" x14ac:dyDescent="0.2">
      <c r="A274" s="8" t="s">
        <v>3746</v>
      </c>
      <c r="B274" s="8" t="s">
        <v>429</v>
      </c>
      <c r="C274" s="30">
        <v>12950</v>
      </c>
    </row>
    <row r="275" spans="1:3" x14ac:dyDescent="0.2">
      <c r="A275" s="8" t="s">
        <v>3746</v>
      </c>
      <c r="B275" s="8" t="s">
        <v>432</v>
      </c>
      <c r="C275" s="30">
        <v>11440</v>
      </c>
    </row>
    <row r="276" spans="1:3" x14ac:dyDescent="0.2">
      <c r="A276" s="8" t="s">
        <v>3746</v>
      </c>
      <c r="B276" s="8" t="s">
        <v>3296</v>
      </c>
      <c r="C276" s="30">
        <v>13265</v>
      </c>
    </row>
    <row r="277" spans="1:3" x14ac:dyDescent="0.2">
      <c r="A277" s="8" t="s">
        <v>3746</v>
      </c>
      <c r="B277" s="8" t="s">
        <v>3754</v>
      </c>
      <c r="C277" s="30">
        <v>27696</v>
      </c>
    </row>
    <row r="278" spans="1:3" x14ac:dyDescent="0.2">
      <c r="A278" s="8" t="s">
        <v>3746</v>
      </c>
      <c r="B278" s="8" t="s">
        <v>966</v>
      </c>
      <c r="C278" s="30">
        <v>31187</v>
      </c>
    </row>
    <row r="279" spans="1:3" x14ac:dyDescent="0.2">
      <c r="A279" s="8" t="s">
        <v>3746</v>
      </c>
      <c r="B279" s="8" t="s">
        <v>3755</v>
      </c>
      <c r="C279" s="30">
        <v>36384</v>
      </c>
    </row>
    <row r="280" spans="1:3" x14ac:dyDescent="0.2">
      <c r="A280" s="8" t="s">
        <v>3746</v>
      </c>
      <c r="B280" s="8" t="s">
        <v>435</v>
      </c>
      <c r="C280" s="30">
        <v>11972</v>
      </c>
    </row>
    <row r="281" spans="1:3" x14ac:dyDescent="0.2">
      <c r="A281" s="8" t="s">
        <v>3746</v>
      </c>
      <c r="B281" s="8" t="s">
        <v>3302</v>
      </c>
      <c r="C281" s="30">
        <v>13797</v>
      </c>
    </row>
    <row r="282" spans="1:3" x14ac:dyDescent="0.2">
      <c r="A282" s="8" t="s">
        <v>3746</v>
      </c>
      <c r="B282" s="8" t="s">
        <v>437</v>
      </c>
      <c r="C282" s="30">
        <v>12432</v>
      </c>
    </row>
    <row r="283" spans="1:3" x14ac:dyDescent="0.2">
      <c r="A283" s="8" t="s">
        <v>3746</v>
      </c>
      <c r="B283" s="8" t="s">
        <v>3308</v>
      </c>
      <c r="C283" s="30">
        <v>16082</v>
      </c>
    </row>
    <row r="284" spans="1:3" x14ac:dyDescent="0.2">
      <c r="A284" s="8" t="s">
        <v>3746</v>
      </c>
      <c r="B284" s="8" t="s">
        <v>438</v>
      </c>
      <c r="C284" s="30">
        <v>12965</v>
      </c>
    </row>
    <row r="285" spans="1:3" x14ac:dyDescent="0.2">
      <c r="A285" s="8" t="s">
        <v>3746</v>
      </c>
      <c r="B285" s="8" t="s">
        <v>439</v>
      </c>
      <c r="C285" s="30">
        <v>14708</v>
      </c>
    </row>
    <row r="286" spans="1:3" x14ac:dyDescent="0.2">
      <c r="A286" s="8" t="s">
        <v>3746</v>
      </c>
      <c r="B286" s="8" t="s">
        <v>442</v>
      </c>
      <c r="C286" s="30">
        <v>10945</v>
      </c>
    </row>
    <row r="287" spans="1:3" x14ac:dyDescent="0.2">
      <c r="A287" s="8" t="s">
        <v>3746</v>
      </c>
      <c r="B287" s="8" t="s">
        <v>3323</v>
      </c>
      <c r="C287" s="30">
        <v>14595</v>
      </c>
    </row>
    <row r="288" spans="1:3" x14ac:dyDescent="0.2">
      <c r="A288" s="8" t="s">
        <v>3746</v>
      </c>
      <c r="B288" s="8" t="s">
        <v>443</v>
      </c>
      <c r="C288" s="30">
        <v>11478</v>
      </c>
    </row>
    <row r="289" spans="1:3" x14ac:dyDescent="0.2">
      <c r="A289" s="8" t="s">
        <v>3746</v>
      </c>
      <c r="B289" s="8" t="s">
        <v>3329</v>
      </c>
      <c r="C289" s="30">
        <v>13303</v>
      </c>
    </row>
    <row r="290" spans="1:3" x14ac:dyDescent="0.2">
      <c r="A290" s="8" t="s">
        <v>3746</v>
      </c>
      <c r="B290" s="8" t="s">
        <v>3337</v>
      </c>
      <c r="C290" s="30">
        <v>15234</v>
      </c>
    </row>
    <row r="291" spans="1:3" x14ac:dyDescent="0.2">
      <c r="A291" s="8" t="s">
        <v>3746</v>
      </c>
      <c r="B291" s="8" t="s">
        <v>449</v>
      </c>
      <c r="C291" s="30">
        <v>15028</v>
      </c>
    </row>
    <row r="292" spans="1:3" x14ac:dyDescent="0.2">
      <c r="A292" s="8" t="s">
        <v>3746</v>
      </c>
      <c r="B292" s="8" t="s">
        <v>3349</v>
      </c>
      <c r="C292" s="30">
        <v>18678</v>
      </c>
    </row>
    <row r="293" spans="1:3" x14ac:dyDescent="0.2">
      <c r="A293" s="8" t="s">
        <v>3746</v>
      </c>
      <c r="B293" s="8" t="s">
        <v>451</v>
      </c>
      <c r="C293" s="30">
        <v>17843</v>
      </c>
    </row>
    <row r="294" spans="1:3" x14ac:dyDescent="0.2">
      <c r="A294" s="8" t="s">
        <v>3746</v>
      </c>
      <c r="B294" s="8" t="s">
        <v>452</v>
      </c>
      <c r="C294" s="30">
        <v>17096</v>
      </c>
    </row>
    <row r="295" spans="1:3" x14ac:dyDescent="0.2">
      <c r="A295" s="8" t="s">
        <v>3746</v>
      </c>
      <c r="B295" s="8" t="s">
        <v>3357</v>
      </c>
      <c r="C295" s="30">
        <v>20746</v>
      </c>
    </row>
    <row r="296" spans="1:3" x14ac:dyDescent="0.2">
      <c r="A296" s="8" t="s">
        <v>3746</v>
      </c>
      <c r="B296" s="8" t="s">
        <v>454</v>
      </c>
      <c r="C296" s="30">
        <v>19912</v>
      </c>
    </row>
    <row r="297" spans="1:3" x14ac:dyDescent="0.2">
      <c r="A297" s="8" t="s">
        <v>3746</v>
      </c>
      <c r="B297" s="8" t="s">
        <v>1079</v>
      </c>
      <c r="C297" s="30">
        <v>26392</v>
      </c>
    </row>
    <row r="298" spans="1:3" x14ac:dyDescent="0.2">
      <c r="A298" s="8" t="s">
        <v>3746</v>
      </c>
      <c r="B298" s="8" t="s">
        <v>370</v>
      </c>
      <c r="C298" s="30">
        <v>28985</v>
      </c>
    </row>
    <row r="299" spans="1:3" x14ac:dyDescent="0.2">
      <c r="A299" s="8" t="s">
        <v>3746</v>
      </c>
      <c r="B299" s="8" t="s">
        <v>381</v>
      </c>
      <c r="C299" s="30">
        <v>27537</v>
      </c>
    </row>
    <row r="300" spans="1:3" x14ac:dyDescent="0.2">
      <c r="A300" s="8" t="s">
        <v>3746</v>
      </c>
      <c r="B300" s="8" t="s">
        <v>382</v>
      </c>
      <c r="C300" s="30">
        <v>31187</v>
      </c>
    </row>
    <row r="301" spans="1:3" x14ac:dyDescent="0.2">
      <c r="A301" s="8" t="s">
        <v>3746</v>
      </c>
      <c r="B301" s="8" t="s">
        <v>388</v>
      </c>
      <c r="C301" s="30">
        <v>16997</v>
      </c>
    </row>
    <row r="302" spans="1:3" x14ac:dyDescent="0.2">
      <c r="A302" s="8" t="s">
        <v>3746</v>
      </c>
      <c r="B302" s="8" t="s">
        <v>389</v>
      </c>
      <c r="C302" s="30">
        <v>17110</v>
      </c>
    </row>
    <row r="303" spans="1:3" x14ac:dyDescent="0.2">
      <c r="A303" s="8" t="s">
        <v>3746</v>
      </c>
      <c r="B303" s="8" t="s">
        <v>397</v>
      </c>
      <c r="C303" s="30">
        <v>17363</v>
      </c>
    </row>
    <row r="304" spans="1:3" x14ac:dyDescent="0.2">
      <c r="A304" s="8" t="s">
        <v>3746</v>
      </c>
      <c r="B304" s="8" t="s">
        <v>2474</v>
      </c>
      <c r="C304" s="30">
        <v>21132</v>
      </c>
    </row>
    <row r="305" spans="1:3" x14ac:dyDescent="0.2">
      <c r="A305" s="8" t="s">
        <v>3746</v>
      </c>
      <c r="B305" s="8" t="s">
        <v>2939</v>
      </c>
      <c r="C305" s="30">
        <v>26250</v>
      </c>
    </row>
    <row r="306" spans="1:3" x14ac:dyDescent="0.2">
      <c r="A306" s="8" t="s">
        <v>3746</v>
      </c>
      <c r="B306" s="8" t="s">
        <v>3205</v>
      </c>
      <c r="C306" s="30">
        <v>21136</v>
      </c>
    </row>
    <row r="307" spans="1:3" x14ac:dyDescent="0.2">
      <c r="A307" s="8" t="s">
        <v>3746</v>
      </c>
      <c r="B307" s="8" t="s">
        <v>3333</v>
      </c>
      <c r="C307" s="30">
        <v>13409</v>
      </c>
    </row>
    <row r="308" spans="1:3" x14ac:dyDescent="0.2">
      <c r="A308" s="8" t="s">
        <v>3746</v>
      </c>
      <c r="B308" s="8" t="s">
        <v>342</v>
      </c>
      <c r="C308" s="30">
        <v>20585</v>
      </c>
    </row>
    <row r="309" spans="1:3" x14ac:dyDescent="0.2">
      <c r="A309" s="8" t="s">
        <v>3746</v>
      </c>
      <c r="B309" s="8" t="s">
        <v>3756</v>
      </c>
      <c r="C309" s="30">
        <v>36657</v>
      </c>
    </row>
    <row r="310" spans="1:3" x14ac:dyDescent="0.2">
      <c r="A310" s="8" t="s">
        <v>3746</v>
      </c>
      <c r="B310" s="8" t="s">
        <v>3757</v>
      </c>
      <c r="C310" s="30">
        <v>38508</v>
      </c>
    </row>
    <row r="311" spans="1:3" x14ac:dyDescent="0.2">
      <c r="A311" s="8" t="s">
        <v>3746</v>
      </c>
      <c r="B311" s="8" t="s">
        <v>3758</v>
      </c>
      <c r="C311" s="30">
        <v>32476</v>
      </c>
    </row>
    <row r="312" spans="1:3" x14ac:dyDescent="0.2">
      <c r="A312" s="8" t="s">
        <v>3746</v>
      </c>
      <c r="B312" s="8" t="s">
        <v>421</v>
      </c>
      <c r="C312" s="30">
        <v>16027</v>
      </c>
    </row>
    <row r="313" spans="1:3" x14ac:dyDescent="0.2">
      <c r="A313" s="8" t="s">
        <v>3746</v>
      </c>
      <c r="B313" s="8" t="s">
        <v>359</v>
      </c>
      <c r="C313" s="30">
        <v>20070</v>
      </c>
    </row>
    <row r="314" spans="1:3" x14ac:dyDescent="0.2">
      <c r="A314" s="8" t="s">
        <v>3746</v>
      </c>
      <c r="B314" s="8" t="s">
        <v>358</v>
      </c>
      <c r="C314" s="30">
        <v>28707</v>
      </c>
    </row>
    <row r="315" spans="1:3" x14ac:dyDescent="0.2">
      <c r="A315" s="8" t="s">
        <v>3746</v>
      </c>
      <c r="B315" s="8" t="s">
        <v>367</v>
      </c>
      <c r="C315" s="30">
        <v>30558</v>
      </c>
    </row>
    <row r="316" spans="1:3" x14ac:dyDescent="0.2">
      <c r="A316" s="8" t="s">
        <v>3746</v>
      </c>
      <c r="B316" s="8" t="s">
        <v>380</v>
      </c>
      <c r="C316" s="30">
        <v>28826</v>
      </c>
    </row>
    <row r="317" spans="1:3" x14ac:dyDescent="0.2">
      <c r="A317" s="8" t="s">
        <v>3746</v>
      </c>
      <c r="B317" s="8" t="s">
        <v>3759</v>
      </c>
      <c r="C317" s="30">
        <v>16974</v>
      </c>
    </row>
    <row r="318" spans="1:3" x14ac:dyDescent="0.2">
      <c r="A318" s="8" t="s">
        <v>3746</v>
      </c>
      <c r="B318" s="8" t="s">
        <v>3760</v>
      </c>
      <c r="C318" s="30">
        <v>15961</v>
      </c>
    </row>
    <row r="319" spans="1:3" x14ac:dyDescent="0.2">
      <c r="A319" s="8" t="s">
        <v>3746</v>
      </c>
      <c r="B319" s="8" t="s">
        <v>3761</v>
      </c>
      <c r="C319" s="30">
        <v>18203</v>
      </c>
    </row>
    <row r="320" spans="1:3" x14ac:dyDescent="0.2">
      <c r="A320" s="8" t="s">
        <v>3749</v>
      </c>
      <c r="B320" s="8" t="s">
        <v>20</v>
      </c>
      <c r="C320" s="30">
        <v>16358</v>
      </c>
    </row>
    <row r="321" spans="1:3" x14ac:dyDescent="0.2">
      <c r="A321" s="8" t="s">
        <v>3749</v>
      </c>
      <c r="B321" s="8" t="s">
        <v>22</v>
      </c>
      <c r="C321" s="30">
        <v>15409</v>
      </c>
    </row>
    <row r="322" spans="1:3" x14ac:dyDescent="0.2">
      <c r="A322" s="8" t="s">
        <v>3749</v>
      </c>
      <c r="B322" s="8" t="s">
        <v>25</v>
      </c>
      <c r="C322" s="30">
        <v>15509</v>
      </c>
    </row>
    <row r="323" spans="1:3" x14ac:dyDescent="0.2">
      <c r="A323" s="8" t="s">
        <v>3749</v>
      </c>
      <c r="B323" s="8" t="s">
        <v>598</v>
      </c>
      <c r="C323" s="30">
        <v>17234</v>
      </c>
    </row>
    <row r="324" spans="1:3" x14ac:dyDescent="0.2">
      <c r="A324" s="8" t="s">
        <v>3749</v>
      </c>
      <c r="B324" s="8" t="s">
        <v>29</v>
      </c>
      <c r="C324" s="30">
        <v>20892</v>
      </c>
    </row>
    <row r="325" spans="1:3" x14ac:dyDescent="0.2">
      <c r="A325" s="8" t="s">
        <v>3749</v>
      </c>
      <c r="B325" s="8" t="s">
        <v>32</v>
      </c>
      <c r="C325" s="30">
        <v>21838</v>
      </c>
    </row>
    <row r="326" spans="1:3" x14ac:dyDescent="0.2">
      <c r="A326" s="8" t="s">
        <v>3749</v>
      </c>
      <c r="B326" s="8" t="s">
        <v>3747</v>
      </c>
      <c r="C326" s="30">
        <v>25488</v>
      </c>
    </row>
    <row r="327" spans="1:3" x14ac:dyDescent="0.2">
      <c r="A327" s="8" t="s">
        <v>3749</v>
      </c>
      <c r="B327" s="8" t="s">
        <v>35</v>
      </c>
      <c r="C327" s="30">
        <v>21938</v>
      </c>
    </row>
    <row r="328" spans="1:3" x14ac:dyDescent="0.2">
      <c r="A328" s="8" t="s">
        <v>3749</v>
      </c>
      <c r="B328" s="8" t="s">
        <v>38</v>
      </c>
      <c r="C328" s="30">
        <v>20404</v>
      </c>
    </row>
    <row r="329" spans="1:3" x14ac:dyDescent="0.2">
      <c r="A329" s="8" t="s">
        <v>3749</v>
      </c>
      <c r="B329" s="8" t="s">
        <v>40</v>
      </c>
      <c r="C329" s="30">
        <v>20504</v>
      </c>
    </row>
    <row r="330" spans="1:3" x14ac:dyDescent="0.2">
      <c r="A330" s="8" t="s">
        <v>3749</v>
      </c>
      <c r="B330" s="8" t="s">
        <v>42</v>
      </c>
      <c r="C330" s="30">
        <v>24154</v>
      </c>
    </row>
    <row r="331" spans="1:3" x14ac:dyDescent="0.2">
      <c r="A331" s="8" t="s">
        <v>3749</v>
      </c>
      <c r="B331" s="8" t="s">
        <v>44</v>
      </c>
      <c r="C331" s="30">
        <v>21978</v>
      </c>
    </row>
    <row r="332" spans="1:3" x14ac:dyDescent="0.2">
      <c r="A332" s="8" t="s">
        <v>3749</v>
      </c>
      <c r="B332" s="8" t="s">
        <v>46</v>
      </c>
      <c r="C332" s="30">
        <v>22078</v>
      </c>
    </row>
    <row r="333" spans="1:3" x14ac:dyDescent="0.2">
      <c r="A333" s="8" t="s">
        <v>3749</v>
      </c>
      <c r="B333" s="8" t="s">
        <v>339</v>
      </c>
      <c r="C333" s="30">
        <v>19536</v>
      </c>
    </row>
    <row r="334" spans="1:3" x14ac:dyDescent="0.2">
      <c r="A334" s="8" t="s">
        <v>3749</v>
      </c>
      <c r="B334" s="8" t="s">
        <v>47</v>
      </c>
      <c r="C334" s="30">
        <v>19912</v>
      </c>
    </row>
    <row r="335" spans="1:3" x14ac:dyDescent="0.2">
      <c r="A335" s="8" t="s">
        <v>3749</v>
      </c>
      <c r="B335" s="8" t="s">
        <v>48</v>
      </c>
      <c r="C335" s="30">
        <v>20012</v>
      </c>
    </row>
    <row r="336" spans="1:3" x14ac:dyDescent="0.2">
      <c r="A336" s="8" t="s">
        <v>3749</v>
      </c>
      <c r="B336" s="8" t="s">
        <v>49</v>
      </c>
      <c r="C336" s="30">
        <v>23662</v>
      </c>
    </row>
    <row r="337" spans="1:3" x14ac:dyDescent="0.2">
      <c r="A337" s="8" t="s">
        <v>3749</v>
      </c>
      <c r="B337" s="8" t="s">
        <v>50</v>
      </c>
      <c r="C337" s="30">
        <v>23562</v>
      </c>
    </row>
    <row r="338" spans="1:3" x14ac:dyDescent="0.2">
      <c r="A338" s="8" t="s">
        <v>3749</v>
      </c>
      <c r="B338" s="8" t="s">
        <v>51</v>
      </c>
      <c r="C338" s="30">
        <v>22827</v>
      </c>
    </row>
    <row r="339" spans="1:3" x14ac:dyDescent="0.2">
      <c r="A339" s="8" t="s">
        <v>3749</v>
      </c>
      <c r="B339" s="8" t="s">
        <v>341</v>
      </c>
      <c r="C339" s="30">
        <v>21765</v>
      </c>
    </row>
    <row r="340" spans="1:3" x14ac:dyDescent="0.2">
      <c r="A340" s="8" t="s">
        <v>3749</v>
      </c>
      <c r="B340" s="8" t="s">
        <v>52</v>
      </c>
      <c r="C340" s="30">
        <v>22742</v>
      </c>
    </row>
    <row r="341" spans="1:3" x14ac:dyDescent="0.2">
      <c r="A341" s="8" t="s">
        <v>3749</v>
      </c>
      <c r="B341" s="8" t="s">
        <v>53</v>
      </c>
      <c r="C341" s="30">
        <v>22842</v>
      </c>
    </row>
    <row r="342" spans="1:3" x14ac:dyDescent="0.2">
      <c r="A342" s="8" t="s">
        <v>3749</v>
      </c>
      <c r="B342" s="8" t="s">
        <v>340</v>
      </c>
      <c r="C342" s="30">
        <v>26492</v>
      </c>
    </row>
    <row r="343" spans="1:3" x14ac:dyDescent="0.2">
      <c r="A343" s="8" t="s">
        <v>3749</v>
      </c>
      <c r="B343" s="8" t="s">
        <v>54</v>
      </c>
      <c r="C343" s="30">
        <v>19639</v>
      </c>
    </row>
    <row r="344" spans="1:3" x14ac:dyDescent="0.2">
      <c r="A344" s="8" t="s">
        <v>3749</v>
      </c>
      <c r="B344" s="8" t="s">
        <v>55</v>
      </c>
      <c r="C344" s="30">
        <v>23289</v>
      </c>
    </row>
    <row r="345" spans="1:3" x14ac:dyDescent="0.2">
      <c r="A345" s="8" t="s">
        <v>3749</v>
      </c>
      <c r="B345" s="8" t="s">
        <v>56</v>
      </c>
      <c r="C345" s="30">
        <v>19152</v>
      </c>
    </row>
    <row r="346" spans="1:3" x14ac:dyDescent="0.2">
      <c r="A346" s="8" t="s">
        <v>3749</v>
      </c>
      <c r="B346" s="8" t="s">
        <v>3750</v>
      </c>
      <c r="C346" s="30">
        <v>24235</v>
      </c>
    </row>
    <row r="347" spans="1:3" x14ac:dyDescent="0.2">
      <c r="A347" s="8" t="s">
        <v>3749</v>
      </c>
      <c r="B347" s="8" t="s">
        <v>57</v>
      </c>
      <c r="C347" s="30">
        <v>22902</v>
      </c>
    </row>
    <row r="348" spans="1:3" x14ac:dyDescent="0.2">
      <c r="A348" s="8" t="s">
        <v>3749</v>
      </c>
      <c r="B348" s="8" t="s">
        <v>58</v>
      </c>
      <c r="C348" s="30">
        <v>19379</v>
      </c>
    </row>
    <row r="349" spans="1:3" x14ac:dyDescent="0.2">
      <c r="A349" s="8" t="s">
        <v>3749</v>
      </c>
      <c r="B349" s="8" t="s">
        <v>59</v>
      </c>
      <c r="C349" s="30">
        <v>18601</v>
      </c>
    </row>
    <row r="350" spans="1:3" x14ac:dyDescent="0.2">
      <c r="A350" s="8" t="s">
        <v>3749</v>
      </c>
      <c r="B350" s="8" t="s">
        <v>60</v>
      </c>
      <c r="C350" s="30">
        <v>18701</v>
      </c>
    </row>
    <row r="351" spans="1:3" x14ac:dyDescent="0.2">
      <c r="A351" s="8" t="s">
        <v>3749</v>
      </c>
      <c r="B351" s="8" t="s">
        <v>61</v>
      </c>
      <c r="C351" s="30">
        <v>22351</v>
      </c>
    </row>
    <row r="352" spans="1:3" x14ac:dyDescent="0.2">
      <c r="A352" s="8" t="s">
        <v>3749</v>
      </c>
      <c r="B352" s="8" t="s">
        <v>62</v>
      </c>
      <c r="C352" s="30">
        <v>22251</v>
      </c>
    </row>
    <row r="353" spans="1:3" x14ac:dyDescent="0.2">
      <c r="A353" s="8" t="s">
        <v>3749</v>
      </c>
      <c r="B353" s="8" t="s">
        <v>63</v>
      </c>
      <c r="C353" s="30">
        <v>21575</v>
      </c>
    </row>
    <row r="354" spans="1:3" x14ac:dyDescent="0.2">
      <c r="A354" s="8" t="s">
        <v>3749</v>
      </c>
      <c r="B354" s="8" t="s">
        <v>64</v>
      </c>
      <c r="C354" s="30">
        <v>25325</v>
      </c>
    </row>
    <row r="355" spans="1:3" x14ac:dyDescent="0.2">
      <c r="A355" s="8" t="s">
        <v>3749</v>
      </c>
      <c r="B355" s="8" t="s">
        <v>65</v>
      </c>
      <c r="C355" s="30">
        <v>20307</v>
      </c>
    </row>
    <row r="356" spans="1:3" x14ac:dyDescent="0.2">
      <c r="A356" s="8" t="s">
        <v>3749</v>
      </c>
      <c r="B356" s="8" t="s">
        <v>66</v>
      </c>
      <c r="C356" s="30">
        <v>20407</v>
      </c>
    </row>
    <row r="357" spans="1:3" x14ac:dyDescent="0.2">
      <c r="A357" s="8" t="s">
        <v>3749</v>
      </c>
      <c r="B357" s="8" t="s">
        <v>343</v>
      </c>
      <c r="C357" s="30">
        <v>24057</v>
      </c>
    </row>
    <row r="358" spans="1:3" x14ac:dyDescent="0.2">
      <c r="A358" s="8" t="s">
        <v>3749</v>
      </c>
      <c r="B358" s="8" t="s">
        <v>67</v>
      </c>
      <c r="C358" s="30">
        <v>17697</v>
      </c>
    </row>
    <row r="359" spans="1:3" x14ac:dyDescent="0.2">
      <c r="A359" s="8" t="s">
        <v>3749</v>
      </c>
      <c r="B359" s="8" t="s">
        <v>68</v>
      </c>
      <c r="C359" s="30">
        <v>21347</v>
      </c>
    </row>
    <row r="360" spans="1:3" x14ac:dyDescent="0.2">
      <c r="A360" s="8" t="s">
        <v>3749</v>
      </c>
      <c r="B360" s="8" t="s">
        <v>69</v>
      </c>
      <c r="C360" s="30">
        <v>19034</v>
      </c>
    </row>
    <row r="361" spans="1:3" x14ac:dyDescent="0.2">
      <c r="A361" s="8" t="s">
        <v>3749</v>
      </c>
      <c r="B361" s="8" t="s">
        <v>70</v>
      </c>
      <c r="C361" s="30">
        <v>16747</v>
      </c>
    </row>
    <row r="362" spans="1:3" x14ac:dyDescent="0.2">
      <c r="A362" s="8" t="s">
        <v>3749</v>
      </c>
      <c r="B362" s="8" t="s">
        <v>344</v>
      </c>
      <c r="C362" s="30">
        <v>16371</v>
      </c>
    </row>
    <row r="363" spans="1:3" x14ac:dyDescent="0.2">
      <c r="A363" s="8" t="s">
        <v>3749</v>
      </c>
      <c r="B363" s="8" t="s">
        <v>71</v>
      </c>
      <c r="C363" s="30">
        <v>20397</v>
      </c>
    </row>
    <row r="364" spans="1:3" x14ac:dyDescent="0.2">
      <c r="A364" s="8" t="s">
        <v>3749</v>
      </c>
      <c r="B364" s="8" t="s">
        <v>72</v>
      </c>
      <c r="C364" s="30">
        <v>18364</v>
      </c>
    </row>
    <row r="365" spans="1:3" x14ac:dyDescent="0.2">
      <c r="A365" s="8" t="s">
        <v>3749</v>
      </c>
      <c r="B365" s="8" t="s">
        <v>345</v>
      </c>
      <c r="C365" s="30">
        <v>18600</v>
      </c>
    </row>
    <row r="366" spans="1:3" x14ac:dyDescent="0.2">
      <c r="A366" s="8" t="s">
        <v>3749</v>
      </c>
      <c r="B366" s="8" t="s">
        <v>73</v>
      </c>
      <c r="C366" s="30">
        <v>18464</v>
      </c>
    </row>
    <row r="367" spans="1:3" x14ac:dyDescent="0.2">
      <c r="A367" s="8" t="s">
        <v>3749</v>
      </c>
      <c r="B367" s="8" t="s">
        <v>74</v>
      </c>
      <c r="C367" s="30">
        <v>22014</v>
      </c>
    </row>
    <row r="368" spans="1:3" x14ac:dyDescent="0.2">
      <c r="A368" s="8" t="s">
        <v>3749</v>
      </c>
      <c r="B368" s="8" t="s">
        <v>75</v>
      </c>
      <c r="C368" s="30">
        <v>23052</v>
      </c>
    </row>
    <row r="369" spans="1:3" x14ac:dyDescent="0.2">
      <c r="A369" s="8" t="s">
        <v>3749</v>
      </c>
      <c r="B369" s="8" t="s">
        <v>76</v>
      </c>
      <c r="C369" s="30">
        <v>23152</v>
      </c>
    </row>
    <row r="370" spans="1:3" x14ac:dyDescent="0.2">
      <c r="A370" s="8" t="s">
        <v>3749</v>
      </c>
      <c r="B370" s="8" t="s">
        <v>346</v>
      </c>
      <c r="C370" s="30">
        <v>26802</v>
      </c>
    </row>
    <row r="371" spans="1:3" x14ac:dyDescent="0.2">
      <c r="A371" s="8" t="s">
        <v>3749</v>
      </c>
      <c r="B371" s="8" t="s">
        <v>347</v>
      </c>
      <c r="C371" s="30">
        <v>20946</v>
      </c>
    </row>
    <row r="372" spans="1:3" x14ac:dyDescent="0.2">
      <c r="A372" s="8" t="s">
        <v>3749</v>
      </c>
      <c r="B372" s="8" t="s">
        <v>348</v>
      </c>
      <c r="C372" s="30">
        <v>21046</v>
      </c>
    </row>
    <row r="373" spans="1:3" x14ac:dyDescent="0.2">
      <c r="A373" s="8" t="s">
        <v>3749</v>
      </c>
      <c r="B373" s="8" t="s">
        <v>349</v>
      </c>
      <c r="C373" s="30">
        <v>24696</v>
      </c>
    </row>
    <row r="374" spans="1:3" x14ac:dyDescent="0.2">
      <c r="A374" s="8" t="s">
        <v>3749</v>
      </c>
      <c r="B374" s="8" t="s">
        <v>77</v>
      </c>
      <c r="C374" s="30">
        <v>24596</v>
      </c>
    </row>
    <row r="375" spans="1:3" x14ac:dyDescent="0.2">
      <c r="A375" s="8" t="s">
        <v>3749</v>
      </c>
      <c r="B375" s="8" t="s">
        <v>352</v>
      </c>
      <c r="C375" s="30">
        <v>26690</v>
      </c>
    </row>
    <row r="376" spans="1:3" x14ac:dyDescent="0.2">
      <c r="A376" s="8" t="s">
        <v>3749</v>
      </c>
      <c r="B376" s="8" t="s">
        <v>78</v>
      </c>
      <c r="C376" s="30">
        <v>24647</v>
      </c>
    </row>
    <row r="377" spans="1:3" x14ac:dyDescent="0.2">
      <c r="A377" s="8" t="s">
        <v>3749</v>
      </c>
      <c r="B377" s="8" t="s">
        <v>79</v>
      </c>
      <c r="C377" s="30">
        <v>24747</v>
      </c>
    </row>
    <row r="378" spans="1:3" x14ac:dyDescent="0.2">
      <c r="A378" s="8" t="s">
        <v>3749</v>
      </c>
      <c r="B378" s="8" t="s">
        <v>350</v>
      </c>
      <c r="C378" s="30">
        <v>28397</v>
      </c>
    </row>
    <row r="379" spans="1:3" x14ac:dyDescent="0.2">
      <c r="A379" s="8" t="s">
        <v>3749</v>
      </c>
      <c r="B379" s="8" t="s">
        <v>351</v>
      </c>
      <c r="C379" s="30">
        <v>28297</v>
      </c>
    </row>
    <row r="380" spans="1:3" x14ac:dyDescent="0.2">
      <c r="A380" s="8" t="s">
        <v>3749</v>
      </c>
      <c r="B380" s="8" t="s">
        <v>80</v>
      </c>
      <c r="C380" s="30">
        <v>21630</v>
      </c>
    </row>
    <row r="381" spans="1:3" x14ac:dyDescent="0.2">
      <c r="A381" s="8" t="s">
        <v>3749</v>
      </c>
      <c r="B381" s="8" t="s">
        <v>81</v>
      </c>
      <c r="C381" s="30">
        <v>20957</v>
      </c>
    </row>
    <row r="382" spans="1:3" x14ac:dyDescent="0.2">
      <c r="A382" s="8" t="s">
        <v>3749</v>
      </c>
      <c r="B382" s="8" t="s">
        <v>82</v>
      </c>
      <c r="C382" s="30">
        <v>21057</v>
      </c>
    </row>
    <row r="383" spans="1:3" x14ac:dyDescent="0.2">
      <c r="A383" s="8" t="s">
        <v>3749</v>
      </c>
      <c r="B383" s="8" t="s">
        <v>83</v>
      </c>
      <c r="C383" s="30">
        <v>24707</v>
      </c>
    </row>
    <row r="384" spans="1:3" x14ac:dyDescent="0.2">
      <c r="A384" s="8" t="s">
        <v>3749</v>
      </c>
      <c r="B384" s="8" t="s">
        <v>84</v>
      </c>
      <c r="C384" s="30">
        <v>23225</v>
      </c>
    </row>
    <row r="385" spans="1:3" x14ac:dyDescent="0.2">
      <c r="A385" s="8" t="s">
        <v>3749</v>
      </c>
      <c r="B385" s="8" t="s">
        <v>85</v>
      </c>
      <c r="C385" s="30">
        <v>26875</v>
      </c>
    </row>
    <row r="386" spans="1:3" x14ac:dyDescent="0.2">
      <c r="A386" s="8" t="s">
        <v>3749</v>
      </c>
      <c r="B386" s="8" t="s">
        <v>86</v>
      </c>
      <c r="C386" s="30">
        <v>21081</v>
      </c>
    </row>
    <row r="387" spans="1:3" x14ac:dyDescent="0.2">
      <c r="A387" s="8" t="s">
        <v>3749</v>
      </c>
      <c r="B387" s="8" t="s">
        <v>87</v>
      </c>
      <c r="C387" s="30">
        <v>18887</v>
      </c>
    </row>
    <row r="388" spans="1:3" x14ac:dyDescent="0.2">
      <c r="A388" s="8" t="s">
        <v>3749</v>
      </c>
      <c r="B388" s="8" t="s">
        <v>88</v>
      </c>
      <c r="C388" s="30">
        <v>22537</v>
      </c>
    </row>
    <row r="389" spans="1:3" x14ac:dyDescent="0.2">
      <c r="A389" s="8" t="s">
        <v>3749</v>
      </c>
      <c r="B389" s="8" t="s">
        <v>89</v>
      </c>
      <c r="C389" s="30">
        <v>21119</v>
      </c>
    </row>
    <row r="390" spans="1:3" x14ac:dyDescent="0.2">
      <c r="A390" s="8" t="s">
        <v>3749</v>
      </c>
      <c r="B390" s="8" t="s">
        <v>355</v>
      </c>
      <c r="C390" s="30">
        <v>23162</v>
      </c>
    </row>
    <row r="391" spans="1:3" x14ac:dyDescent="0.2">
      <c r="A391" s="8" t="s">
        <v>3749</v>
      </c>
      <c r="B391" s="8" t="s">
        <v>356</v>
      </c>
      <c r="C391" s="30">
        <v>33834</v>
      </c>
    </row>
    <row r="392" spans="1:3" x14ac:dyDescent="0.2">
      <c r="A392" s="8" t="s">
        <v>3749</v>
      </c>
      <c r="B392" s="8" t="s">
        <v>90</v>
      </c>
      <c r="C392" s="30">
        <v>28359</v>
      </c>
    </row>
    <row r="393" spans="1:3" x14ac:dyDescent="0.2">
      <c r="A393" s="8" t="s">
        <v>3749</v>
      </c>
      <c r="B393" s="8" t="s">
        <v>91</v>
      </c>
      <c r="C393" s="30">
        <v>33834</v>
      </c>
    </row>
    <row r="394" spans="1:3" x14ac:dyDescent="0.2">
      <c r="A394" s="8" t="s">
        <v>3749</v>
      </c>
      <c r="B394" s="8" t="s">
        <v>92</v>
      </c>
      <c r="C394" s="30">
        <v>29653</v>
      </c>
    </row>
    <row r="395" spans="1:3" x14ac:dyDescent="0.2">
      <c r="A395" s="8" t="s">
        <v>3749</v>
      </c>
      <c r="B395" s="8" t="s">
        <v>93</v>
      </c>
      <c r="C395" s="30">
        <v>35128</v>
      </c>
    </row>
    <row r="396" spans="1:3" x14ac:dyDescent="0.2">
      <c r="A396" s="8" t="s">
        <v>3749</v>
      </c>
      <c r="B396" s="8" t="s">
        <v>94</v>
      </c>
      <c r="C396" s="30">
        <v>26853</v>
      </c>
    </row>
    <row r="397" spans="1:3" x14ac:dyDescent="0.2">
      <c r="A397" s="8" t="s">
        <v>3749</v>
      </c>
      <c r="B397" s="8" t="s">
        <v>95</v>
      </c>
      <c r="C397" s="30">
        <v>28190</v>
      </c>
    </row>
    <row r="398" spans="1:3" x14ac:dyDescent="0.2">
      <c r="A398" s="8" t="s">
        <v>3749</v>
      </c>
      <c r="B398" s="8" t="s">
        <v>96</v>
      </c>
      <c r="C398" s="30">
        <v>24471</v>
      </c>
    </row>
    <row r="399" spans="1:3" x14ac:dyDescent="0.2">
      <c r="A399" s="8" t="s">
        <v>3749</v>
      </c>
      <c r="B399" s="8" t="s">
        <v>97</v>
      </c>
      <c r="C399" s="30">
        <v>23323</v>
      </c>
    </row>
    <row r="400" spans="1:3" x14ac:dyDescent="0.2">
      <c r="A400" s="8" t="s">
        <v>3749</v>
      </c>
      <c r="B400" s="8" t="s">
        <v>98</v>
      </c>
      <c r="C400" s="30">
        <v>26973</v>
      </c>
    </row>
    <row r="401" spans="1:3" x14ac:dyDescent="0.2">
      <c r="A401" s="8" t="s">
        <v>3749</v>
      </c>
      <c r="B401" s="8" t="s">
        <v>99</v>
      </c>
      <c r="C401" s="30">
        <v>24046</v>
      </c>
    </row>
    <row r="402" spans="1:3" x14ac:dyDescent="0.2">
      <c r="A402" s="8" t="s">
        <v>3749</v>
      </c>
      <c r="B402" s="8" t="s">
        <v>100</v>
      </c>
      <c r="C402" s="30">
        <v>24146</v>
      </c>
    </row>
    <row r="403" spans="1:3" x14ac:dyDescent="0.2">
      <c r="A403" s="8" t="s">
        <v>3749</v>
      </c>
      <c r="B403" s="8" t="s">
        <v>101</v>
      </c>
      <c r="C403" s="30">
        <v>27696</v>
      </c>
    </row>
    <row r="404" spans="1:3" x14ac:dyDescent="0.2">
      <c r="A404" s="8" t="s">
        <v>3749</v>
      </c>
      <c r="B404" s="8" t="s">
        <v>102</v>
      </c>
      <c r="C404" s="30">
        <v>24250</v>
      </c>
    </row>
    <row r="405" spans="1:3" x14ac:dyDescent="0.2">
      <c r="A405" s="8" t="s">
        <v>3749</v>
      </c>
      <c r="B405" s="8" t="s">
        <v>103</v>
      </c>
      <c r="C405" s="30">
        <v>24350</v>
      </c>
    </row>
    <row r="406" spans="1:3" x14ac:dyDescent="0.2">
      <c r="A406" s="8" t="s">
        <v>3749</v>
      </c>
      <c r="B406" s="8" t="s">
        <v>104</v>
      </c>
      <c r="C406" s="30">
        <v>26378</v>
      </c>
    </row>
    <row r="407" spans="1:3" x14ac:dyDescent="0.2">
      <c r="A407" s="8" t="s">
        <v>3749</v>
      </c>
      <c r="B407" s="8" t="s">
        <v>105</v>
      </c>
      <c r="C407" s="30">
        <v>26478</v>
      </c>
    </row>
    <row r="408" spans="1:3" x14ac:dyDescent="0.2">
      <c r="A408" s="8" t="s">
        <v>3749</v>
      </c>
      <c r="B408" s="8" t="s">
        <v>106</v>
      </c>
      <c r="C408" s="30">
        <v>23733</v>
      </c>
    </row>
    <row r="409" spans="1:3" x14ac:dyDescent="0.2">
      <c r="A409" s="8" t="s">
        <v>3749</v>
      </c>
      <c r="B409" s="8" t="s">
        <v>107</v>
      </c>
      <c r="C409" s="30">
        <v>23833</v>
      </c>
    </row>
    <row r="410" spans="1:3" x14ac:dyDescent="0.2">
      <c r="A410" s="8" t="s">
        <v>3749</v>
      </c>
      <c r="B410" s="8" t="s">
        <v>108</v>
      </c>
      <c r="C410" s="30">
        <v>27483</v>
      </c>
    </row>
    <row r="411" spans="1:3" x14ac:dyDescent="0.2">
      <c r="A411" s="8" t="s">
        <v>3749</v>
      </c>
      <c r="B411" s="8" t="s">
        <v>109</v>
      </c>
      <c r="C411" s="30">
        <v>27383</v>
      </c>
    </row>
    <row r="412" spans="1:3" x14ac:dyDescent="0.2">
      <c r="A412" s="8" t="s">
        <v>3749</v>
      </c>
      <c r="B412" s="8" t="s">
        <v>110</v>
      </c>
      <c r="C412" s="30">
        <v>25932</v>
      </c>
    </row>
    <row r="413" spans="1:3" x14ac:dyDescent="0.2">
      <c r="A413" s="8" t="s">
        <v>3749</v>
      </c>
      <c r="B413" s="8" t="s">
        <v>111</v>
      </c>
      <c r="C413" s="30">
        <v>26032</v>
      </c>
    </row>
    <row r="414" spans="1:3" x14ac:dyDescent="0.2">
      <c r="A414" s="8" t="s">
        <v>3749</v>
      </c>
      <c r="B414" s="8" t="s">
        <v>362</v>
      </c>
      <c r="C414" s="30">
        <v>27846</v>
      </c>
    </row>
    <row r="415" spans="1:3" x14ac:dyDescent="0.2">
      <c r="A415" s="8" t="s">
        <v>3749</v>
      </c>
      <c r="B415" s="8" t="s">
        <v>112</v>
      </c>
      <c r="C415" s="30">
        <v>29682</v>
      </c>
    </row>
    <row r="416" spans="1:3" x14ac:dyDescent="0.2">
      <c r="A416" s="8" t="s">
        <v>3749</v>
      </c>
      <c r="B416" s="8" t="s">
        <v>113</v>
      </c>
      <c r="C416" s="30">
        <v>29582</v>
      </c>
    </row>
    <row r="417" spans="1:3" x14ac:dyDescent="0.2">
      <c r="A417" s="8" t="s">
        <v>3749</v>
      </c>
      <c r="B417" s="8" t="s">
        <v>360</v>
      </c>
      <c r="C417" s="30">
        <v>27854</v>
      </c>
    </row>
    <row r="418" spans="1:3" x14ac:dyDescent="0.2">
      <c r="A418" s="8" t="s">
        <v>3749</v>
      </c>
      <c r="B418" s="8" t="s">
        <v>361</v>
      </c>
      <c r="C418" s="30">
        <v>38034</v>
      </c>
    </row>
    <row r="419" spans="1:3" x14ac:dyDescent="0.2">
      <c r="A419" s="8" t="s">
        <v>3749</v>
      </c>
      <c r="B419" s="8" t="s">
        <v>114</v>
      </c>
      <c r="C419" s="30">
        <v>22261</v>
      </c>
    </row>
    <row r="420" spans="1:3" x14ac:dyDescent="0.2">
      <c r="A420" s="8" t="s">
        <v>3749</v>
      </c>
      <c r="B420" s="8" t="s">
        <v>115</v>
      </c>
      <c r="C420" s="30">
        <v>25911</v>
      </c>
    </row>
    <row r="421" spans="1:3" x14ac:dyDescent="0.2">
      <c r="A421" s="8" t="s">
        <v>3749</v>
      </c>
      <c r="B421" s="8" t="s">
        <v>116</v>
      </c>
      <c r="C421" s="30">
        <v>24534</v>
      </c>
    </row>
    <row r="422" spans="1:3" x14ac:dyDescent="0.2">
      <c r="A422" s="8" t="s">
        <v>3749</v>
      </c>
      <c r="B422" s="8" t="s">
        <v>117</v>
      </c>
      <c r="C422" s="30">
        <v>20635</v>
      </c>
    </row>
    <row r="423" spans="1:3" x14ac:dyDescent="0.2">
      <c r="A423" s="8" t="s">
        <v>3749</v>
      </c>
      <c r="B423" s="8" t="s">
        <v>118</v>
      </c>
      <c r="C423" s="30">
        <v>20124</v>
      </c>
    </row>
    <row r="424" spans="1:3" x14ac:dyDescent="0.2">
      <c r="A424" s="8" t="s">
        <v>3749</v>
      </c>
      <c r="B424" s="8" t="s">
        <v>119</v>
      </c>
      <c r="C424" s="30">
        <v>23774</v>
      </c>
    </row>
    <row r="425" spans="1:3" x14ac:dyDescent="0.2">
      <c r="A425" s="8" t="s">
        <v>3749</v>
      </c>
      <c r="B425" s="8" t="s">
        <v>120</v>
      </c>
      <c r="C425" s="30">
        <v>22366</v>
      </c>
    </row>
    <row r="426" spans="1:3" x14ac:dyDescent="0.2">
      <c r="A426" s="8" t="s">
        <v>3749</v>
      </c>
      <c r="B426" s="8" t="s">
        <v>364</v>
      </c>
      <c r="C426" s="30">
        <v>24298</v>
      </c>
    </row>
    <row r="427" spans="1:3" x14ac:dyDescent="0.2">
      <c r="A427" s="8" t="s">
        <v>3749</v>
      </c>
      <c r="B427" s="8" t="s">
        <v>365</v>
      </c>
      <c r="C427" s="30">
        <v>31486</v>
      </c>
    </row>
    <row r="428" spans="1:3" x14ac:dyDescent="0.2">
      <c r="A428" s="8" t="s">
        <v>3749</v>
      </c>
      <c r="B428" s="8" t="s">
        <v>366</v>
      </c>
      <c r="C428" s="30">
        <v>30212</v>
      </c>
    </row>
    <row r="429" spans="1:3" x14ac:dyDescent="0.2">
      <c r="A429" s="8" t="s">
        <v>3749</v>
      </c>
      <c r="B429" s="8" t="s">
        <v>368</v>
      </c>
      <c r="C429" s="30">
        <v>31421</v>
      </c>
    </row>
    <row r="430" spans="1:3" x14ac:dyDescent="0.2">
      <c r="A430" s="8" t="s">
        <v>3749</v>
      </c>
      <c r="B430" s="8" t="s">
        <v>36</v>
      </c>
      <c r="C430" s="30">
        <v>34276</v>
      </c>
    </row>
    <row r="431" spans="1:3" x14ac:dyDescent="0.2">
      <c r="A431" s="8" t="s">
        <v>3749</v>
      </c>
      <c r="B431" s="8" t="s">
        <v>369</v>
      </c>
      <c r="C431" s="30">
        <v>49546</v>
      </c>
    </row>
    <row r="432" spans="1:3" x14ac:dyDescent="0.2">
      <c r="A432" s="8" t="s">
        <v>3749</v>
      </c>
      <c r="B432" s="8" t="s">
        <v>371</v>
      </c>
      <c r="C432" s="30">
        <v>26054</v>
      </c>
    </row>
    <row r="433" spans="1:3" x14ac:dyDescent="0.2">
      <c r="A433" s="8" t="s">
        <v>3749</v>
      </c>
      <c r="B433" s="8" t="s">
        <v>122</v>
      </c>
      <c r="C433" s="30">
        <v>27537</v>
      </c>
    </row>
    <row r="434" spans="1:3" x14ac:dyDescent="0.2">
      <c r="A434" s="8" t="s">
        <v>3749</v>
      </c>
      <c r="B434" s="8" t="s">
        <v>123</v>
      </c>
      <c r="C434" s="30">
        <v>24901</v>
      </c>
    </row>
    <row r="435" spans="1:3" x14ac:dyDescent="0.2">
      <c r="A435" s="8" t="s">
        <v>3749</v>
      </c>
      <c r="B435" s="8" t="s">
        <v>124</v>
      </c>
      <c r="C435" s="30">
        <v>28551</v>
      </c>
    </row>
    <row r="436" spans="1:3" x14ac:dyDescent="0.2">
      <c r="A436" s="8" t="s">
        <v>3749</v>
      </c>
      <c r="B436" s="8" t="s">
        <v>383</v>
      </c>
      <c r="C436" s="30">
        <v>26776</v>
      </c>
    </row>
    <row r="437" spans="1:3" x14ac:dyDescent="0.2">
      <c r="A437" s="8" t="s">
        <v>3749</v>
      </c>
      <c r="B437" s="8" t="s">
        <v>3751</v>
      </c>
      <c r="C437" s="30">
        <v>30426</v>
      </c>
    </row>
    <row r="438" spans="1:3" x14ac:dyDescent="0.2">
      <c r="A438" s="8" t="s">
        <v>3749</v>
      </c>
      <c r="B438" s="8" t="s">
        <v>384</v>
      </c>
      <c r="C438" s="30">
        <v>29012</v>
      </c>
    </row>
    <row r="439" spans="1:3" x14ac:dyDescent="0.2">
      <c r="A439" s="8" t="s">
        <v>3749</v>
      </c>
      <c r="B439" s="8" t="s">
        <v>385</v>
      </c>
      <c r="C439" s="30">
        <v>39192</v>
      </c>
    </row>
    <row r="440" spans="1:3" x14ac:dyDescent="0.2">
      <c r="A440" s="8" t="s">
        <v>3749</v>
      </c>
      <c r="B440" s="8" t="s">
        <v>125</v>
      </c>
      <c r="C440" s="30">
        <v>28932</v>
      </c>
    </row>
    <row r="441" spans="1:3" x14ac:dyDescent="0.2">
      <c r="A441" s="8" t="s">
        <v>3749</v>
      </c>
      <c r="B441" s="8" t="s">
        <v>126</v>
      </c>
      <c r="C441" s="30">
        <v>34407</v>
      </c>
    </row>
    <row r="442" spans="1:3" x14ac:dyDescent="0.2">
      <c r="A442" s="8" t="s">
        <v>3749</v>
      </c>
      <c r="B442" s="8" t="s">
        <v>127</v>
      </c>
      <c r="C442" s="30">
        <v>27899</v>
      </c>
    </row>
    <row r="443" spans="1:3" x14ac:dyDescent="0.2">
      <c r="A443" s="8" t="s">
        <v>3749</v>
      </c>
      <c r="B443" s="8" t="s">
        <v>386</v>
      </c>
      <c r="C443" s="30">
        <v>29874</v>
      </c>
    </row>
    <row r="444" spans="1:3" x14ac:dyDescent="0.2">
      <c r="A444" s="8" t="s">
        <v>3749</v>
      </c>
      <c r="B444" s="8" t="s">
        <v>387</v>
      </c>
      <c r="C444" s="30">
        <v>40054</v>
      </c>
    </row>
    <row r="445" spans="1:3" x14ac:dyDescent="0.2">
      <c r="A445" s="8" t="s">
        <v>3749</v>
      </c>
      <c r="B445" s="8" t="s">
        <v>128</v>
      </c>
      <c r="C445" s="30">
        <v>30909</v>
      </c>
    </row>
    <row r="446" spans="1:3" x14ac:dyDescent="0.2">
      <c r="A446" s="8" t="s">
        <v>3749</v>
      </c>
      <c r="B446" s="8" t="s">
        <v>129</v>
      </c>
      <c r="C446" s="30">
        <v>17837</v>
      </c>
    </row>
    <row r="447" spans="1:3" x14ac:dyDescent="0.2">
      <c r="A447" s="8" t="s">
        <v>3749</v>
      </c>
      <c r="B447" s="8" t="s">
        <v>130</v>
      </c>
      <c r="C447" s="30">
        <v>14683</v>
      </c>
    </row>
    <row r="448" spans="1:3" x14ac:dyDescent="0.2">
      <c r="A448" s="8" t="s">
        <v>3749</v>
      </c>
      <c r="B448" s="8" t="s">
        <v>131</v>
      </c>
      <c r="C448" s="30">
        <v>17409</v>
      </c>
    </row>
    <row r="449" spans="1:3" x14ac:dyDescent="0.2">
      <c r="A449" s="8" t="s">
        <v>3749</v>
      </c>
      <c r="B449" s="8" t="s">
        <v>132</v>
      </c>
      <c r="C449" s="30">
        <v>15608</v>
      </c>
    </row>
    <row r="450" spans="1:3" x14ac:dyDescent="0.2">
      <c r="A450" s="8" t="s">
        <v>3749</v>
      </c>
      <c r="B450" s="8" t="s">
        <v>390</v>
      </c>
      <c r="C450" s="30">
        <v>19258</v>
      </c>
    </row>
    <row r="451" spans="1:3" x14ac:dyDescent="0.2">
      <c r="A451" s="8" t="s">
        <v>3749</v>
      </c>
      <c r="B451" s="8" t="s">
        <v>133</v>
      </c>
      <c r="C451" s="30">
        <v>14208</v>
      </c>
    </row>
    <row r="452" spans="1:3" x14ac:dyDescent="0.2">
      <c r="A452" s="8" t="s">
        <v>3749</v>
      </c>
      <c r="B452" s="8" t="s">
        <v>134</v>
      </c>
      <c r="C452" s="30">
        <v>15107</v>
      </c>
    </row>
    <row r="453" spans="1:3" x14ac:dyDescent="0.2">
      <c r="A453" s="8" t="s">
        <v>3749</v>
      </c>
      <c r="B453" s="8" t="s">
        <v>135</v>
      </c>
      <c r="C453" s="30">
        <v>15207</v>
      </c>
    </row>
    <row r="454" spans="1:3" x14ac:dyDescent="0.2">
      <c r="A454" s="8" t="s">
        <v>3749</v>
      </c>
      <c r="B454" s="8" t="s">
        <v>136</v>
      </c>
      <c r="C454" s="30">
        <v>18757</v>
      </c>
    </row>
    <row r="455" spans="1:3" x14ac:dyDescent="0.2">
      <c r="A455" s="8" t="s">
        <v>3749</v>
      </c>
      <c r="B455" s="8" t="s">
        <v>137</v>
      </c>
      <c r="C455" s="30">
        <v>14668</v>
      </c>
    </row>
    <row r="456" spans="1:3" x14ac:dyDescent="0.2">
      <c r="A456" s="8" t="s">
        <v>3749</v>
      </c>
      <c r="B456" s="8" t="s">
        <v>138</v>
      </c>
      <c r="C456" s="30">
        <v>14768</v>
      </c>
    </row>
    <row r="457" spans="1:3" x14ac:dyDescent="0.2">
      <c r="A457" s="8" t="s">
        <v>3749</v>
      </c>
      <c r="B457" s="8" t="s">
        <v>139</v>
      </c>
      <c r="C457" s="30">
        <v>16493</v>
      </c>
    </row>
    <row r="458" spans="1:3" x14ac:dyDescent="0.2">
      <c r="A458" s="8" t="s">
        <v>3749</v>
      </c>
      <c r="B458" s="8" t="s">
        <v>140</v>
      </c>
      <c r="C458" s="30">
        <v>15843</v>
      </c>
    </row>
    <row r="459" spans="1:3" x14ac:dyDescent="0.2">
      <c r="A459" s="8" t="s">
        <v>3749</v>
      </c>
      <c r="B459" s="8" t="s">
        <v>1045</v>
      </c>
      <c r="C459" s="30">
        <v>19493</v>
      </c>
    </row>
    <row r="460" spans="1:3" x14ac:dyDescent="0.2">
      <c r="A460" s="8" t="s">
        <v>3749</v>
      </c>
      <c r="B460" s="8" t="s">
        <v>141</v>
      </c>
      <c r="C460" s="30">
        <v>14553</v>
      </c>
    </row>
    <row r="461" spans="1:3" x14ac:dyDescent="0.2">
      <c r="A461" s="8" t="s">
        <v>3749</v>
      </c>
      <c r="B461" s="8" t="s">
        <v>142</v>
      </c>
      <c r="C461" s="30">
        <v>17709</v>
      </c>
    </row>
    <row r="462" spans="1:3" x14ac:dyDescent="0.2">
      <c r="A462" s="8" t="s">
        <v>3749</v>
      </c>
      <c r="B462" s="8" t="s">
        <v>143</v>
      </c>
      <c r="C462" s="30">
        <v>17809</v>
      </c>
    </row>
    <row r="463" spans="1:3" x14ac:dyDescent="0.2">
      <c r="A463" s="8" t="s">
        <v>3749</v>
      </c>
      <c r="B463" s="8" t="s">
        <v>144</v>
      </c>
      <c r="C463" s="30">
        <v>21459</v>
      </c>
    </row>
    <row r="464" spans="1:3" x14ac:dyDescent="0.2">
      <c r="A464" s="8" t="s">
        <v>3749</v>
      </c>
      <c r="B464" s="8" t="s">
        <v>145</v>
      </c>
      <c r="C464" s="30">
        <v>21359</v>
      </c>
    </row>
    <row r="465" spans="1:3" x14ac:dyDescent="0.2">
      <c r="A465" s="8" t="s">
        <v>3749</v>
      </c>
      <c r="B465" s="8" t="s">
        <v>146</v>
      </c>
      <c r="C465" s="30">
        <v>15210</v>
      </c>
    </row>
    <row r="466" spans="1:3" x14ac:dyDescent="0.2">
      <c r="A466" s="8" t="s">
        <v>3749</v>
      </c>
      <c r="B466" s="8" t="s">
        <v>392</v>
      </c>
      <c r="C466" s="30">
        <v>17797</v>
      </c>
    </row>
    <row r="467" spans="1:3" x14ac:dyDescent="0.2">
      <c r="A467" s="8" t="s">
        <v>3749</v>
      </c>
      <c r="B467" s="8" t="s">
        <v>147</v>
      </c>
      <c r="C467" s="30">
        <v>21447</v>
      </c>
    </row>
    <row r="468" spans="1:3" x14ac:dyDescent="0.2">
      <c r="A468" s="8" t="s">
        <v>3749</v>
      </c>
      <c r="B468" s="8" t="s">
        <v>148</v>
      </c>
      <c r="C468" s="30">
        <v>17697</v>
      </c>
    </row>
    <row r="469" spans="1:3" x14ac:dyDescent="0.2">
      <c r="A469" s="8" t="s">
        <v>3749</v>
      </c>
      <c r="B469" s="8" t="s">
        <v>149</v>
      </c>
      <c r="C469" s="30">
        <v>17797</v>
      </c>
    </row>
    <row r="470" spans="1:3" x14ac:dyDescent="0.2">
      <c r="A470" s="8" t="s">
        <v>3749</v>
      </c>
      <c r="B470" s="8" t="s">
        <v>150</v>
      </c>
      <c r="C470" s="30">
        <v>21447</v>
      </c>
    </row>
    <row r="471" spans="1:3" x14ac:dyDescent="0.2">
      <c r="A471" s="8" t="s">
        <v>3749</v>
      </c>
      <c r="B471" s="8" t="s">
        <v>27</v>
      </c>
      <c r="C471" s="30">
        <v>22215</v>
      </c>
    </row>
    <row r="472" spans="1:3" x14ac:dyDescent="0.2">
      <c r="A472" s="8" t="s">
        <v>3749</v>
      </c>
      <c r="B472" s="8" t="s">
        <v>393</v>
      </c>
      <c r="C472" s="30">
        <v>21132</v>
      </c>
    </row>
    <row r="473" spans="1:3" x14ac:dyDescent="0.2">
      <c r="A473" s="8" t="s">
        <v>3749</v>
      </c>
      <c r="B473" s="8" t="s">
        <v>151</v>
      </c>
      <c r="C473" s="30">
        <v>17482</v>
      </c>
    </row>
    <row r="474" spans="1:3" x14ac:dyDescent="0.2">
      <c r="A474" s="8" t="s">
        <v>3749</v>
      </c>
      <c r="B474" s="8" t="s">
        <v>394</v>
      </c>
      <c r="C474" s="30">
        <v>21132</v>
      </c>
    </row>
    <row r="475" spans="1:3" x14ac:dyDescent="0.2">
      <c r="A475" s="8" t="s">
        <v>3749</v>
      </c>
      <c r="B475" s="8" t="s">
        <v>395</v>
      </c>
      <c r="C475" s="30">
        <v>18000</v>
      </c>
    </row>
    <row r="476" spans="1:3" x14ac:dyDescent="0.2">
      <c r="A476" s="8" t="s">
        <v>3749</v>
      </c>
      <c r="B476" s="8" t="s">
        <v>396</v>
      </c>
      <c r="C476" s="30">
        <v>21650</v>
      </c>
    </row>
    <row r="477" spans="1:3" x14ac:dyDescent="0.2">
      <c r="A477" s="8" t="s">
        <v>3749</v>
      </c>
      <c r="B477" s="8" t="s">
        <v>152</v>
      </c>
      <c r="C477" s="30">
        <v>17252</v>
      </c>
    </row>
    <row r="478" spans="1:3" x14ac:dyDescent="0.2">
      <c r="A478" s="8" t="s">
        <v>3749</v>
      </c>
      <c r="B478" s="8" t="s">
        <v>3752</v>
      </c>
      <c r="C478" s="30">
        <v>20902</v>
      </c>
    </row>
    <row r="479" spans="1:3" x14ac:dyDescent="0.2">
      <c r="A479" s="8" t="s">
        <v>3749</v>
      </c>
      <c r="B479" s="8" t="s">
        <v>153</v>
      </c>
      <c r="C479" s="30">
        <v>17252</v>
      </c>
    </row>
    <row r="480" spans="1:3" x14ac:dyDescent="0.2">
      <c r="A480" s="8" t="s">
        <v>3749</v>
      </c>
      <c r="B480" s="8" t="s">
        <v>154</v>
      </c>
      <c r="C480" s="30">
        <v>19549</v>
      </c>
    </row>
    <row r="481" spans="1:3" x14ac:dyDescent="0.2">
      <c r="A481" s="8" t="s">
        <v>3749</v>
      </c>
      <c r="B481" s="8" t="s">
        <v>155</v>
      </c>
      <c r="C481" s="30">
        <v>23099</v>
      </c>
    </row>
    <row r="482" spans="1:3" x14ac:dyDescent="0.2">
      <c r="A482" s="8" t="s">
        <v>3749</v>
      </c>
      <c r="B482" s="8" t="s">
        <v>156</v>
      </c>
      <c r="C482" s="30">
        <v>17697</v>
      </c>
    </row>
    <row r="483" spans="1:3" x14ac:dyDescent="0.2">
      <c r="A483" s="8" t="s">
        <v>3749</v>
      </c>
      <c r="B483" s="8" t="s">
        <v>157</v>
      </c>
      <c r="C483" s="30">
        <v>17797</v>
      </c>
    </row>
    <row r="484" spans="1:3" x14ac:dyDescent="0.2">
      <c r="A484" s="8" t="s">
        <v>3749</v>
      </c>
      <c r="B484" s="8" t="s">
        <v>158</v>
      </c>
      <c r="C484" s="30">
        <v>21447</v>
      </c>
    </row>
    <row r="485" spans="1:3" x14ac:dyDescent="0.2">
      <c r="A485" s="8" t="s">
        <v>3749</v>
      </c>
      <c r="B485" s="8" t="s">
        <v>159</v>
      </c>
      <c r="C485" s="30">
        <v>21347</v>
      </c>
    </row>
    <row r="486" spans="1:3" x14ac:dyDescent="0.2">
      <c r="A486" s="8" t="s">
        <v>3749</v>
      </c>
      <c r="B486" s="8" t="s">
        <v>160</v>
      </c>
      <c r="C486" s="30">
        <v>18465</v>
      </c>
    </row>
    <row r="487" spans="1:3" x14ac:dyDescent="0.2">
      <c r="A487" s="8" t="s">
        <v>3749</v>
      </c>
      <c r="B487" s="8" t="s">
        <v>161</v>
      </c>
      <c r="C487" s="30">
        <v>18565</v>
      </c>
    </row>
    <row r="488" spans="1:3" x14ac:dyDescent="0.2">
      <c r="A488" s="8" t="s">
        <v>3749</v>
      </c>
      <c r="B488" s="8" t="s">
        <v>162</v>
      </c>
      <c r="C488" s="30">
        <v>22215</v>
      </c>
    </row>
    <row r="489" spans="1:3" x14ac:dyDescent="0.2">
      <c r="A489" s="8" t="s">
        <v>3749</v>
      </c>
      <c r="B489" s="8" t="s">
        <v>163</v>
      </c>
      <c r="C489" s="30">
        <v>18763</v>
      </c>
    </row>
    <row r="490" spans="1:3" x14ac:dyDescent="0.2">
      <c r="A490" s="8" t="s">
        <v>3749</v>
      </c>
      <c r="B490" s="8" t="s">
        <v>164</v>
      </c>
      <c r="C490" s="30">
        <v>18863</v>
      </c>
    </row>
    <row r="491" spans="1:3" x14ac:dyDescent="0.2">
      <c r="A491" s="8" t="s">
        <v>3749</v>
      </c>
      <c r="B491" s="8" t="s">
        <v>165</v>
      </c>
      <c r="C491" s="30">
        <v>22513</v>
      </c>
    </row>
    <row r="492" spans="1:3" x14ac:dyDescent="0.2">
      <c r="A492" s="8" t="s">
        <v>3749</v>
      </c>
      <c r="B492" s="8" t="s">
        <v>166</v>
      </c>
      <c r="C492" s="30">
        <v>17382</v>
      </c>
    </row>
    <row r="493" spans="1:3" x14ac:dyDescent="0.2">
      <c r="A493" s="8" t="s">
        <v>3749</v>
      </c>
      <c r="B493" s="8" t="s">
        <v>167</v>
      </c>
      <c r="C493" s="30">
        <v>17482</v>
      </c>
    </row>
    <row r="494" spans="1:3" x14ac:dyDescent="0.2">
      <c r="A494" s="8" t="s">
        <v>3749</v>
      </c>
      <c r="B494" s="8" t="s">
        <v>168</v>
      </c>
      <c r="C494" s="30">
        <v>21032</v>
      </c>
    </row>
    <row r="495" spans="1:3" x14ac:dyDescent="0.2">
      <c r="A495" s="8" t="s">
        <v>3749</v>
      </c>
      <c r="B495" s="8" t="s">
        <v>169</v>
      </c>
      <c r="C495" s="30">
        <v>17900</v>
      </c>
    </row>
    <row r="496" spans="1:3" x14ac:dyDescent="0.2">
      <c r="A496" s="8" t="s">
        <v>3749</v>
      </c>
      <c r="B496" s="8" t="s">
        <v>170</v>
      </c>
      <c r="C496" s="30">
        <v>18000</v>
      </c>
    </row>
    <row r="497" spans="1:3" x14ac:dyDescent="0.2">
      <c r="A497" s="8" t="s">
        <v>3749</v>
      </c>
      <c r="B497" s="8" t="s">
        <v>398</v>
      </c>
      <c r="C497" s="30">
        <v>21650</v>
      </c>
    </row>
    <row r="498" spans="1:3" x14ac:dyDescent="0.2">
      <c r="A498" s="8" t="s">
        <v>3749</v>
      </c>
      <c r="B498" s="8" t="s">
        <v>171</v>
      </c>
      <c r="C498" s="30">
        <v>21550</v>
      </c>
    </row>
    <row r="499" spans="1:3" x14ac:dyDescent="0.2">
      <c r="A499" s="8" t="s">
        <v>3749</v>
      </c>
      <c r="B499" s="8" t="s">
        <v>172</v>
      </c>
      <c r="C499" s="30">
        <v>21550</v>
      </c>
    </row>
    <row r="500" spans="1:3" x14ac:dyDescent="0.2">
      <c r="A500" s="8" t="s">
        <v>3749</v>
      </c>
      <c r="B500" s="8" t="s">
        <v>399</v>
      </c>
      <c r="C500" s="30">
        <v>20774</v>
      </c>
    </row>
    <row r="501" spans="1:3" x14ac:dyDescent="0.2">
      <c r="A501" s="8" t="s">
        <v>3749</v>
      </c>
      <c r="B501" s="8" t="s">
        <v>173</v>
      </c>
      <c r="C501" s="30">
        <v>24424</v>
      </c>
    </row>
    <row r="502" spans="1:3" x14ac:dyDescent="0.2">
      <c r="A502" s="8" t="s">
        <v>3749</v>
      </c>
      <c r="B502" s="8" t="s">
        <v>174</v>
      </c>
      <c r="C502" s="30">
        <v>20674</v>
      </c>
    </row>
    <row r="503" spans="1:3" x14ac:dyDescent="0.2">
      <c r="A503" s="8" t="s">
        <v>3749</v>
      </c>
      <c r="B503" s="8" t="s">
        <v>175</v>
      </c>
      <c r="C503" s="30">
        <v>20774</v>
      </c>
    </row>
    <row r="504" spans="1:3" x14ac:dyDescent="0.2">
      <c r="A504" s="8" t="s">
        <v>3749</v>
      </c>
      <c r="B504" s="8" t="s">
        <v>176</v>
      </c>
      <c r="C504" s="30">
        <v>24424</v>
      </c>
    </row>
    <row r="505" spans="1:3" x14ac:dyDescent="0.2">
      <c r="A505" s="8" t="s">
        <v>3749</v>
      </c>
      <c r="B505" s="8" t="s">
        <v>177</v>
      </c>
      <c r="C505" s="30">
        <v>24324</v>
      </c>
    </row>
    <row r="506" spans="1:3" x14ac:dyDescent="0.2">
      <c r="A506" s="8" t="s">
        <v>3749</v>
      </c>
      <c r="B506" s="8" t="s">
        <v>178</v>
      </c>
      <c r="C506" s="30">
        <v>22411</v>
      </c>
    </row>
    <row r="507" spans="1:3" x14ac:dyDescent="0.2">
      <c r="A507" s="8" t="s">
        <v>3749</v>
      </c>
      <c r="B507" s="8" t="s">
        <v>179</v>
      </c>
      <c r="C507" s="30">
        <v>22511</v>
      </c>
    </row>
    <row r="508" spans="1:3" x14ac:dyDescent="0.2">
      <c r="A508" s="8" t="s">
        <v>3749</v>
      </c>
      <c r="B508" s="8" t="s">
        <v>400</v>
      </c>
      <c r="C508" s="30">
        <v>26161</v>
      </c>
    </row>
    <row r="509" spans="1:3" x14ac:dyDescent="0.2">
      <c r="A509" s="8" t="s">
        <v>3749</v>
      </c>
      <c r="B509" s="8" t="s">
        <v>401</v>
      </c>
      <c r="C509" s="30">
        <v>23924</v>
      </c>
    </row>
    <row r="510" spans="1:3" x14ac:dyDescent="0.2">
      <c r="A510" s="8" t="s">
        <v>3749</v>
      </c>
      <c r="B510" s="8" t="s">
        <v>180</v>
      </c>
      <c r="C510" s="30">
        <v>23824</v>
      </c>
    </row>
    <row r="511" spans="1:3" x14ac:dyDescent="0.2">
      <c r="A511" s="8" t="s">
        <v>3749</v>
      </c>
      <c r="B511" s="8" t="s">
        <v>181</v>
      </c>
      <c r="C511" s="30">
        <v>20174</v>
      </c>
    </row>
    <row r="512" spans="1:3" x14ac:dyDescent="0.2">
      <c r="A512" s="8" t="s">
        <v>3749</v>
      </c>
      <c r="B512" s="8" t="s">
        <v>182</v>
      </c>
      <c r="C512" s="30">
        <v>20274</v>
      </c>
    </row>
    <row r="513" spans="1:3" x14ac:dyDescent="0.2">
      <c r="A513" s="8" t="s">
        <v>3749</v>
      </c>
      <c r="B513" s="8" t="s">
        <v>183</v>
      </c>
      <c r="C513" s="30">
        <v>23924</v>
      </c>
    </row>
    <row r="514" spans="1:3" x14ac:dyDescent="0.2">
      <c r="A514" s="8" t="s">
        <v>3749</v>
      </c>
      <c r="B514" s="8" t="s">
        <v>184</v>
      </c>
      <c r="C514" s="30">
        <v>23824</v>
      </c>
    </row>
    <row r="515" spans="1:3" x14ac:dyDescent="0.2">
      <c r="A515" s="8" t="s">
        <v>3749</v>
      </c>
      <c r="B515" s="8" t="s">
        <v>185</v>
      </c>
      <c r="C515" s="30">
        <v>21791</v>
      </c>
    </row>
    <row r="516" spans="1:3" x14ac:dyDescent="0.2">
      <c r="A516" s="8" t="s">
        <v>3749</v>
      </c>
      <c r="B516" s="8" t="s">
        <v>186</v>
      </c>
      <c r="C516" s="30">
        <v>21891</v>
      </c>
    </row>
    <row r="517" spans="1:3" x14ac:dyDescent="0.2">
      <c r="A517" s="8" t="s">
        <v>3749</v>
      </c>
      <c r="B517" s="8" t="s">
        <v>187</v>
      </c>
      <c r="C517" s="30">
        <v>24377</v>
      </c>
    </row>
    <row r="518" spans="1:3" x14ac:dyDescent="0.2">
      <c r="A518" s="8" t="s">
        <v>3749</v>
      </c>
      <c r="B518" s="8" t="s">
        <v>188</v>
      </c>
      <c r="C518" s="30">
        <v>24477</v>
      </c>
    </row>
    <row r="519" spans="1:3" x14ac:dyDescent="0.2">
      <c r="A519" s="8" t="s">
        <v>3749</v>
      </c>
      <c r="B519" s="8" t="s">
        <v>189</v>
      </c>
      <c r="C519" s="30">
        <v>28127</v>
      </c>
    </row>
    <row r="520" spans="1:3" x14ac:dyDescent="0.2">
      <c r="A520" s="8" t="s">
        <v>3749</v>
      </c>
      <c r="B520" s="8" t="s">
        <v>190</v>
      </c>
      <c r="C520" s="30">
        <v>28027</v>
      </c>
    </row>
    <row r="521" spans="1:3" x14ac:dyDescent="0.2">
      <c r="A521" s="8" t="s">
        <v>3749</v>
      </c>
      <c r="B521" s="8" t="s">
        <v>191</v>
      </c>
      <c r="C521" s="30">
        <v>23759</v>
      </c>
    </row>
    <row r="522" spans="1:3" x14ac:dyDescent="0.2">
      <c r="A522" s="8" t="s">
        <v>3749</v>
      </c>
      <c r="B522" s="8" t="s">
        <v>192</v>
      </c>
      <c r="C522" s="30">
        <v>23859</v>
      </c>
    </row>
    <row r="523" spans="1:3" x14ac:dyDescent="0.2">
      <c r="A523" s="8" t="s">
        <v>3749</v>
      </c>
      <c r="B523" s="8" t="s">
        <v>193</v>
      </c>
      <c r="C523" s="30">
        <v>27409</v>
      </c>
    </row>
    <row r="524" spans="1:3" x14ac:dyDescent="0.2">
      <c r="A524" s="8" t="s">
        <v>3749</v>
      </c>
      <c r="B524" s="8" t="s">
        <v>194</v>
      </c>
      <c r="C524" s="30">
        <v>23849</v>
      </c>
    </row>
    <row r="525" spans="1:3" x14ac:dyDescent="0.2">
      <c r="A525" s="8" t="s">
        <v>3749</v>
      </c>
      <c r="B525" s="8" t="s">
        <v>195</v>
      </c>
      <c r="C525" s="30">
        <v>23949</v>
      </c>
    </row>
    <row r="526" spans="1:3" x14ac:dyDescent="0.2">
      <c r="A526" s="8" t="s">
        <v>3749</v>
      </c>
      <c r="B526" s="8" t="s">
        <v>196</v>
      </c>
      <c r="C526" s="30">
        <v>27499</v>
      </c>
    </row>
    <row r="527" spans="1:3" x14ac:dyDescent="0.2">
      <c r="A527" s="8" t="s">
        <v>3749</v>
      </c>
      <c r="B527" s="8" t="s">
        <v>402</v>
      </c>
      <c r="C527" s="30">
        <v>25879</v>
      </c>
    </row>
    <row r="528" spans="1:3" x14ac:dyDescent="0.2">
      <c r="A528" s="8" t="s">
        <v>3749</v>
      </c>
      <c r="B528" s="8" t="s">
        <v>403</v>
      </c>
      <c r="C528" s="30">
        <v>36059</v>
      </c>
    </row>
    <row r="529" spans="1:3" x14ac:dyDescent="0.2">
      <c r="A529" s="8" t="s">
        <v>3749</v>
      </c>
      <c r="B529" s="8" t="s">
        <v>197</v>
      </c>
      <c r="C529" s="30">
        <v>25670</v>
      </c>
    </row>
    <row r="530" spans="1:3" x14ac:dyDescent="0.2">
      <c r="A530" s="8" t="s">
        <v>3749</v>
      </c>
      <c r="B530" s="8" t="s">
        <v>198</v>
      </c>
      <c r="C530" s="30">
        <v>31145</v>
      </c>
    </row>
    <row r="531" spans="1:3" x14ac:dyDescent="0.2">
      <c r="A531" s="8" t="s">
        <v>3749</v>
      </c>
      <c r="B531" s="8" t="s">
        <v>199</v>
      </c>
      <c r="C531" s="30">
        <v>24797</v>
      </c>
    </row>
    <row r="532" spans="1:3" x14ac:dyDescent="0.2">
      <c r="A532" s="8" t="s">
        <v>3749</v>
      </c>
      <c r="B532" s="8" t="s">
        <v>200</v>
      </c>
      <c r="C532" s="30">
        <v>28447</v>
      </c>
    </row>
    <row r="533" spans="1:3" x14ac:dyDescent="0.2">
      <c r="A533" s="8" t="s">
        <v>3749</v>
      </c>
      <c r="B533" s="8" t="s">
        <v>404</v>
      </c>
      <c r="C533" s="30">
        <v>26624</v>
      </c>
    </row>
    <row r="534" spans="1:3" x14ac:dyDescent="0.2">
      <c r="A534" s="8" t="s">
        <v>3749</v>
      </c>
      <c r="B534" s="8" t="s">
        <v>405</v>
      </c>
      <c r="C534" s="30">
        <v>36804</v>
      </c>
    </row>
    <row r="535" spans="1:3" x14ac:dyDescent="0.2">
      <c r="A535" s="8" t="s">
        <v>3749</v>
      </c>
      <c r="B535" s="8" t="s">
        <v>406</v>
      </c>
      <c r="C535" s="30">
        <v>27145</v>
      </c>
    </row>
    <row r="536" spans="1:3" x14ac:dyDescent="0.2">
      <c r="A536" s="8" t="s">
        <v>3749</v>
      </c>
      <c r="B536" s="8" t="s">
        <v>407</v>
      </c>
      <c r="C536" s="30">
        <v>32620</v>
      </c>
    </row>
    <row r="537" spans="1:3" x14ac:dyDescent="0.2">
      <c r="A537" s="8" t="s">
        <v>3749</v>
      </c>
      <c r="B537" s="8" t="s">
        <v>201</v>
      </c>
      <c r="C537" s="30">
        <v>19731</v>
      </c>
    </row>
    <row r="538" spans="1:3" x14ac:dyDescent="0.2">
      <c r="A538" s="8" t="s">
        <v>3749</v>
      </c>
      <c r="B538" s="8" t="s">
        <v>202</v>
      </c>
      <c r="C538" s="30">
        <v>20519</v>
      </c>
    </row>
    <row r="539" spans="1:3" x14ac:dyDescent="0.2">
      <c r="A539" s="8" t="s">
        <v>3749</v>
      </c>
      <c r="B539" s="8" t="s">
        <v>203</v>
      </c>
      <c r="C539" s="30">
        <v>19004</v>
      </c>
    </row>
    <row r="540" spans="1:3" x14ac:dyDescent="0.2">
      <c r="A540" s="8" t="s">
        <v>3749</v>
      </c>
      <c r="B540" s="8" t="s">
        <v>204</v>
      </c>
      <c r="C540" s="30">
        <v>18585</v>
      </c>
    </row>
    <row r="541" spans="1:3" x14ac:dyDescent="0.2">
      <c r="A541" s="8" t="s">
        <v>3749</v>
      </c>
      <c r="B541" s="8" t="s">
        <v>205</v>
      </c>
      <c r="C541" s="30">
        <v>18685</v>
      </c>
    </row>
    <row r="542" spans="1:3" x14ac:dyDescent="0.2">
      <c r="A542" s="8" t="s">
        <v>3749</v>
      </c>
      <c r="B542" s="8" t="s">
        <v>206</v>
      </c>
      <c r="C542" s="30">
        <v>22235</v>
      </c>
    </row>
    <row r="543" spans="1:3" x14ac:dyDescent="0.2">
      <c r="A543" s="8" t="s">
        <v>3749</v>
      </c>
      <c r="B543" s="8" t="s">
        <v>207</v>
      </c>
      <c r="C543" s="30">
        <v>20151</v>
      </c>
    </row>
    <row r="544" spans="1:3" x14ac:dyDescent="0.2">
      <c r="A544" s="8" t="s">
        <v>3749</v>
      </c>
      <c r="B544" s="8" t="s">
        <v>3125</v>
      </c>
      <c r="C544" s="30">
        <v>14399</v>
      </c>
    </row>
    <row r="545" spans="1:3" x14ac:dyDescent="0.2">
      <c r="A545" s="8" t="s">
        <v>3749</v>
      </c>
      <c r="B545" s="8" t="s">
        <v>209</v>
      </c>
      <c r="C545" s="30">
        <v>15055</v>
      </c>
    </row>
    <row r="546" spans="1:3" x14ac:dyDescent="0.2">
      <c r="A546" s="8" t="s">
        <v>3749</v>
      </c>
      <c r="B546" s="8" t="s">
        <v>3135</v>
      </c>
      <c r="C546" s="30">
        <v>18049</v>
      </c>
    </row>
    <row r="547" spans="1:3" x14ac:dyDescent="0.2">
      <c r="A547" s="8" t="s">
        <v>3749</v>
      </c>
      <c r="B547" s="8" t="s">
        <v>3138</v>
      </c>
      <c r="C547" s="30">
        <v>14970</v>
      </c>
    </row>
    <row r="548" spans="1:3" x14ac:dyDescent="0.2">
      <c r="A548" s="8" t="s">
        <v>3749</v>
      </c>
      <c r="B548" s="8" t="s">
        <v>3141</v>
      </c>
      <c r="C548" s="30">
        <v>16974</v>
      </c>
    </row>
    <row r="549" spans="1:3" x14ac:dyDescent="0.2">
      <c r="A549" s="8" t="s">
        <v>3749</v>
      </c>
      <c r="B549" s="8" t="s">
        <v>214</v>
      </c>
      <c r="C549" s="30">
        <v>16616</v>
      </c>
    </row>
    <row r="550" spans="1:3" x14ac:dyDescent="0.2">
      <c r="A550" s="8" t="s">
        <v>3749</v>
      </c>
      <c r="B550" s="8" t="s">
        <v>215</v>
      </c>
      <c r="C550" s="30">
        <v>20266</v>
      </c>
    </row>
    <row r="551" spans="1:3" x14ac:dyDescent="0.2">
      <c r="A551" s="8" t="s">
        <v>3749</v>
      </c>
      <c r="B551" s="8" t="s">
        <v>3147</v>
      </c>
      <c r="C551" s="30">
        <v>13038</v>
      </c>
    </row>
    <row r="552" spans="1:3" x14ac:dyDescent="0.2">
      <c r="A552" s="8" t="s">
        <v>3749</v>
      </c>
      <c r="B552" s="8" t="s">
        <v>3157</v>
      </c>
      <c r="C552" s="30">
        <v>16688</v>
      </c>
    </row>
    <row r="553" spans="1:3" x14ac:dyDescent="0.2">
      <c r="A553" s="8" t="s">
        <v>3749</v>
      </c>
      <c r="B553" s="8" t="s">
        <v>3160</v>
      </c>
      <c r="C553" s="30">
        <v>13612</v>
      </c>
    </row>
    <row r="554" spans="1:3" x14ac:dyDescent="0.2">
      <c r="A554" s="8" t="s">
        <v>3749</v>
      </c>
      <c r="B554" s="8" t="s">
        <v>413</v>
      </c>
      <c r="C554" s="30">
        <v>17262</v>
      </c>
    </row>
    <row r="555" spans="1:3" x14ac:dyDescent="0.2">
      <c r="A555" s="8" t="s">
        <v>3749</v>
      </c>
      <c r="B555" s="8" t="s">
        <v>3167</v>
      </c>
      <c r="C555" s="30">
        <v>15874</v>
      </c>
    </row>
    <row r="556" spans="1:3" x14ac:dyDescent="0.2">
      <c r="A556" s="8" t="s">
        <v>3749</v>
      </c>
      <c r="B556" s="8" t="s">
        <v>3171</v>
      </c>
      <c r="C556" s="30">
        <v>19524</v>
      </c>
    </row>
    <row r="557" spans="1:3" x14ac:dyDescent="0.2">
      <c r="A557" s="8" t="s">
        <v>3749</v>
      </c>
      <c r="B557" s="8" t="s">
        <v>3174</v>
      </c>
      <c r="C557" s="30">
        <v>15294</v>
      </c>
    </row>
    <row r="558" spans="1:3" x14ac:dyDescent="0.2">
      <c r="A558" s="8" t="s">
        <v>3749</v>
      </c>
      <c r="B558" s="8" t="s">
        <v>223</v>
      </c>
      <c r="C558" s="30">
        <v>15093</v>
      </c>
    </row>
    <row r="559" spans="1:3" x14ac:dyDescent="0.2">
      <c r="A559" s="8" t="s">
        <v>3749</v>
      </c>
      <c r="B559" s="8" t="s">
        <v>3179</v>
      </c>
      <c r="C559" s="30">
        <v>17378</v>
      </c>
    </row>
    <row r="560" spans="1:3" x14ac:dyDescent="0.2">
      <c r="A560" s="8" t="s">
        <v>3749</v>
      </c>
      <c r="B560" s="8" t="s">
        <v>3183</v>
      </c>
      <c r="C560" s="30">
        <v>21028</v>
      </c>
    </row>
    <row r="561" spans="1:3" x14ac:dyDescent="0.2">
      <c r="A561" s="8" t="s">
        <v>3749</v>
      </c>
      <c r="B561" s="8" t="s">
        <v>3186</v>
      </c>
      <c r="C561" s="30">
        <v>16798</v>
      </c>
    </row>
    <row r="562" spans="1:3" x14ac:dyDescent="0.2">
      <c r="A562" s="8" t="s">
        <v>3749</v>
      </c>
      <c r="B562" s="8" t="s">
        <v>227</v>
      </c>
      <c r="C562" s="30">
        <v>17942</v>
      </c>
    </row>
    <row r="563" spans="1:3" x14ac:dyDescent="0.2">
      <c r="A563" s="8" t="s">
        <v>3749</v>
      </c>
      <c r="B563" s="8" t="s">
        <v>228</v>
      </c>
      <c r="C563" s="30">
        <v>17362</v>
      </c>
    </row>
    <row r="564" spans="1:3" x14ac:dyDescent="0.2">
      <c r="A564" s="8" t="s">
        <v>3749</v>
      </c>
      <c r="B564" s="8" t="s">
        <v>3199</v>
      </c>
      <c r="C564" s="30">
        <v>20448</v>
      </c>
    </row>
    <row r="565" spans="1:3" x14ac:dyDescent="0.2">
      <c r="A565" s="8" t="s">
        <v>3749</v>
      </c>
      <c r="B565" s="8" t="s">
        <v>3202</v>
      </c>
      <c r="C565" s="30">
        <v>17486</v>
      </c>
    </row>
    <row r="566" spans="1:3" x14ac:dyDescent="0.2">
      <c r="A566" s="8" t="s">
        <v>3749</v>
      </c>
      <c r="B566" s="8" t="s">
        <v>24</v>
      </c>
      <c r="C566" s="30">
        <v>16775</v>
      </c>
    </row>
    <row r="567" spans="1:3" x14ac:dyDescent="0.2">
      <c r="A567" s="8" t="s">
        <v>3749</v>
      </c>
      <c r="B567" s="8" t="s">
        <v>3210</v>
      </c>
      <c r="C567" s="30">
        <v>23693</v>
      </c>
    </row>
    <row r="568" spans="1:3" x14ac:dyDescent="0.2">
      <c r="A568" s="8" t="s">
        <v>3749</v>
      </c>
      <c r="B568" s="8" t="s">
        <v>3213</v>
      </c>
      <c r="C568" s="30">
        <v>19463</v>
      </c>
    </row>
    <row r="569" spans="1:3" x14ac:dyDescent="0.2">
      <c r="A569" s="8" t="s">
        <v>3749</v>
      </c>
      <c r="B569" s="8" t="s">
        <v>233</v>
      </c>
      <c r="C569" s="30">
        <v>19534</v>
      </c>
    </row>
    <row r="570" spans="1:3" x14ac:dyDescent="0.2">
      <c r="A570" s="8" t="s">
        <v>3749</v>
      </c>
      <c r="B570" s="8" t="s">
        <v>415</v>
      </c>
      <c r="C570" s="30">
        <v>23184</v>
      </c>
    </row>
    <row r="571" spans="1:3" x14ac:dyDescent="0.2">
      <c r="A571" s="8" t="s">
        <v>3749</v>
      </c>
      <c r="B571" s="8" t="s">
        <v>3220</v>
      </c>
      <c r="C571" s="30">
        <v>23113</v>
      </c>
    </row>
    <row r="572" spans="1:3" x14ac:dyDescent="0.2">
      <c r="A572" s="8" t="s">
        <v>3749</v>
      </c>
      <c r="B572" s="8" t="s">
        <v>3226</v>
      </c>
      <c r="C572" s="30">
        <v>14911</v>
      </c>
    </row>
    <row r="573" spans="1:3" x14ac:dyDescent="0.2">
      <c r="A573" s="8" t="s">
        <v>3749</v>
      </c>
      <c r="B573" s="8" t="s">
        <v>236</v>
      </c>
      <c r="C573" s="30">
        <v>15475</v>
      </c>
    </row>
    <row r="574" spans="1:3" x14ac:dyDescent="0.2">
      <c r="A574" s="8" t="s">
        <v>3749</v>
      </c>
      <c r="B574" s="8" t="s">
        <v>418</v>
      </c>
      <c r="C574" s="30">
        <v>19125</v>
      </c>
    </row>
    <row r="575" spans="1:3" x14ac:dyDescent="0.2">
      <c r="A575" s="8" t="s">
        <v>3749</v>
      </c>
      <c r="B575" s="8" t="s">
        <v>3239</v>
      </c>
      <c r="C575" s="30">
        <v>18561</v>
      </c>
    </row>
    <row r="576" spans="1:3" x14ac:dyDescent="0.2">
      <c r="A576" s="8" t="s">
        <v>3749</v>
      </c>
      <c r="B576" s="8" t="s">
        <v>3242</v>
      </c>
      <c r="C576" s="30">
        <v>15599</v>
      </c>
    </row>
    <row r="577" spans="1:3" x14ac:dyDescent="0.2">
      <c r="A577" s="8" t="s">
        <v>3749</v>
      </c>
      <c r="B577" s="8" t="s">
        <v>3246</v>
      </c>
      <c r="C577" s="30">
        <v>19249</v>
      </c>
    </row>
    <row r="578" spans="1:3" x14ac:dyDescent="0.2">
      <c r="A578" s="8" t="s">
        <v>3749</v>
      </c>
      <c r="B578" s="8" t="s">
        <v>3249</v>
      </c>
      <c r="C578" s="30">
        <v>17635</v>
      </c>
    </row>
    <row r="579" spans="1:3" x14ac:dyDescent="0.2">
      <c r="A579" s="8" t="s">
        <v>3749</v>
      </c>
      <c r="B579" s="8" t="s">
        <v>241</v>
      </c>
      <c r="C579" s="30">
        <v>17647</v>
      </c>
    </row>
    <row r="580" spans="1:3" x14ac:dyDescent="0.2">
      <c r="A580" s="8" t="s">
        <v>3749</v>
      </c>
      <c r="B580" s="8" t="s">
        <v>422</v>
      </c>
      <c r="C580" s="30">
        <v>15191</v>
      </c>
    </row>
    <row r="581" spans="1:3" x14ac:dyDescent="0.2">
      <c r="A581" s="8" t="s">
        <v>3749</v>
      </c>
      <c r="B581" s="8" t="s">
        <v>424</v>
      </c>
      <c r="C581" s="30">
        <v>15656</v>
      </c>
    </row>
    <row r="582" spans="1:3" x14ac:dyDescent="0.2">
      <c r="A582" s="8" t="s">
        <v>3749</v>
      </c>
      <c r="B582" s="8" t="s">
        <v>246</v>
      </c>
      <c r="C582" s="30">
        <v>10299</v>
      </c>
    </row>
    <row r="583" spans="1:3" x14ac:dyDescent="0.2">
      <c r="A583" s="8" t="s">
        <v>3749</v>
      </c>
      <c r="B583" s="8" t="s">
        <v>248</v>
      </c>
      <c r="C583" s="30">
        <v>9425</v>
      </c>
    </row>
    <row r="584" spans="1:3" x14ac:dyDescent="0.2">
      <c r="A584" s="8" t="s">
        <v>3749</v>
      </c>
      <c r="B584" s="8" t="s">
        <v>265</v>
      </c>
      <c r="C584" s="30">
        <v>13409</v>
      </c>
    </row>
    <row r="585" spans="1:3" x14ac:dyDescent="0.2">
      <c r="A585" s="8" t="s">
        <v>3749</v>
      </c>
      <c r="B585" s="8" t="s">
        <v>445</v>
      </c>
      <c r="C585" s="30">
        <v>21113</v>
      </c>
    </row>
    <row r="586" spans="1:3" x14ac:dyDescent="0.2">
      <c r="A586" s="8" t="s">
        <v>3749</v>
      </c>
      <c r="B586" s="8" t="s">
        <v>446</v>
      </c>
      <c r="C586" s="30">
        <v>24763</v>
      </c>
    </row>
    <row r="587" spans="1:3" x14ac:dyDescent="0.2">
      <c r="A587" s="8" t="s">
        <v>3749</v>
      </c>
      <c r="B587" s="8" t="s">
        <v>270</v>
      </c>
      <c r="C587" s="30">
        <v>15961</v>
      </c>
    </row>
    <row r="588" spans="1:3" x14ac:dyDescent="0.2">
      <c r="A588" s="8" t="s">
        <v>3749</v>
      </c>
      <c r="B588" s="8" t="s">
        <v>271</v>
      </c>
      <c r="C588" s="30">
        <v>19611</v>
      </c>
    </row>
    <row r="589" spans="1:3" x14ac:dyDescent="0.2">
      <c r="A589" s="8" t="s">
        <v>3749</v>
      </c>
      <c r="B589" s="8" t="s">
        <v>3753</v>
      </c>
      <c r="C589" s="30">
        <v>16721</v>
      </c>
    </row>
    <row r="590" spans="1:3" x14ac:dyDescent="0.2">
      <c r="A590" s="8" t="s">
        <v>3749</v>
      </c>
      <c r="B590" s="8" t="s">
        <v>210</v>
      </c>
      <c r="C590" s="30">
        <v>18705</v>
      </c>
    </row>
    <row r="591" spans="1:3" x14ac:dyDescent="0.2">
      <c r="A591" s="8" t="s">
        <v>3749</v>
      </c>
      <c r="B591" s="8" t="s">
        <v>3290</v>
      </c>
      <c r="C591" s="30">
        <v>16600</v>
      </c>
    </row>
    <row r="592" spans="1:3" x14ac:dyDescent="0.2">
      <c r="A592" s="8" t="s">
        <v>3749</v>
      </c>
      <c r="B592" s="8" t="s">
        <v>429</v>
      </c>
      <c r="C592" s="30">
        <v>12950</v>
      </c>
    </row>
    <row r="593" spans="1:3" x14ac:dyDescent="0.2">
      <c r="A593" s="8" t="s">
        <v>3749</v>
      </c>
      <c r="B593" s="8" t="s">
        <v>432</v>
      </c>
      <c r="C593" s="30">
        <v>11440</v>
      </c>
    </row>
    <row r="594" spans="1:3" x14ac:dyDescent="0.2">
      <c r="A594" s="8" t="s">
        <v>3749</v>
      </c>
      <c r="B594" s="8" t="s">
        <v>3296</v>
      </c>
      <c r="C594" s="30">
        <v>13265</v>
      </c>
    </row>
    <row r="595" spans="1:3" x14ac:dyDescent="0.2">
      <c r="A595" s="8" t="s">
        <v>3749</v>
      </c>
      <c r="B595" s="8" t="s">
        <v>3754</v>
      </c>
      <c r="C595" s="30">
        <v>27696</v>
      </c>
    </row>
    <row r="596" spans="1:3" x14ac:dyDescent="0.2">
      <c r="A596" s="8" t="s">
        <v>3749</v>
      </c>
      <c r="B596" s="8" t="s">
        <v>966</v>
      </c>
      <c r="C596" s="30">
        <v>31187</v>
      </c>
    </row>
    <row r="597" spans="1:3" x14ac:dyDescent="0.2">
      <c r="A597" s="8" t="s">
        <v>3749</v>
      </c>
      <c r="B597" s="8" t="s">
        <v>3755</v>
      </c>
      <c r="C597" s="30">
        <v>36384</v>
      </c>
    </row>
    <row r="598" spans="1:3" x14ac:dyDescent="0.2">
      <c r="A598" s="8" t="s">
        <v>3749</v>
      </c>
      <c r="B598" s="8" t="s">
        <v>435</v>
      </c>
      <c r="C598" s="30">
        <v>11972</v>
      </c>
    </row>
    <row r="599" spans="1:3" x14ac:dyDescent="0.2">
      <c r="A599" s="8" t="s">
        <v>3749</v>
      </c>
      <c r="B599" s="8" t="s">
        <v>3302</v>
      </c>
      <c r="C599" s="30">
        <v>13797</v>
      </c>
    </row>
    <row r="600" spans="1:3" x14ac:dyDescent="0.2">
      <c r="A600" s="8" t="s">
        <v>3749</v>
      </c>
      <c r="B600" s="8" t="s">
        <v>437</v>
      </c>
      <c r="C600" s="30">
        <v>12432</v>
      </c>
    </row>
    <row r="601" spans="1:3" x14ac:dyDescent="0.2">
      <c r="A601" s="8" t="s">
        <v>3749</v>
      </c>
      <c r="B601" s="8" t="s">
        <v>3308</v>
      </c>
      <c r="C601" s="30">
        <v>16082</v>
      </c>
    </row>
    <row r="602" spans="1:3" x14ac:dyDescent="0.2">
      <c r="A602" s="8" t="s">
        <v>3749</v>
      </c>
      <c r="B602" s="8" t="s">
        <v>438</v>
      </c>
      <c r="C602" s="30">
        <v>12965</v>
      </c>
    </row>
    <row r="603" spans="1:3" x14ac:dyDescent="0.2">
      <c r="A603" s="8" t="s">
        <v>3749</v>
      </c>
      <c r="B603" s="8" t="s">
        <v>439</v>
      </c>
      <c r="C603" s="30">
        <v>14708</v>
      </c>
    </row>
    <row r="604" spans="1:3" x14ac:dyDescent="0.2">
      <c r="A604" s="8" t="s">
        <v>3749</v>
      </c>
      <c r="B604" s="8" t="s">
        <v>442</v>
      </c>
      <c r="C604" s="30">
        <v>10945</v>
      </c>
    </row>
    <row r="605" spans="1:3" x14ac:dyDescent="0.2">
      <c r="A605" s="8" t="s">
        <v>3749</v>
      </c>
      <c r="B605" s="8" t="s">
        <v>3323</v>
      </c>
      <c r="C605" s="30">
        <v>14595</v>
      </c>
    </row>
    <row r="606" spans="1:3" x14ac:dyDescent="0.2">
      <c r="A606" s="8" t="s">
        <v>3749</v>
      </c>
      <c r="B606" s="8" t="s">
        <v>443</v>
      </c>
      <c r="C606" s="30">
        <v>11478</v>
      </c>
    </row>
    <row r="607" spans="1:3" x14ac:dyDescent="0.2">
      <c r="A607" s="8" t="s">
        <v>3749</v>
      </c>
      <c r="B607" s="8" t="s">
        <v>3329</v>
      </c>
      <c r="C607" s="30">
        <v>13303</v>
      </c>
    </row>
    <row r="608" spans="1:3" x14ac:dyDescent="0.2">
      <c r="A608" s="8" t="s">
        <v>3749</v>
      </c>
      <c r="B608" s="8" t="s">
        <v>3337</v>
      </c>
      <c r="C608" s="30">
        <v>15234</v>
      </c>
    </row>
    <row r="609" spans="1:3" x14ac:dyDescent="0.2">
      <c r="A609" s="8" t="s">
        <v>3749</v>
      </c>
      <c r="B609" s="8" t="s">
        <v>449</v>
      </c>
      <c r="C609" s="30">
        <v>15028</v>
      </c>
    </row>
    <row r="610" spans="1:3" x14ac:dyDescent="0.2">
      <c r="A610" s="8" t="s">
        <v>3749</v>
      </c>
      <c r="B610" s="8" t="s">
        <v>3349</v>
      </c>
      <c r="C610" s="30">
        <v>18678</v>
      </c>
    </row>
    <row r="611" spans="1:3" x14ac:dyDescent="0.2">
      <c r="A611" s="8" t="s">
        <v>3749</v>
      </c>
      <c r="B611" s="8" t="s">
        <v>451</v>
      </c>
      <c r="C611" s="30">
        <v>17843</v>
      </c>
    </row>
    <row r="612" spans="1:3" x14ac:dyDescent="0.2">
      <c r="A612" s="8" t="s">
        <v>3749</v>
      </c>
      <c r="B612" s="8" t="s">
        <v>452</v>
      </c>
      <c r="C612" s="30">
        <v>17096</v>
      </c>
    </row>
    <row r="613" spans="1:3" x14ac:dyDescent="0.2">
      <c r="A613" s="8" t="s">
        <v>3749</v>
      </c>
      <c r="B613" s="8" t="s">
        <v>3357</v>
      </c>
      <c r="C613" s="30">
        <v>20746</v>
      </c>
    </row>
    <row r="614" spans="1:3" x14ac:dyDescent="0.2">
      <c r="A614" s="8" t="s">
        <v>3749</v>
      </c>
      <c r="B614" s="8" t="s">
        <v>454</v>
      </c>
      <c r="C614" s="30">
        <v>19912</v>
      </c>
    </row>
    <row r="615" spans="1:3" x14ac:dyDescent="0.2">
      <c r="A615" s="8" t="s">
        <v>3749</v>
      </c>
      <c r="B615" s="8" t="s">
        <v>1079</v>
      </c>
      <c r="C615" s="30">
        <v>26392</v>
      </c>
    </row>
    <row r="616" spans="1:3" x14ac:dyDescent="0.2">
      <c r="A616" s="8" t="s">
        <v>3749</v>
      </c>
      <c r="B616" s="8" t="s">
        <v>370</v>
      </c>
      <c r="C616" s="30">
        <v>28985</v>
      </c>
    </row>
    <row r="617" spans="1:3" x14ac:dyDescent="0.2">
      <c r="A617" s="8" t="s">
        <v>3749</v>
      </c>
      <c r="B617" s="8" t="s">
        <v>381</v>
      </c>
      <c r="C617" s="30">
        <v>27537</v>
      </c>
    </row>
    <row r="618" spans="1:3" x14ac:dyDescent="0.2">
      <c r="A618" s="8" t="s">
        <v>3749</v>
      </c>
      <c r="B618" s="8" t="s">
        <v>382</v>
      </c>
      <c r="C618" s="30">
        <v>31187</v>
      </c>
    </row>
    <row r="619" spans="1:3" x14ac:dyDescent="0.2">
      <c r="A619" s="8" t="s">
        <v>3749</v>
      </c>
      <c r="B619" s="8" t="s">
        <v>388</v>
      </c>
      <c r="C619" s="30">
        <v>16997</v>
      </c>
    </row>
    <row r="620" spans="1:3" x14ac:dyDescent="0.2">
      <c r="A620" s="8" t="s">
        <v>3749</v>
      </c>
      <c r="B620" s="8" t="s">
        <v>389</v>
      </c>
      <c r="C620" s="30">
        <v>17110</v>
      </c>
    </row>
    <row r="621" spans="1:3" x14ac:dyDescent="0.2">
      <c r="A621" s="8" t="s">
        <v>3749</v>
      </c>
      <c r="B621" s="8" t="s">
        <v>397</v>
      </c>
      <c r="C621" s="30">
        <v>17363</v>
      </c>
    </row>
    <row r="622" spans="1:3" x14ac:dyDescent="0.2">
      <c r="A622" s="8" t="s">
        <v>3749</v>
      </c>
      <c r="B622" s="8" t="s">
        <v>2474</v>
      </c>
      <c r="C622" s="30">
        <v>21132</v>
      </c>
    </row>
    <row r="623" spans="1:3" x14ac:dyDescent="0.2">
      <c r="A623" s="8" t="s">
        <v>3749</v>
      </c>
      <c r="B623" s="8" t="s">
        <v>2939</v>
      </c>
      <c r="C623" s="30">
        <v>26250</v>
      </c>
    </row>
    <row r="624" spans="1:3" x14ac:dyDescent="0.2">
      <c r="A624" s="8" t="s">
        <v>3749</v>
      </c>
      <c r="B624" s="8" t="s">
        <v>3205</v>
      </c>
      <c r="C624" s="30">
        <v>21136</v>
      </c>
    </row>
    <row r="625" spans="1:3" x14ac:dyDescent="0.2">
      <c r="A625" s="8" t="s">
        <v>3749</v>
      </c>
      <c r="B625" s="8" t="s">
        <v>3333</v>
      </c>
      <c r="C625" s="30">
        <v>13409</v>
      </c>
    </row>
    <row r="626" spans="1:3" x14ac:dyDescent="0.2">
      <c r="A626" s="8" t="s">
        <v>3749</v>
      </c>
      <c r="B626" s="8" t="s">
        <v>342</v>
      </c>
      <c r="C626" s="30">
        <v>20585</v>
      </c>
    </row>
    <row r="627" spans="1:3" x14ac:dyDescent="0.2">
      <c r="A627" s="8" t="s">
        <v>3749</v>
      </c>
      <c r="B627" s="8" t="s">
        <v>3756</v>
      </c>
      <c r="C627" s="30">
        <v>36657</v>
      </c>
    </row>
    <row r="628" spans="1:3" x14ac:dyDescent="0.2">
      <c r="A628" s="8" t="s">
        <v>3749</v>
      </c>
      <c r="B628" s="8" t="s">
        <v>3757</v>
      </c>
      <c r="C628" s="30">
        <v>38508</v>
      </c>
    </row>
    <row r="629" spans="1:3" x14ac:dyDescent="0.2">
      <c r="A629" s="8" t="s">
        <v>3749</v>
      </c>
      <c r="B629" s="8" t="s">
        <v>3758</v>
      </c>
      <c r="C629" s="30">
        <v>32476</v>
      </c>
    </row>
    <row r="630" spans="1:3" x14ac:dyDescent="0.2">
      <c r="A630" s="8" t="s">
        <v>3749</v>
      </c>
      <c r="B630" s="8" t="s">
        <v>421</v>
      </c>
      <c r="C630" s="30">
        <v>16027</v>
      </c>
    </row>
    <row r="631" spans="1:3" x14ac:dyDescent="0.2">
      <c r="A631" s="8" t="s">
        <v>3749</v>
      </c>
      <c r="B631" s="8" t="s">
        <v>359</v>
      </c>
      <c r="C631" s="30">
        <v>20070</v>
      </c>
    </row>
    <row r="632" spans="1:3" x14ac:dyDescent="0.2">
      <c r="A632" s="8" t="s">
        <v>3749</v>
      </c>
      <c r="B632" s="8" t="s">
        <v>358</v>
      </c>
      <c r="C632" s="30">
        <v>28707</v>
      </c>
    </row>
    <row r="633" spans="1:3" x14ac:dyDescent="0.2">
      <c r="A633" s="8" t="s">
        <v>3749</v>
      </c>
      <c r="B633" s="8" t="s">
        <v>367</v>
      </c>
      <c r="C633" s="30">
        <v>30558</v>
      </c>
    </row>
    <row r="634" spans="1:3" x14ac:dyDescent="0.2">
      <c r="A634" s="8" t="s">
        <v>3749</v>
      </c>
      <c r="B634" s="8" t="s">
        <v>380</v>
      </c>
      <c r="C634" s="30">
        <v>28826</v>
      </c>
    </row>
    <row r="635" spans="1:3" x14ac:dyDescent="0.2">
      <c r="A635" s="8" t="s">
        <v>3749</v>
      </c>
      <c r="B635" s="8" t="s">
        <v>3759</v>
      </c>
      <c r="C635" s="30">
        <v>16974</v>
      </c>
    </row>
    <row r="636" spans="1:3" x14ac:dyDescent="0.2">
      <c r="A636" s="8" t="s">
        <v>3749</v>
      </c>
      <c r="B636" s="8" t="s">
        <v>3760</v>
      </c>
      <c r="C636" s="30">
        <v>15961</v>
      </c>
    </row>
    <row r="637" spans="1:3" x14ac:dyDescent="0.2">
      <c r="A637" s="8" t="s">
        <v>3749</v>
      </c>
      <c r="B637" s="8" t="s">
        <v>3761</v>
      </c>
      <c r="C637" s="30">
        <v>18203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4" sqref="B4"/>
    </sheetView>
  </sheetViews>
  <sheetFormatPr defaultRowHeight="12.75" x14ac:dyDescent="0.2"/>
  <cols>
    <col min="1" max="1" width="21.42578125" bestFit="1" customWidth="1"/>
    <col min="2" max="2" width="39" bestFit="1" customWidth="1"/>
    <col min="3" max="3" width="13.140625" bestFit="1" customWidth="1"/>
  </cols>
  <sheetData>
    <row r="1" spans="1:3" ht="15.75" customHeight="1" x14ac:dyDescent="0.2">
      <c r="A1" s="8" t="s">
        <v>3744</v>
      </c>
      <c r="B1" s="8" t="s">
        <v>3762</v>
      </c>
      <c r="C1" s="8" t="s">
        <v>3745</v>
      </c>
    </row>
    <row r="2" spans="1:3" ht="15.75" customHeight="1" x14ac:dyDescent="0.2">
      <c r="A2" s="8" t="s">
        <v>3746</v>
      </c>
      <c r="B2" s="8" t="s">
        <v>469</v>
      </c>
      <c r="C2" s="30">
        <v>97500</v>
      </c>
    </row>
    <row r="3" spans="1:3" ht="15.75" customHeight="1" x14ac:dyDescent="0.2">
      <c r="A3" s="8" t="s">
        <v>3746</v>
      </c>
      <c r="B3" s="8" t="s">
        <v>481</v>
      </c>
      <c r="C3" s="30">
        <v>115000</v>
      </c>
    </row>
    <row r="4" spans="1:3" ht="15.75" customHeight="1" x14ac:dyDescent="0.2">
      <c r="A4" s="8" t="s">
        <v>3746</v>
      </c>
      <c r="B4" s="8" t="s">
        <v>495</v>
      </c>
      <c r="C4" s="30">
        <v>51500</v>
      </c>
    </row>
    <row r="5" spans="1:3" ht="15.75" customHeight="1" x14ac:dyDescent="0.2">
      <c r="A5" s="8" t="s">
        <v>3746</v>
      </c>
      <c r="B5" s="8" t="s">
        <v>1487</v>
      </c>
      <c r="C5" s="30">
        <v>95000</v>
      </c>
    </row>
    <row r="6" spans="1:3" ht="15.75" customHeight="1" x14ac:dyDescent="0.2">
      <c r="A6" s="8" t="s">
        <v>3746</v>
      </c>
      <c r="B6" s="8" t="s">
        <v>373</v>
      </c>
      <c r="C6" s="30">
        <v>74500</v>
      </c>
    </row>
    <row r="7" spans="1:3" ht="15.75" customHeight="1" x14ac:dyDescent="0.2">
      <c r="A7" s="8" t="s">
        <v>3746</v>
      </c>
      <c r="B7" s="8" t="s">
        <v>379</v>
      </c>
      <c r="C7" s="30">
        <v>80000</v>
      </c>
    </row>
    <row r="8" spans="1:3" ht="15.75" customHeight="1" x14ac:dyDescent="0.2">
      <c r="A8" s="8" t="s">
        <v>3746</v>
      </c>
      <c r="B8" s="8" t="s">
        <v>337</v>
      </c>
      <c r="C8" s="30">
        <v>102000</v>
      </c>
    </row>
    <row r="9" spans="1:3" ht="15.75" customHeight="1" x14ac:dyDescent="0.2">
      <c r="A9" s="8" t="s">
        <v>3748</v>
      </c>
      <c r="B9" s="8" t="s">
        <v>469</v>
      </c>
      <c r="C9" s="30">
        <v>97500</v>
      </c>
    </row>
    <row r="10" spans="1:3" ht="15.75" customHeight="1" x14ac:dyDescent="0.2">
      <c r="A10" s="8" t="s">
        <v>3748</v>
      </c>
      <c r="B10" s="8" t="s">
        <v>481</v>
      </c>
      <c r="C10" s="30">
        <v>115000</v>
      </c>
    </row>
    <row r="11" spans="1:3" ht="15.75" customHeight="1" x14ac:dyDescent="0.2">
      <c r="A11" s="8" t="s">
        <v>3748</v>
      </c>
      <c r="B11" s="8" t="s">
        <v>495</v>
      </c>
      <c r="C11" s="30">
        <v>47600</v>
      </c>
    </row>
    <row r="12" spans="1:3" ht="15.75" customHeight="1" x14ac:dyDescent="0.2">
      <c r="A12" s="8" t="s">
        <v>3748</v>
      </c>
      <c r="B12" s="8" t="s">
        <v>1487</v>
      </c>
      <c r="C12" s="30">
        <v>95000</v>
      </c>
    </row>
    <row r="13" spans="1:3" ht="15.75" customHeight="1" x14ac:dyDescent="0.2">
      <c r="A13" s="8" t="s">
        <v>3748</v>
      </c>
      <c r="B13" s="8" t="s">
        <v>373</v>
      </c>
      <c r="C13" s="30">
        <v>74500</v>
      </c>
    </row>
    <row r="14" spans="1:3" ht="15.75" customHeight="1" x14ac:dyDescent="0.2">
      <c r="A14" s="8" t="s">
        <v>3748</v>
      </c>
      <c r="B14" s="8" t="s">
        <v>379</v>
      </c>
      <c r="C14" s="30">
        <v>80000</v>
      </c>
    </row>
    <row r="15" spans="1:3" ht="15.75" customHeight="1" x14ac:dyDescent="0.2">
      <c r="A15" s="8" t="s">
        <v>3748</v>
      </c>
      <c r="B15" s="8" t="s">
        <v>337</v>
      </c>
      <c r="C15" s="30">
        <v>100000</v>
      </c>
    </row>
    <row r="16" spans="1:3" ht="15.75" customHeight="1" x14ac:dyDescent="0.2">
      <c r="A16" s="8" t="s">
        <v>3749</v>
      </c>
      <c r="B16" s="8" t="s">
        <v>469</v>
      </c>
      <c r="C16" s="30">
        <v>103500</v>
      </c>
    </row>
    <row r="17" spans="1:3" ht="15.75" customHeight="1" x14ac:dyDescent="0.2">
      <c r="A17" s="8" t="s">
        <v>3749</v>
      </c>
      <c r="B17" s="8" t="s">
        <v>481</v>
      </c>
      <c r="C17" s="30">
        <v>120620</v>
      </c>
    </row>
    <row r="18" spans="1:3" ht="15.75" customHeight="1" x14ac:dyDescent="0.2">
      <c r="A18" s="8" t="s">
        <v>3749</v>
      </c>
      <c r="B18" s="8" t="s">
        <v>495</v>
      </c>
      <c r="C18" s="30">
        <v>56238</v>
      </c>
    </row>
    <row r="19" spans="1:3" ht="15.75" customHeight="1" x14ac:dyDescent="0.2">
      <c r="A19" s="8" t="s">
        <v>3749</v>
      </c>
      <c r="B19" s="8" t="s">
        <v>1487</v>
      </c>
      <c r="C19" s="30">
        <v>100620</v>
      </c>
    </row>
    <row r="20" spans="1:3" ht="15.75" customHeight="1" x14ac:dyDescent="0.2">
      <c r="A20" s="8" t="s">
        <v>3749</v>
      </c>
      <c r="B20" s="8" t="s">
        <v>373</v>
      </c>
      <c r="C20" s="30">
        <v>80500</v>
      </c>
    </row>
    <row r="21" spans="1:3" ht="15.75" customHeight="1" x14ac:dyDescent="0.2">
      <c r="A21" s="8" t="s">
        <v>3749</v>
      </c>
      <c r="B21" s="8" t="s">
        <v>379</v>
      </c>
      <c r="C21" s="30">
        <v>85620</v>
      </c>
    </row>
    <row r="22" spans="1:3" ht="15.75" customHeight="1" x14ac:dyDescent="0.2">
      <c r="A22" s="8" t="s">
        <v>3749</v>
      </c>
      <c r="B22" s="8" t="s">
        <v>337</v>
      </c>
      <c r="C22" s="30">
        <v>107620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Cópia de % de perda</vt:lpstr>
      <vt:lpstr>Página21</vt:lpstr>
      <vt:lpstr>Custo contabil</vt:lpstr>
      <vt:lpstr>Página22</vt:lpstr>
      <vt:lpstr>Detalhe1-480095-25052023</vt:lpstr>
      <vt:lpstr>Valores finais + embalagem</vt:lpstr>
      <vt:lpstr>Página17</vt:lpstr>
      <vt:lpstr>Promocional</vt:lpstr>
      <vt:lpstr>Frete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</cp:lastModifiedBy>
  <dcterms:modified xsi:type="dcterms:W3CDTF">2024-04-05T19:40:32Z</dcterms:modified>
</cp:coreProperties>
</file>