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ORES" sheetId="1" r:id="rId4"/>
    <sheet state="visible" name="Página6" sheetId="2" r:id="rId5"/>
    <sheet state="visible" name="CLASSES" sheetId="3" r:id="rId6"/>
    <sheet state="visible" name="PLANILHAS E CONTROLES" sheetId="4" r:id="rId7"/>
    <sheet state="visible" name="APOIO" sheetId="5" r:id="rId8"/>
    <sheet state="visible" name="Página5" sheetId="6" r:id="rId9"/>
  </sheets>
  <definedNames>
    <definedName hidden="1" localSheetId="1" name="_xlnm._FilterDatabase">'Página6'!$A$2:$C$420</definedName>
    <definedName hidden="1" localSheetId="0" name="Z_EC756369_F323_4846_BCBF_E8CDEAA2C4FF_.wvu.FilterData">SETORES!$A$1:$I$64</definedName>
  </definedNames>
  <calcPr/>
  <customWorkbookViews>
    <customWorkbookView activeSheetId="0" maximized="1" windowHeight="0" windowWidth="0" guid="{EC756369-F323-4846-BCBF-E8CDEAA2C4FF}" name="Filtro 1"/>
  </customWorkbookViews>
</workbook>
</file>

<file path=xl/sharedStrings.xml><?xml version="1.0" encoding="utf-8"?>
<sst xmlns="http://schemas.openxmlformats.org/spreadsheetml/2006/main" count="2494" uniqueCount="1088">
  <si>
    <t>Nº</t>
  </si>
  <si>
    <t>ID LISTA</t>
  </si>
  <si>
    <t>MACROSETOR</t>
  </si>
  <si>
    <t>LÍDER</t>
  </si>
  <si>
    <t>LISTA</t>
  </si>
  <si>
    <t>Almox</t>
  </si>
  <si>
    <t>ENTREGUE</t>
  </si>
  <si>
    <t>ENTREGUE AO PCP</t>
  </si>
  <si>
    <t>AJUSTADO</t>
  </si>
  <si>
    <t>Almox Carpintaria - Peças</t>
  </si>
  <si>
    <t>CARPINTARIA</t>
  </si>
  <si>
    <t>PAULO</t>
  </si>
  <si>
    <t>SISTEMA</t>
  </si>
  <si>
    <t>Almox Carpintaria - Comp+MP</t>
  </si>
  <si>
    <t>Almox Corte e Estamparia - Peças</t>
  </si>
  <si>
    <t>CORTE/ESTAMP</t>
  </si>
  <si>
    <t>ALEX</t>
  </si>
  <si>
    <t>Almox Corte e Estamparia - Componentes</t>
  </si>
  <si>
    <t>Almox Cx Acessórios - Peças</t>
  </si>
  <si>
    <t>ACESS</t>
  </si>
  <si>
    <t>MAYLSON</t>
  </si>
  <si>
    <t>Almox Cx Acessórios - Componentes</t>
  </si>
  <si>
    <t>Almox Devol Vendas - Geral</t>
  </si>
  <si>
    <t>QUALIDADE</t>
  </si>
  <si>
    <t>SEVERIANO</t>
  </si>
  <si>
    <t>Almox Expedição - Implemento</t>
  </si>
  <si>
    <t>EXPEDIÇÃO</t>
  </si>
  <si>
    <t>ÉRICA</t>
  </si>
  <si>
    <t>Almox Forjaria - Peças</t>
  </si>
  <si>
    <t>FORJARIA</t>
  </si>
  <si>
    <t>BRILHANTE</t>
  </si>
  <si>
    <t>Almox Forjaria - Geral</t>
  </si>
  <si>
    <t>Almox Marketing - MUC</t>
  </si>
  <si>
    <t>MKT</t>
  </si>
  <si>
    <t>LAURA</t>
  </si>
  <si>
    <t>Almox Mat Fora de Uso - Geral</t>
  </si>
  <si>
    <t>CENTRAL</t>
  </si>
  <si>
    <t>ERIC</t>
  </si>
  <si>
    <t>TANQUES</t>
  </si>
  <si>
    <t>SOLDA</t>
  </si>
  <si>
    <t>ARONILDO</t>
  </si>
  <si>
    <t>LOCALIZAÇÃO</t>
  </si>
  <si>
    <t>Almox Mont Carretas</t>
  </si>
  <si>
    <t>Almox Mont Carretas - Conj</t>
  </si>
  <si>
    <t>SOLDA/PINTURA</t>
  </si>
  <si>
    <t>GALVÃO</t>
  </si>
  <si>
    <t>LATERAIS</t>
  </si>
  <si>
    <t>EVANGELISTA</t>
  </si>
  <si>
    <t>FUEIROS</t>
  </si>
  <si>
    <t>FREIRES</t>
  </si>
  <si>
    <t>PLATAFORMAS / CAÇAMBAS</t>
  </si>
  <si>
    <t>Almox Mont Carretas - Peças</t>
  </si>
  <si>
    <t>ERICA</t>
  </si>
  <si>
    <t>CONJUNTOS INTERMEDIÁRIO</t>
  </si>
  <si>
    <t>ROBERTO</t>
  </si>
  <si>
    <t>IÇAMENTOS</t>
  </si>
  <si>
    <t>EIXOS SIMPLES</t>
  </si>
  <si>
    <t>SAMUEL</t>
  </si>
  <si>
    <t>Almox Mont Carretas - Peças Para Carretas</t>
  </si>
  <si>
    <t>CHASSI</t>
  </si>
  <si>
    <t>RAFAEL</t>
  </si>
  <si>
    <t>Almox Mont Carretas - Peças para Carretas ACESSORIOS</t>
  </si>
  <si>
    <t>PCP</t>
  </si>
  <si>
    <t>ESTRUTURAS</t>
  </si>
  <si>
    <t>Almox Mont Carretas - Componentes</t>
  </si>
  <si>
    <t>Almox Mont Robusta - Peças</t>
  </si>
  <si>
    <t>PROD NOVOS</t>
  </si>
  <si>
    <t>GUSTAVO</t>
  </si>
  <si>
    <t>Almox Mont Robusta - Geral</t>
  </si>
  <si>
    <t>Almox Mont Rotativas - Geral</t>
  </si>
  <si>
    <t>Almox Mont Rotativas - Peças</t>
  </si>
  <si>
    <t>Almox Mont Tanques - Peças</t>
  </si>
  <si>
    <t>Almox Pintura - Embalagem - Conj</t>
  </si>
  <si>
    <t>PINTURA</t>
  </si>
  <si>
    <t>MARCOS V</t>
  </si>
  <si>
    <t>Almox Pintura - Embalagem - Peças</t>
  </si>
  <si>
    <t>Almox Pintura - Embalagem - Componentes</t>
  </si>
  <si>
    <t>Almox Prod Especiais - Peças</t>
  </si>
  <si>
    <t>Almox Prod Especiais - Geral</t>
  </si>
  <si>
    <t>Almox Protótipos - Peças</t>
  </si>
  <si>
    <t>Almox Qualidade - Geral</t>
  </si>
  <si>
    <t>Almox Qualidade - Peças</t>
  </si>
  <si>
    <t>Almox Serra - Peças</t>
  </si>
  <si>
    <t>SERRA</t>
  </si>
  <si>
    <t>Almox Usinagem - Peças</t>
  </si>
  <si>
    <t>USINAGEM</t>
  </si>
  <si>
    <t>Almox Usinagem - Geral</t>
  </si>
  <si>
    <t>Almox Manutenção - Mat Manu</t>
  </si>
  <si>
    <t>MANUTENÇÃO</t>
  </si>
  <si>
    <t>BEATRIZ</t>
  </si>
  <si>
    <t>AL01 - COR</t>
  </si>
  <si>
    <t>Eric</t>
  </si>
  <si>
    <t>Central</t>
  </si>
  <si>
    <t>AL01 - GAV</t>
  </si>
  <si>
    <t>Evandro</t>
  </si>
  <si>
    <t>AL01 - SL1</t>
  </si>
  <si>
    <t>AL01 - EST</t>
  </si>
  <si>
    <t>AL01 - SL2</t>
  </si>
  <si>
    <t>Maylson</t>
  </si>
  <si>
    <t>AL01 - AM</t>
  </si>
  <si>
    <t>AL07 - SALA</t>
  </si>
  <si>
    <t>AL03 - INFLAMÁVEIS</t>
  </si>
  <si>
    <t>AL02 - GALPÃO</t>
  </si>
  <si>
    <t>AL08 - PROJETOS</t>
  </si>
  <si>
    <t>AL06 - CARPINTARIA</t>
  </si>
  <si>
    <t>AL05 - BORRACHARIA</t>
  </si>
  <si>
    <t>AL10 - GASES</t>
  </si>
  <si>
    <t>AL01 - EPI</t>
  </si>
  <si>
    <t>SESMT</t>
  </si>
  <si>
    <t>AL09 - SALA</t>
  </si>
  <si>
    <t>AL04 - CHA</t>
  </si>
  <si>
    <t>AL04 - SER</t>
  </si>
  <si>
    <t>NÃO EXISTE - NÃO EXISTE</t>
  </si>
  <si>
    <t>MANUTENÇÃO - MANUTENÇÃO</t>
  </si>
  <si>
    <t>Manutenção</t>
  </si>
  <si>
    <t>IMOBILIZADO -</t>
  </si>
  <si>
    <t>LISTA PRELIMINAR MANUTENÇÃO (NÃO OFICIAL INVENTARIO 2023)</t>
  </si>
  <si>
    <t>Descrição</t>
  </si>
  <si>
    <t>Qtd</t>
  </si>
  <si>
    <t>z</t>
  </si>
  <si>
    <t>saldo</t>
  </si>
  <si>
    <t>Almox Central</t>
  </si>
  <si>
    <t>CONJ. PEÇAS P/ MOTO DA CEMAG - CONJ. PEÇAS P/ MOTO DA CEMAG (Un)</t>
  </si>
  <si>
    <t>199778 - AÇO H13 RED. 50,8 2" (KG)</t>
  </si>
  <si>
    <t>CONJ. PEÇAS P/ CARRO DA CEMAG - CONJ. PEÇAS P/ CARRO DA CEMAG (Un)</t>
  </si>
  <si>
    <t>199780 - ACO RED SAE-8620 2" (KG)</t>
  </si>
  <si>
    <t>801081 - NITROGENIO GAS CIL K 6.6M³ (M3)</t>
  </si>
  <si>
    <t>199781 - AÇO H13 RED. 38,1 1.1/2" (KG)</t>
  </si>
  <si>
    <t>800224 - PARAFUSO CÓD. 908560/0/ (Un)</t>
  </si>
  <si>
    <t>199784 - AÇO 8620 RED. 38,100MM 1.12" (KG)</t>
  </si>
  <si>
    <t>800222 - ROLO CÓD. 109119/AB/ (Un)</t>
  </si>
  <si>
    <t>199785 - AÇO LAMINADO RED. 13" (330,20) (KG)</t>
  </si>
  <si>
    <t>800039 - BATERIA HELIAR 60A (Un)</t>
  </si>
  <si>
    <t>199843 - ACO RED VC 131 4" (101,600MM) (KG)</t>
  </si>
  <si>
    <t>599999 - COMPRA DE MAT. P/ MANUTENÇÃO (Un)</t>
  </si>
  <si>
    <t>199868 - ACO CHATO VC 131 8" X 2" (KG)</t>
  </si>
  <si>
    <t>599998 - COMPRA DE MAT. P/ MANUTENÇÃO C/ ICMS 4% (Un)</t>
  </si>
  <si>
    <t>199916 - ACO RED. VC 131 1.1/2" (KG)</t>
  </si>
  <si>
    <t>599997 - COMPRA DE MAT. P/ MANUTENÇÃO C/ ICMS 7% (Un)</t>
  </si>
  <si>
    <t>199917 - ACO RED. VC 131 1" (KG)</t>
  </si>
  <si>
    <t>599601 - PORCA TRAVANTE MA 5MM (Un)</t>
  </si>
  <si>
    <t>199963 - ACO RED. VC 131 2" (50.800mm) (KG)</t>
  </si>
  <si>
    <t>599600 - PARAF SEX ACO 5/8 X 2.1/2 (Un)</t>
  </si>
  <si>
    <t>300038 - LÍQUIDO REFRIGERANTE DE QUEIMADOR Nº 40 0009 0046 (L)</t>
  </si>
  <si>
    <t>599569 - ABRACADEIRA S/ FIM 09MM 1/2" A 5/8" (Un)</t>
  </si>
  <si>
    <t>318449 - PRIMER ASFÁLTICO ACQUA DRYKO (L)</t>
  </si>
  <si>
    <t>599550 - VALVULA AMARECINA INOX 1623 3.1/2 (Un)</t>
  </si>
  <si>
    <t>500006 - ANEL TRAVA SIMPLES PARA TRANSPALETEIRA (22759) (Un)</t>
  </si>
  <si>
    <t>599546 - ROLO LA 15CM TIGRE (Un)</t>
  </si>
  <si>
    <t>500028 - MANGUEIRA. 3/4" (Mt)</t>
  </si>
  <si>
    <t>599539 - CAPACITOR 8F 370VAC 50/60HZ NC29/VG3 290-360 CUENDO-ELCO (Un)</t>
  </si>
  <si>
    <t>500075 - ABRACADEIRA DE NY 200MM NT T050R (Un)</t>
  </si>
  <si>
    <t>599538 - SUPORTE DO PRESSOSTATO DE AR HUBA ELCO (Un)</t>
  </si>
  <si>
    <t>500263 - FILTRO REG. + LUB. 1/4 BIT 20M 0-12KGF RMSA + MANOM. E SUP. CÓD.5206011MS (Un)</t>
  </si>
  <si>
    <t>599537 - CANTONEIRA 1/2" x 1/8" (KG)</t>
  </si>
  <si>
    <t>500307 - REGULADOR DE PRESSÃO AC VF 2 V FORCE VORTECH (Un)</t>
  </si>
  <si>
    <t>599534 - VALVULA ESFERA ANGULAR 1/2" MXF DOUBLE-LIN (Un)</t>
  </si>
  <si>
    <t>500325 - ANEL CAPA DE AR RE. MBC-0368 (PC)</t>
  </si>
  <si>
    <t>599524 - CABO DE IONIZAÇÃO C24-C60 / VG3.290 360KN CUENOD/ELCO (PARA CABINE DE PINTURA)++ (Un)</t>
  </si>
  <si>
    <t>500437 - FITA ZEBRADA 7CM X 10M (Un)</t>
  </si>
  <si>
    <t>599523 - CABO DE IGNIÇÃO C24-C60 / VG3.290 360KN CUENOD/ELCO (PARA CABINE DE PINTURA) (Un)</t>
  </si>
  <si>
    <t>500459 - TESOURA P/FUNILEIRO 279-12 (Un)</t>
  </si>
  <si>
    <t>599520 - ELETRODO DE IONIZAÇÃO NC4 A C60 (PARA CABINE DE PINTURA) (Un)</t>
  </si>
  <si>
    <t>500507 - PARAF SEXT 1 X 5 UNC (Un)</t>
  </si>
  <si>
    <t>599519 - ELETRODO DE IGNIÇÃO DUPLO VG1-VG4 (PARA CABINE DE PINTURA) (Un)</t>
  </si>
  <si>
    <t>500536 - RETENTOR REF. 01549 BR (Un)</t>
  </si>
  <si>
    <t>599511 - TINTA ACRILICA BRANCO P/ ÁREA EXTERNA/INTERNA (L)</t>
  </si>
  <si>
    <t>500607 - BICO CORTE ACETILENO 1502 Nº 06 (Un)</t>
  </si>
  <si>
    <t>599505 - SILICONE 40 G INCOLOR (Un)</t>
  </si>
  <si>
    <t>500608 - ADESIVO REMENDO KG (Un)</t>
  </si>
  <si>
    <t>599503 - CERA AUTOMOTIVA (Un)</t>
  </si>
  <si>
    <t>500609 - ARGAMASSA POLIMÉRICA BISNAGA (Un)</t>
  </si>
  <si>
    <t>599502 - GARFO GAIOLA ATLAS (Un)</t>
  </si>
  <si>
    <t>500614 - MANOMETRO 1/4" REF. GA-288 (Un)</t>
  </si>
  <si>
    <t>599500 - TINTA ACRÍLICA FOSCA BRANCO GELO (L)</t>
  </si>
  <si>
    <t>500618 - ESTICADOR CATRACÃO CROMADO/TEMPERADO (Un)</t>
  </si>
  <si>
    <t>599496 - LATEX BRANCO NEVE (L)</t>
  </si>
  <si>
    <t>500633 - BUCHA RED. GALV. 1/2" X 3/8" (Un)</t>
  </si>
  <si>
    <t>599488 - ADESIVO INSTANTANEO 20 G (Un)</t>
  </si>
  <si>
    <t>500640 - BUCHA RED. GALV. 3/8" X 1/4" (Un)</t>
  </si>
  <si>
    <t>599352 - CAMARA DE AR P/ CARRINHO DE MAO (Un)</t>
  </si>
  <si>
    <t>500661 - FILTRO REGULADOR MEDIO 1/2 C/ PROTEÇÃO E MANOMETRO (Un)</t>
  </si>
  <si>
    <t>599348 - MASSA CORRIDA (KG)</t>
  </si>
  <si>
    <t>500662 - BUCHA RED. 1/2 X 1/4 NPT (Un)</t>
  </si>
  <si>
    <t>599256 - PNEU MACIÇO RODADO 3,50 X 8 X 1 26MM (Un)</t>
  </si>
  <si>
    <t>500722 - PARAF. ALLEN C.CAB 3/8 X 1.1/2" UNC (Un)</t>
  </si>
  <si>
    <t>599255 - ROLO ESPONJA 406/5 5CM (Un)</t>
  </si>
  <si>
    <t>500769 - MANOMETRO BIBIMETRO (Un)</t>
  </si>
  <si>
    <t>599254 - ROLO DE LÃ ANTI-GOTA DUPLO 921/10 46CM (Un)</t>
  </si>
  <si>
    <t>500820+ - PARAF ALLEN C/CAB 3/8 " X 3" (Un)</t>
  </si>
  <si>
    <t>599251 - TRELIÇA TR 8LL 12M (Un)</t>
  </si>
  <si>
    <t>500859 - TUBO PU 10,0 X 7,0MM URETHAME 10-SHM AZUL CLARO (Mt)</t>
  </si>
  <si>
    <t>599247 - TORNERA INOX C33 22CM 1/4" (Un)</t>
  </si>
  <si>
    <t>500896 - SELADORA P/ FITA PET DE 25MM (Un)</t>
  </si>
  <si>
    <t>599238 - ACABAMENTO UNIVERSAL (Un)</t>
  </si>
  <si>
    <t>501006 - ROLAMENTO 32208 1ªL 40X80X24.75MM (Un)</t>
  </si>
  <si>
    <t>599211 - ROLO DE LÁ ANTI-BOLHA 321/9-9CM (Un)</t>
  </si>
  <si>
    <t>501018 - ROLAMENTO 6003 (Un)</t>
  </si>
  <si>
    <t>599209 - KIT P/PINTURA ANTIRESPINGO REF. 1576 TIGRE (Un)</t>
  </si>
  <si>
    <t>501022 - ROLAMENTO 6306 Z (Un)</t>
  </si>
  <si>
    <t>599191 - FECHADURA EXTERNA 804/33 PRETO FOSCO (Un)</t>
  </si>
  <si>
    <t>501027 - ROLAMENTO 6002 Z 15X32X9MM (Un)</t>
  </si>
  <si>
    <t>599189 - TINTA P/ PISO NOVACOR CINZA (Un)</t>
  </si>
  <si>
    <t>501038 - REGULADOR DE PRESSÃO PARA CO2 C/ MANÔMETRO (Un)</t>
  </si>
  <si>
    <t>599184 - LAVATORIO BRANCO DE LOUÇA (Un)</t>
  </si>
  <si>
    <t>501040 - MANG. HIDRO PNEUMATICA PT300 1/4" (M)</t>
  </si>
  <si>
    <t>599176 - VALVULA P/ PIA PVC (Un)</t>
  </si>
  <si>
    <t>501051 - ROLAMENTO 6207-Z 35x72x17MM (Un)</t>
  </si>
  <si>
    <t>599158 - TARRACHA 3/4" (Un)</t>
  </si>
  <si>
    <t>501054 - ROLAMENTO AUTOCOMPENSADOR REF.22208 E 40X80X23MM (Un)</t>
  </si>
  <si>
    <t>599126 - REGISTRO DE GAVETA 3/4" (Un)</t>
  </si>
  <si>
    <t>501082 - ROLAMENTO 6204-2Z 20X47X14MM (Un)</t>
  </si>
  <si>
    <t>599119 - VALVULA INOX 3.1/2" (Un)</t>
  </si>
  <si>
    <t>501091 - ROLAMENTO 6205 2Z (Un)</t>
  </si>
  <si>
    <t>599088 - PNEU P/ CARRO DE MÃO 325 X 8 (Un)</t>
  </si>
  <si>
    <t>501097 - ROLAMENTO 6308 2Z-C3 40X90X23MM (Un)</t>
  </si>
  <si>
    <t>599086 - INTERRUPTOR SIMPLES (Un)</t>
  </si>
  <si>
    <t>501100 - ROLAMENTO 6305 25X62X17 (Un)</t>
  </si>
  <si>
    <t>599070 - BRITA 01(M3) (Un)</t>
  </si>
  <si>
    <t>501111 - ROLAMENTO 6002 2Z 15X32X9MM (Un)</t>
  </si>
  <si>
    <t>599036 - SUPERCAL HIDRACOR 5KG (Un)</t>
  </si>
  <si>
    <t>501113 - ROLAMENTO 629 9X26X80MM (Un)</t>
  </si>
  <si>
    <t>599027 - CADEADO 35MM (Un)</t>
  </si>
  <si>
    <t>501136 - ROLAMENTO 6001 2RS (Un)</t>
  </si>
  <si>
    <t>599024 - CADEADO 40MM (Un)</t>
  </si>
  <si>
    <t>501151 - ROLAMENTO 6206 ZZ (Un)</t>
  </si>
  <si>
    <t>599019 - TIJOLO FURADO (Un)</t>
  </si>
  <si>
    <t>501157 - ROLAMENTO 6301 ZZ (Un)</t>
  </si>
  <si>
    <t>599013 - CIMENTO POTY (50KG) (Un)</t>
  </si>
  <si>
    <t>501158 - ROLAMENTO DE ESFERA DE CONTATO ANGULAR 30TAC62 (Un)</t>
  </si>
  <si>
    <t>599004 - AREIA GROSSA (M3) (Un)</t>
  </si>
  <si>
    <t>501160 - SERPENTINA DE COBRE CONDENSADORA CONSUL/BRASTEMP 22000 BTUS 88 G22 ABBANA (Un)</t>
  </si>
  <si>
    <t>599003 - ARISCO (M3) (Un)</t>
  </si>
  <si>
    <t>501161 - PINO ELÁSTICO 5MM X 40MM (Un)</t>
  </si>
  <si>
    <t>598463 - TUBO FLEXIVEL INOX 1 X 1000MM (Un)</t>
  </si>
  <si>
    <t>501162 - PISTOLA P/ LAVADORA DE ALTA PRESSÃO HD 10/18 MAXI (Un)</t>
  </si>
  <si>
    <t>596687 - ABRACADEIRA NYLON 7,6 X 400MM TR-120R (Un)</t>
  </si>
  <si>
    <t>501163 - TUBEIRA P/ LAVADORA DE ALTA PRESSÃO HD 10/18 MAXI (Un)</t>
  </si>
  <si>
    <t>596686 - ABRACADEIRA NYLON 4,8 X 380/400MM (Un)</t>
  </si>
  <si>
    <t>501167 - MANGUEIRA P/ LAVADORA DE ALTA PRESSÃO HD 10/18 MAXI (Un)</t>
  </si>
  <si>
    <t>596685 - ABRACADEIRA NYLON 2,5 X 200MM (Un)</t>
  </si>
  <si>
    <t>501179 - LUVA FG 1" (Un)</t>
  </si>
  <si>
    <t>596684 - ABRACADEIRA NYLON 2,5 X 140 TR-30 (Un)</t>
  </si>
  <si>
    <t>501181 - UNIÃO FG ASSENTO PLANO 1" (Un)</t>
  </si>
  <si>
    <t>596333 - KIT REPARO SUPORTE ELEMENTO FILTRANTE BOMBA ZIP52 (Un)</t>
  </si>
  <si>
    <t>501186 - ESCOVA LIMPEZA LÂMINA 6X25 030 SHARK Cód. 025.0552 (Un)</t>
  </si>
  <si>
    <t>592635 - TARUGO NYLON 60MM (NYLON 6.0) (KG)</t>
  </si>
  <si>
    <t>501214 - GAXETA 4096 (2500-3500-375) AG 1569 CÓD. 2504035 (Un)</t>
  </si>
  <si>
    <t>584555 - ABRAÇADEIRA CARBONO (Un)</t>
  </si>
  <si>
    <t>501220 - MANG. TUBO NYLON PA 12 10 X 1,5 PT (Un)</t>
  </si>
  <si>
    <t>569875 - ALAVANCA PLM 600 (Un)</t>
  </si>
  <si>
    <t>501225 - JG CHAVE FENDA ISOLADA (Un)</t>
  </si>
  <si>
    <t>564123 - REGISTRO DE GAVETA 1510 3" (Un)</t>
  </si>
  <si>
    <t>501226 - PISTOLA BICO AR P/ LIMPEZA (Un)</t>
  </si>
  <si>
    <t>563231 - CONECTOR MC ELP-12V FM7 R P/ DRIVE SPD 2.75-50-0-B TORNO CNC (Un)</t>
  </si>
  <si>
    <t>501227 - PINO ENGATE 1/4 ROSCA MACHO LATAO (Un)</t>
  </si>
  <si>
    <t>563020 - CORREIA C 55 (Un)</t>
  </si>
  <si>
    <t>501262 - ORING 107,54 X 3,53 11522/2244B90 (Un)</t>
  </si>
  <si>
    <t>Almox Manutenção</t>
  </si>
  <si>
    <t>562270 - CORREIA B 92 (Un)</t>
  </si>
  <si>
    <t>501265 - VEDAC P/ BOMBA POVF-P-TO-D (Un)</t>
  </si>
  <si>
    <t>562235 - CORREIA B 62 (Un)</t>
  </si>
  <si>
    <t>501266 - ROLAMENTO NTN SNR 6202ZZC3 (Un)</t>
  </si>
  <si>
    <t>555623 - PRESSOSTATO 0,7/10 BAR (Un)</t>
  </si>
  <si>
    <t>501267 - ROLAMENTO NTN SNR 6206ZZ (Un)</t>
  </si>
  <si>
    <t>554123 - MOLA GATILHO PRENSA EXCÊNTRICA 150MM (Un)</t>
  </si>
  <si>
    <t>501268 - SÉRIE DE GUARNIÇÕES MORSA HIDRÁULICA SHARK CÓD. 043.5614 (Un)</t>
  </si>
  <si>
    <t>545129 - INTERRUPTOR HORÁRIO COEL BWT40HR 100A 240VCA 48 A 63HZ (Un)</t>
  </si>
  <si>
    <t>501270 - ROLAMENTO 6201 ZZ (Un)</t>
  </si>
  <si>
    <t>545125 - ACO TREFILADO QDR 5/8 1045 (CONSUMO) (KG)</t>
  </si>
  <si>
    <t>501274 - PROJETOR LED 6000K IP65 BIV 1400LM 200W (Un)</t>
  </si>
  <si>
    <t>545124 - ACO TREFILADO QDR 1" 1045 (KG)</t>
  </si>
  <si>
    <t>501297 - BARRA ROSC GALV UNC 5/8" X 1MT (Un)</t>
  </si>
  <si>
    <t>545123 - BUCHA DE BRONZE TM23 2" X 1" (Un)</t>
  </si>
  <si>
    <t>501298 - PORCA SEXT GALV 5/8" UNC (Un)</t>
  </si>
  <si>
    <t>540021 - VEDAÇÃO PISTÃO CÓD. 2311562 (Un)</t>
  </si>
  <si>
    <t>501327 - PEDAL DE SEGURANÇA - 3 ESTÁGIOS PD3S-202 (PC)</t>
  </si>
  <si>
    <t>540014 - LAMP SEC OUROLUX INFRA-VERM 250W 220V CÓD 2397 (Un)</t>
  </si>
  <si>
    <t>501330 - CONJ. PEÇAS P/ ESMERILHADEIRA (Un)</t>
  </si>
  <si>
    <t>540011 - ANEL ORING CÓD. L118.06A (Un)</t>
  </si>
  <si>
    <t>501338 - BOBINA P/ ELETROVALVULA VMR 1-2.1/2" 220V 25W (Un)</t>
  </si>
  <si>
    <t>540004 - LAMP LED BULB IMP2 50W 6500K E-27 (Un)</t>
  </si>
  <si>
    <t>501340 - PARAF ALLEN C/CHATA 3/8 X 3/4" UNF (Un)</t>
  </si>
  <si>
    <t>539999 - CAMERA DE TV P/ SIST DE SEG VHD1120 B G6 (Un)</t>
  </si>
  <si>
    <t>501343 - PARAF ALLEN C/C AÇO G12.9 MA 14 X 130 (Un)</t>
  </si>
  <si>
    <t>539241 - QUADRO SOB OURO BOX 5 MOD. DIN PORTA OPACA (Un)</t>
  </si>
  <si>
    <t>501345 - PORCA SEXT 5/16" UNC (Un)</t>
  </si>
  <si>
    <t>535692 - CHAVE FENDA 1/4" X 4" S/ISOLAMENTO (Un)</t>
  </si>
  <si>
    <t>501350 - MANG. TUBO PU 4MM (Mt)</t>
  </si>
  <si>
    <t>535006 - CABO CONECTOR MACHO M12 5P (M)</t>
  </si>
  <si>
    <t>501351 - MANG. TUBO PU 8MM (Mt)</t>
  </si>
  <si>
    <t>535005 - CABO B-CON-A-M12-4P-2M-PVC-PF (M)</t>
  </si>
  <si>
    <t>501352 - MANG. TUBO PU 10 X 1,5MM (Mt)</t>
  </si>
  <si>
    <t>534991 - CABO FLEXÍVEL 1KV 25MM (M)</t>
  </si>
  <si>
    <t>501353 - MANG. TUBO PU 12MM (Mt)</t>
  </si>
  <si>
    <t>534915 - PROJETOR LED 5500K IP65 BIV 14100LM 150W (Un)</t>
  </si>
  <si>
    <t>501354 - ANEL DISTANCIADOR 9,80MM - 12,20MM (Un)</t>
  </si>
  <si>
    <t>534909 - PROJETOR LED 6500K IP65 2700LM 30W (Un)</t>
  </si>
  <si>
    <t>501355 - MOLA DO FREIO DO MOTOR 24/14K4P 85KG (Un)</t>
  </si>
  <si>
    <t>534906 - PROJETOR LED 6500K IP65 BIV 9000LM 100W (Un)</t>
  </si>
  <si>
    <t>501356 - ARRUELA DE AJUSTE 28/KES (Un)</t>
  </si>
  <si>
    <t>534602 - CAPA PROTETORA BOTOEIRA EM COURO CÓD. 04V (Un)</t>
  </si>
  <si>
    <t>501357 - CONJ. PEÇAS P/ TOCHAS DA SOLDA C/ IPI 9.75% (Un)</t>
  </si>
  <si>
    <t>534590 - LUVA ELET. PVC ROSC.3/4" (Un)</t>
  </si>
  <si>
    <t>501358 - CONJ. PEÇAS P/ TOCHAS DA SOLDA C/ IPI 5.20% (Un)</t>
  </si>
  <si>
    <t>534565 - COPO FILTRO REG. MEDIO D.NOVO C/ PROT. S.322 (Un)</t>
  </si>
  <si>
    <t>501359 - CONJ. PEÇAS P/ TOCHAS DA SOLDA C/ IPI 3.25% (Un)</t>
  </si>
  <si>
    <t>534563 - MANOPLA REGULAD. GRANDE 2008 SERIE 322 (Un)</t>
  </si>
  <si>
    <t>501360 - CONJ. PEÇAS P/ TOCHAS DA SOLDA (Un)</t>
  </si>
  <si>
    <t>534562 - KIT DE REPARO FILTRO REG. BRANCO (Un)</t>
  </si>
  <si>
    <t>501361 - PRESSOSTATO LF5510 03W 1-10BAR 1/4" BSP (Un)</t>
  </si>
  <si>
    <t>534561 - FONTE CHAVEADA 24VCC 10A NDR-240-24 240W P/ TRILHO DIN (Un)</t>
  </si>
  <si>
    <t>501390 - CONJ. PEÇAS P/ TOCHA DE SOLDA (Un)</t>
  </si>
  <si>
    <t>534560 - CURVA ELET. PVC ROSC. 3/4" (Un)</t>
  </si>
  <si>
    <t>501419 - CONEXAO RETA INST. 1/2 X 16MM MACHO (Un)</t>
  </si>
  <si>
    <t>534553 - PLUG N-3076 220/250V 6H AZ 2P+T 16A (Un)</t>
  </si>
  <si>
    <t>501420 - TUBO PU 16,0 X 2,0MM AZUL CLARO (Mt)</t>
  </si>
  <si>
    <t>534516 - TUBO 11 (8,89 X 6,35) NATURAL REF. ARC-TB101/11 CÓD. 3217 (Un)</t>
  </si>
  <si>
    <t>501700 - GRAXA BRANCA SPRAY (Un)</t>
  </si>
  <si>
    <t>534515 - CONEXÃO C/ MOLA 1/4" P/ TB NYLON REF. ARC-121/14 CÓD. 985 (Un)</t>
  </si>
  <si>
    <t>501923 - 'PARAF SEXT ACO 5/8 X 3" (Un)</t>
  </si>
  <si>
    <t>534510 - FIXADOR VERTICAL KF111 RBL (Un)</t>
  </si>
  <si>
    <t>501948 - ROLAMENTO BSB 3062 SU-XL FAG ESP (Un)</t>
  </si>
  <si>
    <t>534504 - ACOPLAMENTO CRUZETA (AM 4) 04/21 (Un)</t>
  </si>
  <si>
    <t>501950 - MANGUEIRA TRANC HIDRO-AR PT300 1/4" (Mt)</t>
  </si>
  <si>
    <t>534502 - CONTATOR 3TS30 220V 50/60HZ 9A (Un)</t>
  </si>
  <si>
    <t>501951 - MANGUEIRA TRANC HIDRO-AR PT300 5/16" (Mt)</t>
  </si>
  <si>
    <t>534497 - BOTAO DE EMERGENCIA EMS70 (Un)</t>
  </si>
  <si>
    <t>501965 - CONJ. PEÇAS P/ MÁQUINA DE SOLDA (Un)</t>
  </si>
  <si>
    <t>534486 - CHAVE DE FENDA 1/4" X 6 ISOLAMENTO (Un)</t>
  </si>
  <si>
    <t>504068 - JG PASTILHAS FREIO (Un)</t>
  </si>
  <si>
    <t>534484 - FILTRO CARTUCHO ULTRAWEB CÓD. P527078 (Un)</t>
  </si>
  <si>
    <t>504183 - CABO SINTENAX FLEX 1KV 2X2,5 MM (Un)</t>
  </si>
  <si>
    <t>534473 - CABO PP 500V 2 X 1MM (Un)</t>
  </si>
  <si>
    <t>504219 - MANGUEIRA EQUATOR R1-1 (M)</t>
  </si>
  <si>
    <t>534467 - Alicate Punch Down Inserção Patch Panel Keystone Fêmea Rj45 (Un)</t>
  </si>
  <si>
    <t>504223 - OLEO LUBRIF. 2 TEMPOS 500ML (Un)</t>
  </si>
  <si>
    <t>534463 - TUBO PU 4,0 X 0,75 MM SHM CÓD. 101897 (Un)</t>
  </si>
  <si>
    <t>504290 - CONVERSOR FREQ. CFW100040S2024PSZ C/10413799 (Un)</t>
  </si>
  <si>
    <t>534426 - CONEXÃO C/ MOLA 3/8" P/ TB NYLON REF. ARC-121/38 CÓD. 986 (Un)</t>
  </si>
  <si>
    <t>504293 - FILTRO AQUAPLUS AP 200 1/2 (Un)</t>
  </si>
  <si>
    <t>534408 - CABO LAN CAT5-E BLIND (M)</t>
  </si>
  <si>
    <t>504309 - ELEMENTO FILTRANTE AP 200 COD. 0290132 (Un)</t>
  </si>
  <si>
    <t>534377 - KIT INSTALAÇÃO (Un)</t>
  </si>
  <si>
    <t>504327 - ELEMENTO AR (Un)</t>
  </si>
  <si>
    <t>534375 - CABO FLEX 1 KV PT 4 X 6MM (M)</t>
  </si>
  <si>
    <t>504361 - ENGATE RAPIDO C/ ROLETE DE 1/4 FEMEA NPT (Un)</t>
  </si>
  <si>
    <t>534355 - PLUG FEMEA 2P+T PB 10A 250V (Un)</t>
  </si>
  <si>
    <t>504370 - BLOCO HGW 25 CC C/RASPADOR E TANQUE (Un)</t>
  </si>
  <si>
    <t>534352 - CONECTOR MACHO 13MM CABO CÓD.3099 (Un)</t>
  </si>
  <si>
    <t>504387 - DENTE CORRENTE 61PMM3 MS P/170-180-192 STILHL 36100001640-820D (Un)</t>
  </si>
  <si>
    <t>534350 - ISOL. SUP. INTERL. CABO FONTE/CABEÇOTE CÓD.948 (Un)</t>
  </si>
  <si>
    <t>504388 - CADEADO 70MM (Un)</t>
  </si>
  <si>
    <t>534329 - CONTACTORA 90A 3P 120VAC HYP 003139 (Un)</t>
  </si>
  <si>
    <t>504398 - TARRACHA SACA VÁLVULA AUTOMOTIV (Un)</t>
  </si>
  <si>
    <t>534316 - MOLA PRATO C/C DIANTERIA SBME CÓD.MK704 (Un)</t>
  </si>
  <si>
    <t>504407 - FITA ADESIVA DUPLA FACE 3M 12mm x 20m (Un)</t>
  </si>
  <si>
    <t>534312 - LAMPADA 9W 6500k 27 (Un)</t>
  </si>
  <si>
    <t>504424 - CHAVE ALLEN 17MM (Un)</t>
  </si>
  <si>
    <t>534299 - PILHA ALCALINA AAA PALITO (Un)</t>
  </si>
  <si>
    <t>504429 - SELO MECANICO 3/4" (Un)</t>
  </si>
  <si>
    <t>534298 - CONT TRIP 3TS3511 40A 1NA+1NF 24VCA (Un)</t>
  </si>
  <si>
    <t>504504 - CARRETEL AUTOMATICO BATE E LIBERA TOYAMA M10 X 1,25 (Un)</t>
  </si>
  <si>
    <t>504521 - COLA PLASTICA SE 1000GR BRANCA (Un)</t>
  </si>
  <si>
    <t>534282 - LAMPADA TUBO LED T8 120CM BIV 6500K 18W (Un)</t>
  </si>
  <si>
    <t>504528 - ELEMENTO FILTRO OLEO 3020/3025/3030/4025/4030/4040 REF. 007.00231/AT (Un)</t>
  </si>
  <si>
    <t>534281 - LAMPADA LED BULBO A60 6500L 12W (Un)</t>
  </si>
  <si>
    <t>504564 - BOTOEIRA IND. XAC - A2713 - 2B + EMERGÊNCIA COD. CCA5667 (Un)</t>
  </si>
  <si>
    <t>534277 - LIMPA CONTATO (Un)</t>
  </si>
  <si>
    <t>504594 - FILTRO BRANCO 100 MESH (=FM27100) CÓD. T500.00A (Un)</t>
  </si>
  <si>
    <t>534222 - ABRACADEIRA NYLON 0,20CM PRETA (Un)</t>
  </si>
  <si>
    <t>504613 - TEE FG 3/4" (Un)</t>
  </si>
  <si>
    <t>534213 - CONCT SINDAL 2,5MM (Un)</t>
  </si>
  <si>
    <t>504614 - UNIÃO FG ASSENTO PLANO 3/4" (Un)</t>
  </si>
  <si>
    <t>534188 - GATILHO ACIONAMENTO SMBE CÓD.ML710 (Un)</t>
  </si>
  <si>
    <t>504615 - NIPLE DUPLO FG 3/4" (Un)</t>
  </si>
  <si>
    <t>534168 - SENSOR PROX. INDUTIVO COMP. (NPN) PS5-18GI50-A (Un)</t>
  </si>
  <si>
    <t>504617 - BUJÃO FG 1/2" (Un)</t>
  </si>
  <si>
    <t>534148 - BOTAO 22MM PLASTICO S EMERGENCIA D40M (Un)</t>
  </si>
  <si>
    <t>504618 - BUJÃO FG 3/4" (Un)</t>
  </si>
  <si>
    <t>534126 - CB FLEX 1KV 01X70,00MM (M)</t>
  </si>
  <si>
    <t>504619 - VALVULA ESFERA TRIPARTIDA A/C P.RED. BSP 3/4" (Un)</t>
  </si>
  <si>
    <t>534114 - MINI CONTAT. AUX. 3NA+1NF 220V (Un)</t>
  </si>
  <si>
    <t>504620 - SPRAY USO GERAL 400ML (Un)</t>
  </si>
  <si>
    <t>534111 - RELE DE TEMPO TEI-01 MC 94-242 24VCC 30S (Un)</t>
  </si>
  <si>
    <t>504639 - CINTA PARA ELEVAÇÃO 5 TON 4 MTS (Un)</t>
  </si>
  <si>
    <t>534103 - CONTATOR 3TS33 220V 50/60HZ 25A (Un)</t>
  </si>
  <si>
    <t>504678 - VALV. ESF. TRIPART. A/C P.RED BSP 1/2" (Un)</t>
  </si>
  <si>
    <t>534071 - BOTAO DE COMANDO 11/01-G (Un)</t>
  </si>
  <si>
    <t>504680 - ELEMENTO PRIMARIO FILTRO DE AR 4020/4025/4030/4040 (Un)</t>
  </si>
  <si>
    <t>534011 - SENSOR INDUTIVO LM18-3005NC 1NA+1NF NPN10 (Un)</t>
  </si>
  <si>
    <t>504701 - ELETRODUTO PVC 3/4" ROSC. (Mt)</t>
  </si>
  <si>
    <t>534006 - CONEC SINDAL 06,0MM 250V 41A (Un)</t>
  </si>
  <si>
    <t>504704 - TAMPA COND. CEGA 1/2"-3/4" (Un)</t>
  </si>
  <si>
    <t>534000 - PLUG MACHO 2P+T 10A 6005 (Un)</t>
  </si>
  <si>
    <t>504708 - CONDULETE TIPO 'T' 3/4" C/ ROSC. (Un)</t>
  </si>
  <si>
    <t>533953 - GRAMPO TERRA GARRA NEGATIVA 500 AMP BZE (Un)</t>
  </si>
  <si>
    <t>504727 - LUVA UNIÃO GALV. 3/4 SEDE BRONZE 300 LBS (Un)</t>
  </si>
  <si>
    <t>533852 - CAPA DE RASPA P/ TOCHA 35MM 20MTS CÓD.BO736 (M)</t>
  </si>
  <si>
    <t>504729 - ADAPTADOR MACHO NPT 3/4 X 3/4 (Un)</t>
  </si>
  <si>
    <t>533786 - FITA ISOLANTE 19MM X 20M PRET (Un)</t>
  </si>
  <si>
    <t>504730 - JOELHO FEMEA NPT 3/4 X 3/4 (Un)</t>
  </si>
  <si>
    <t>533701 - FITA TEFLON 3/4 x 50 Mts (Un)</t>
  </si>
  <si>
    <t>504731 - LUVA FEMEA NPT 3/4 X 3/4 (Un)</t>
  </si>
  <si>
    <t>533572 - PILHA ALCALINA AA (Un)</t>
  </si>
  <si>
    <t>504732 - LUVA FEMEA NPT 3/4 X 1/2 (Un)</t>
  </si>
  <si>
    <t>533538 - SPIRAL TUBE 1" BR (M)</t>
  </si>
  <si>
    <t>504733 - TANQUE DE OLEO HGW 25 CC (Un)</t>
  </si>
  <si>
    <t>533331 - BLOCO DE CONTATO AUX 1NA P/A9-A110 CA5-10 (Un)</t>
  </si>
  <si>
    <t>504734 - KIT RASPADOR HGW 25 CC (Un)</t>
  </si>
  <si>
    <t>533312 - DISJ TRIP 5SX1 C 63A 03KA 220/380V (5SX1 363-7) (Un)</t>
  </si>
  <si>
    <t>504748 - CABO DE FIBRA ÓTICA CÓD. 40185162 (M)</t>
  </si>
  <si>
    <t>533263 - TOM SOB 3P 016A 6H 220/240V AZ(N3006) (Un)</t>
  </si>
  <si>
    <t>504749 - AGUA DEIONIZADA/AUTOCLAVE (L)</t>
  </si>
  <si>
    <t>533197 - CHAVE COMBINADA 3/4" (Un)</t>
  </si>
  <si>
    <t>504774 - LUVA FG 1/2" (Un)</t>
  </si>
  <si>
    <t>533189 - TRANSFORMADOR DE IGNIÇÃO W-ZG02/2 230V 2X9 REF. 603196 (Un)</t>
  </si>
  <si>
    <t>504775 - TEE FG 1/2" (Un)</t>
  </si>
  <si>
    <t>533164 - ABRACADEIRA TIPO D 1/2" GALV. (Un)</t>
  </si>
  <si>
    <t>504776 - UNIÃO FG ASSENTO PLANO 1/2" (Un)</t>
  </si>
  <si>
    <t>533159 - SPIRAL TUBE 1/2" BR (M)</t>
  </si>
  <si>
    <t>504778 - COTOVELO 90 FG 1/2" (Un)</t>
  </si>
  <si>
    <t>533137 - ABRACADEIRA NYLON 100MM X 2,05MM (Un)</t>
  </si>
  <si>
    <t>504781 - KIT DE REPARO VALV DISPENSA MINI T-388 (Un)</t>
  </si>
  <si>
    <t>533135 - ABRACADEIRA NYLON 535MM T-250R (Un)</t>
  </si>
  <si>
    <t>504785 - FILTRO DE LINHA 5 TOM PB 220V CB 1,5M 10A PT (Un)</t>
  </si>
  <si>
    <t>533117 - CABO LAN CAT.5 FURUKAWA (M)</t>
  </si>
  <si>
    <t>504786 - EXTENSÃO 3 TOM 3P 10A PB CB 5M (Un)</t>
  </si>
  <si>
    <t>533083 - CB FLEX 750V 002,5MM (Mt)</t>
  </si>
  <si>
    <t>504794 - ESPELHO RETROVISOR GOL (Un)</t>
  </si>
  <si>
    <t>533024 - PLUGUE FEMEA 2P + T 20A TMD2-3 15106 (Un)</t>
  </si>
  <si>
    <t>504796 - ELEMENTO D P/ CARRO GOL (Un)</t>
  </si>
  <si>
    <t>532711 - CANALETA 20X10 BRANCA FIA DUPLA FACE (Un)</t>
  </si>
  <si>
    <t>504804 - BUJÃO GALV. 1/2" (Un)</t>
  </si>
  <si>
    <t>532145 - ACOPLAM N -4256 380/440V 6H VM 3P+T 32A (Un)</t>
  </si>
  <si>
    <t>504817 - CAPA PRENS 5/8" (Un)</t>
  </si>
  <si>
    <t>529063 - RODA DE APOIO EGV 140X45 ROL 6304Z (Un)</t>
  </si>
  <si>
    <t>504818 - TERM PRENS UNIV RETO FEMEA GIR JIC 7/8 X 5/8" (Un)</t>
  </si>
  <si>
    <t>525653 - BUCHA BRONZE MB23 - 9" X 7.1/2" X 230MM (Un)</t>
  </si>
  <si>
    <t>504823 - ESP PU 15MTS CON 3/8" NPT AZUL ARC-MEPU-15-3/8AZ (Un)</t>
  </si>
  <si>
    <t>525365 - CONJUNTO PLAQUETAS SHARK 280-292-320-332-330-452 CÓD. 090.1202 (Un)</t>
  </si>
  <si>
    <t>504850 - KIT DE REPARO VALV. T-7034-KT (Un)</t>
  </si>
  <si>
    <t>525363 - MOLA A GAS 1150N P/ PROTEÇÃO DE SERRA CÓD. 010.4069 (Un)</t>
  </si>
  <si>
    <t>504851 - ANEL DE TEFLON T-421 (Un)</t>
  </si>
  <si>
    <t>523669 - GUARNIÇAO TEFLON (Un)</t>
  </si>
  <si>
    <t>504857 - TINTA EPÓXI AMARELO SEG (L)</t>
  </si>
  <si>
    <t>523456 - SELO MECÂNICO 5/8 (Un)</t>
  </si>
  <si>
    <t>504864 - CONTROLE REMOTO 3 COMANDOS 433MHZ (Un)</t>
  </si>
  <si>
    <t>511232 - CJ MANGUEIRA AR/PRODUTO/CAPA PROTEÇÃO (Un)</t>
  </si>
  <si>
    <t>504865 - CARREGADOR DE BATERIA 12V P/ BALANÇA SUSPENSA 1 A 60T (Un)</t>
  </si>
  <si>
    <t>511231 - KIT DE REPARO PISTOLA CONVENCIONAL LVLP 1.3 (Un)</t>
  </si>
  <si>
    <t>504867 - LASER POINT CÓD. MT17022023 (Un)</t>
  </si>
  <si>
    <t>511228 - LATAO SEXTAVADO 1/2" (12.70MM) (KG)</t>
  </si>
  <si>
    <t>504870 - AFIADOR/APONTADOR DE BROCA DRAPER (Un)</t>
  </si>
  <si>
    <t>510586 - CHAVE SOQ. GEDOR 3/4 X 36" SEXT (Un)</t>
  </si>
  <si>
    <t>504871 - ELEMENTO FILTRO AR COALESCENTE CÓD. 702990 P/ COMPRESSOR SRP 4040 SÉRIE 31954. (Un)</t>
  </si>
  <si>
    <t>510392 - PARAF ALLEN C/C 14X180MM (Un)</t>
  </si>
  <si>
    <t>504873 - KIT P/ BLOCO DOSADOR REF. T-401 (PC)</t>
  </si>
  <si>
    <t>510391 - PARAF ALLEN C/C 14X50MM (Un)</t>
  </si>
  <si>
    <t>504874 - PERFIL ALUMINIO 20 X 14MM MV026T (Un)</t>
  </si>
  <si>
    <t>510236 - PARAF ALLEN C/C 10X90MM (Un)</t>
  </si>
  <si>
    <t>504891 - PORCA SEXT. ACO 8.8 16MM (Un)</t>
  </si>
  <si>
    <t>509955 - NIPLE DUPLO FG 1" (Un)</t>
  </si>
  <si>
    <t>504893 - VÁLVULA SOLENÓIDE VUVG-B14-B52-ZT-F-1T1L (Un)</t>
  </si>
  <si>
    <t>509950 - BARRA ROSC GALV 1MT 16MM (Un)</t>
  </si>
  <si>
    <t>504950 - BUJÃO FG 1" (Un)</t>
  </si>
  <si>
    <t>509700 - ARAME GALV. Nº 18 1,24MM (KG)</t>
  </si>
  <si>
    <t>504951 - COTOVELO 90 FG 3/4" (Un)</t>
  </si>
  <si>
    <t>509606 - LONA POLIETILENO AZUL 8 X 10 (Un)</t>
  </si>
  <si>
    <t>504952 - LUVA FG 3/4" (Un)</t>
  </si>
  <si>
    <t>509600 - ANEL ELÁSTICO 35 x 1,50 DIN 471 FEDST (Un)</t>
  </si>
  <si>
    <t>504953 - TEE FG 1" (Un)</t>
  </si>
  <si>
    <t>509587 - ESCADA DE ALUMINIO CAVALETE 6 DEGRAUS (Un)</t>
  </si>
  <si>
    <t>504954 - COTOVELO 90 FG 1" (Un)</t>
  </si>
  <si>
    <t>509526 - OLEO P/ TRATOR AMBRA MULTI 10W30 (L)</t>
  </si>
  <si>
    <t>504956 - ARRUELA LISA GALV. 16MM (Un)</t>
  </si>
  <si>
    <t>509515 - FIXADOR BELGO P/ TELA (Un)</t>
  </si>
  <si>
    <t>504962 - PARAF SEXT MA 16 X 70 (Un)</t>
  </si>
  <si>
    <t>509513 - TEE FEMEA 1/2" GALV. (Un)</t>
  </si>
  <si>
    <t>504982 - REPARO DA VALVULA DE ADMISSÃO 2" (Un)</t>
  </si>
  <si>
    <t>509512 - VALVULA DE ESFERA MONOBLOCO 3/8" PN30 PR (Un)</t>
  </si>
  <si>
    <t>504985 - ADAPTADOR 90° MACHO NPT 1/4 X MACHO 9/16 JIC (Un)</t>
  </si>
  <si>
    <t>509511 - VALVULA DE ESFERA MONOBLOCO 1/4" PN30 PP- AVALANCA (Un)</t>
  </si>
  <si>
    <t>504986 - PINHAO LONG/TRANSV 2.5 DUO SWB DES 16912 CÓD. 50017231 (Un)</t>
  </si>
  <si>
    <t>509507 - CORRENTE 8MM X 2300MM P/ LINGA QUÁDRUPLA SR4 (Un)</t>
  </si>
  <si>
    <t>504987 - TANQUE OLEO AUTOLUBRIF GUIA LINEAR HIWIN CÓD. 20018549 (Un)</t>
  </si>
  <si>
    <t>509506 - LINGA QUÁDRUPLA SR4 (Un)</t>
  </si>
  <si>
    <t>504988 - GUIA LINEAR HGR25 HIWIN HGR25-R4000-C CÓD. 20017555 (Un)</t>
  </si>
  <si>
    <t>509505 - INTERMEDIARIA SAÍDA LATÃO OXIGÊNIO (Un)</t>
  </si>
  <si>
    <t>504989 - BLOCO P/ GUIA LINEAR 25MM HIWIN P/N HGW2 CÓD. 20018915 (Un)</t>
  </si>
  <si>
    <t>509504 - PORCA DE ENTRADA ARGONIO/NITROGENIO (Un)</t>
  </si>
  <si>
    <t>504990 - RASPADOR P/ GUIA LINEAR 25MM HIWIN P/NH CÓD. 20018908 (Un)</t>
  </si>
  <si>
    <t>509503 - BROCA SDS PLUS 18 X 300 MM (Un)</t>
  </si>
  <si>
    <t>504991 - ELEMENTO FILTRANTE DO FLUÍDO REFRIGERANTE 027664 CÓD. 50016794 (Un)</t>
  </si>
  <si>
    <t>509502 - TROLLEY 4" FECHADO DROP 7-3/16 (Un)</t>
  </si>
  <si>
    <t>505001 - CENTRAL ILUM EMERG C/ BAT. LED 2200LM 2FARO (Un)</t>
  </si>
  <si>
    <t>509499 - MANGUEIRA OFFSHORE 3/8" X 5000MM C/ TERMINAIS (Un)</t>
  </si>
  <si>
    <t>507091 - OLEO LUBRAX HIDRA XP 46 (L)</t>
  </si>
  <si>
    <t>509498 - MANGUEIRA OFFSHORE 3/8" X 3000MM C/ TERMINAIS (Un)</t>
  </si>
  <si>
    <t>507097 - OLEO LUBSCHULZ 4000HS (L)</t>
  </si>
  <si>
    <t>509497 - MANGUEIRA OFFSHORE 3/8" X 1100MM C/ TERMINAIS (Un)</t>
  </si>
  <si>
    <t>507106 - OLEO HID. RANDO HD-68 (L)</t>
  </si>
  <si>
    <t>509496 - CINTA P/ ELEVAÇÃO 8 TON 3 MTS 25CM (Un)</t>
  </si>
  <si>
    <t>507119 - OLEO DESENGRIPANTE LUB 300ML (Un)</t>
  </si>
  <si>
    <t>509475 - REGULADOR PRESSÃO ARGONIO/CO2 C/ FLUXOMETRO CÓD. 40123827 (Un)</t>
  </si>
  <si>
    <t>507124 - OLEO DESCRIPANTE (M1/ WD-40) 500ML (Un)</t>
  </si>
  <si>
    <t>509470 - MANGUEIRA KPU 76MM KANAFLEX TUBO FLEX (M)</t>
  </si>
  <si>
    <t>509001 - BROCA DE WIDIA 9/16" 14MM (Un)</t>
  </si>
  <si>
    <t>509444 - LONA PLAST PRETA 4M LARG. (M)</t>
  </si>
  <si>
    <t>509026 - BOMBA MANUAL P/ TAMBORES 200 LTS (Un)</t>
  </si>
  <si>
    <t>509423 - ARGAMASSA COLAMIX AC III PORC. TOP 10 (Un)</t>
  </si>
  <si>
    <t>509109 - BICO DE CORTE GLP 1503 N.06 (Un)</t>
  </si>
  <si>
    <t>509422 - REJUNTE EXTRA FLEX 1KG PLATINADA (Un)</t>
  </si>
  <si>
    <t>509111 - BICO DE CORTE ACETILENO N.04 (Un)</t>
  </si>
  <si>
    <t>509380 - MANTA HV500 810 X 1270MM (Un)</t>
  </si>
  <si>
    <t>509177 - PARAF. ALLEN C/CAB. 14 X 60MM (Un)</t>
  </si>
  <si>
    <t>509379 - MANTA HV500 645 X 1270MM (Un)</t>
  </si>
  <si>
    <t>509208 - MANGUEIRA R1 1/4" (M)</t>
  </si>
  <si>
    <t>509378 - MANTA HV500 795 X 1270MM (Un)</t>
  </si>
  <si>
    <t>509212 - FLUXÔMETRO ARGÔNIO CO2 CÓD. 40020777 (Un)</t>
  </si>
  <si>
    <t>509371 - BROCA SDS PLUS 16 X 210 MM (Un)</t>
  </si>
  <si>
    <t>509264 - FILTRO CARTÃO PLINSADO 1250 X 1275 - 40 PLINSAS (Un)</t>
  </si>
  <si>
    <t>509368 - MANTA ASFALTICA ALUM VEDACIT (M)</t>
  </si>
  <si>
    <t>509265 - FILTRO CARTÃO PLINSADO 1250 X 1270MM 32 PLINSAS (Un)</t>
  </si>
  <si>
    <t>509316 - PARAF ALLEN C/CHATA 6 X 12 (Un)</t>
  </si>
  <si>
    <t>509266 - FILTRO CARTÃO PLINSADO 1250 X 800MM 20 PLINSAS (Un)</t>
  </si>
  <si>
    <t>509315 - PARAF ALLEN C/CAB 6 X 20 (Un)</t>
  </si>
  <si>
    <t>509268 - MANTA PA50 795 X 1270MM (Un)</t>
  </si>
  <si>
    <t>509286 - PARAF SEXT MA 12 X 40 MM (Un)</t>
  </si>
  <si>
    <t>509269 - MANTA PA50 645 X 1270MM (Un)</t>
  </si>
  <si>
    <t>509270 - MANTA PA50 810 X 1270MM (Un)</t>
  </si>
  <si>
    <t>504150 - FIM DE CURSO TZE02 (CHAVE FIM DE CURSO ATUADOR PINO C/ ROLETE) (Un)</t>
  </si>
  <si>
    <t>504127 - FITA DUPLA FACE TRANSP. 24MM X 2M (Un)</t>
  </si>
  <si>
    <t>501623 - OLEO SAE 40 YS40. (L)</t>
  </si>
  <si>
    <t>501417 - CONEXÃO TINTA 3/8" (Un)</t>
  </si>
  <si>
    <t>501416 - CONEXÃO TINTA 1/4" (Un)</t>
  </si>
  <si>
    <t>501273 - CABO DE AÇO 8,5MM R.2160 N/MM2 8 CÓD. MPCM1387 (M)</t>
  </si>
  <si>
    <t>501272 - MOLA GUIA DE CABO GHB Nº 14 - 0,6X47 CÓD. CSGTA0073 (Un)</t>
  </si>
  <si>
    <t>501271 - GUIA DE CABO GHB 11 ESQUERDA - PASSO 10 - CABO 8,5M CÓD. CSGTA0045 (PC)</t>
  </si>
  <si>
    <t>Recursos.Materiais e Produtos.Mat Peças e Componentes.MPC Cilindros Hidraulicos</t>
  </si>
  <si>
    <t>Componentes CA</t>
  </si>
  <si>
    <t>Classe T</t>
  </si>
  <si>
    <t>Sub Classe</t>
  </si>
  <si>
    <t>Almox+ClasseT</t>
  </si>
  <si>
    <t>ID Lista</t>
  </si>
  <si>
    <t>Recursos.Ativos Imobilizados.Bens de Terceiro em Nosso Poder</t>
  </si>
  <si>
    <t>BTNP</t>
  </si>
  <si>
    <t>Almox BTNP</t>
  </si>
  <si>
    <t>Almox BTNP - Componentes CA</t>
  </si>
  <si>
    <t>x</t>
  </si>
  <si>
    <t>Recursos.Ativos Imobilizados.Máquinas Equipamentos e Instal Industriais.Máquinas e Equipamentos Industriais</t>
  </si>
  <si>
    <t>Imob</t>
  </si>
  <si>
    <t>Almox Carpintaria</t>
  </si>
  <si>
    <t>Almox BTNP - BTNP</t>
  </si>
  <si>
    <t>Recursos.Materiais e Produtos.Produtos.Peças Prod.Peças para Carrocerias</t>
  </si>
  <si>
    <t>Peças</t>
  </si>
  <si>
    <t>Peças para Carrocerias</t>
  </si>
  <si>
    <t>Almox BTNP - Imob</t>
  </si>
  <si>
    <t>Recursos.Materiais e Produtos.Mat Prima.MP Madeiras.MP Madeiras Carretas</t>
  </si>
  <si>
    <t>Madeira</t>
  </si>
  <si>
    <t>MP Madeiras Carretas</t>
  </si>
  <si>
    <t>Almox Corte e Estamparia</t>
  </si>
  <si>
    <t>Recursos.Materiais e Produtos.Mat Peças e Componentes.MPC PA Porcas e Arruelas.MPC PA Arruelas Diversas</t>
  </si>
  <si>
    <t>Componentes PPA</t>
  </si>
  <si>
    <t>MPC PA Arruelas Diversas</t>
  </si>
  <si>
    <t>Almox Cx Acessórios</t>
  </si>
  <si>
    <t>Almox Carpintaria - Madeira</t>
  </si>
  <si>
    <t>Recursos.Materiais e Produtos.Mat Peças e Componentes.MPC Parafusos.MPC Parafusos Frances</t>
  </si>
  <si>
    <t>MPC Parafusos Frances</t>
  </si>
  <si>
    <t>Almox Devol Vendas</t>
  </si>
  <si>
    <t>Almox Carpintaria - Componentes PPA</t>
  </si>
  <si>
    <t>Recursos.Materiais e Produtos.Produtos.Peças Prod.Peças Para Carretas</t>
  </si>
  <si>
    <t>Peças Para Carretas</t>
  </si>
  <si>
    <t>Almox Expedição</t>
  </si>
  <si>
    <t>Almox Carpintaria - Emb</t>
  </si>
  <si>
    <t>Recursos.Materiais e Produtos.Mat Embalagem.ME Fitas e Selos</t>
  </si>
  <si>
    <t>Emb</t>
  </si>
  <si>
    <t>Almox Forjaria</t>
  </si>
  <si>
    <t>Almox Central - MP</t>
  </si>
  <si>
    <t>Almox Central - Peças</t>
  </si>
  <si>
    <t>Recursos.Materiais e Produtos.Mat Prima.MP Diversos</t>
  </si>
  <si>
    <t>MP</t>
  </si>
  <si>
    <t>Almox Imob em Andamento</t>
  </si>
  <si>
    <t>Recursos.Materiais e Produtos.Mat Prima.MP Aço Redondo.MP Aço Redondo Laminados p Forjaria</t>
  </si>
  <si>
    <t>MP Serra</t>
  </si>
  <si>
    <t>MP Aço Redondo Laminados p Forjaria</t>
  </si>
  <si>
    <t>Almox Imobilizad</t>
  </si>
  <si>
    <t>Almox Central - MP Serra</t>
  </si>
  <si>
    <t>Recursos.Materiais e Produtos.Mat Prima.MP Aço Redondo.MP Aço Redondo Laminados p Usinagem</t>
  </si>
  <si>
    <t>MP Aço Redondo Laminados p Usinagem</t>
  </si>
  <si>
    <t>Almox Marketing</t>
  </si>
  <si>
    <t>Almox Central - MP Forj</t>
  </si>
  <si>
    <t>Recursos.Materiais e Produtos.Mat Prima.MP Forjados.MP Forjados Chumbo</t>
  </si>
  <si>
    <t>MP Forj</t>
  </si>
  <si>
    <t>MP Forjados Chumbo</t>
  </si>
  <si>
    <t>Almox Mat Fora de Uso</t>
  </si>
  <si>
    <t>Almox Central - Madeira</t>
  </si>
  <si>
    <t>Recursos.Materiais e Produtos.Mat Prima.MP Aço Redondo.MP Aço Redondo Trefilados</t>
  </si>
  <si>
    <t>MP Aço Redondo Trefilados</t>
  </si>
  <si>
    <t>Almox Mont Caçambas</t>
  </si>
  <si>
    <t>Almox Central - MP Chapas</t>
  </si>
  <si>
    <t>Recursos.Materiais e Produtos.Mat Prima.MP Aço Redondo.MP Aço Redondo Diversos</t>
  </si>
  <si>
    <t>MP Aço Redondo Diversos</t>
  </si>
  <si>
    <t>Almox Central - Fundido</t>
  </si>
  <si>
    <t>Recursos.Materiais e Produtos.Mat Prima.MP Aço Quadrado.MP Aço Quadrado Diversos</t>
  </si>
  <si>
    <t>MP Aço Quadrado Diversos</t>
  </si>
  <si>
    <t>Almox Mont Robusta</t>
  </si>
  <si>
    <t>Almox Central - Mat Manu</t>
  </si>
  <si>
    <t>Recursos.Materiais e Produtos.Mat Prima.MP Aço Redondo</t>
  </si>
  <si>
    <t>Almox Mont Rotativas</t>
  </si>
  <si>
    <t>Almox Central - Mat Ferramenta</t>
  </si>
  <si>
    <t>Recursos.Materiais e Produtos.Mat Prima.MP Forjados.MP Forjados Grafite</t>
  </si>
  <si>
    <t>MP Forjados Grafite</t>
  </si>
  <si>
    <t>Almox Mont Tanques</t>
  </si>
  <si>
    <t>Almox Central - Componentes Sem Mov</t>
  </si>
  <si>
    <t>Recursos.Materiais e Produtos.Mat Prima.MP Forjados.MP Forjados Nylon Tecnil</t>
  </si>
  <si>
    <t>MP Forjados Nylon Tecnil</t>
  </si>
  <si>
    <t>Almox Peças Reposição</t>
  </si>
  <si>
    <t>Almox Central - Componentes Div</t>
  </si>
  <si>
    <t>Recursos.Materiais e Produtos.Mat Prima.MP Chapas.MP Chapas c Dim Esp SAE 1008 10 e 20</t>
  </si>
  <si>
    <t>MP Chapas</t>
  </si>
  <si>
    <t>MP Chapas c Dim Esp SAE 1008 10 e 20</t>
  </si>
  <si>
    <t>Almox Pintura - Embalagem</t>
  </si>
  <si>
    <t>Almox Central - Componentes PPA</t>
  </si>
  <si>
    <t>Recursos.Materiais e Produtos.Mat Prima.MP Chapas.MP Chapas Grossas SAE 1008 e 10 e 20</t>
  </si>
  <si>
    <t>MP Chapas Grossas SAE 1008 e 10 e 20</t>
  </si>
  <si>
    <t>Almox Prod Especiais</t>
  </si>
  <si>
    <t>Almox Central - Mat Secundário</t>
  </si>
  <si>
    <t>Recursos.Materiais e Produtos.Mat Prima.MP Chapas.MP Chapas Finas SAE 1008 e 10 e 20</t>
  </si>
  <si>
    <t>MP Chapas Finas SAE 1008 e 10 e 20</t>
  </si>
  <si>
    <t>Almox Protótipos</t>
  </si>
  <si>
    <t>Almox Central - Componentes</t>
  </si>
  <si>
    <t>Recursos.Materiais e Produtos.Mat Prima.MP Chapas.MP Chapas Bobinas</t>
  </si>
  <si>
    <t>MP Chapas Bobinas</t>
  </si>
  <si>
    <t>Almox Qualidade</t>
  </si>
  <si>
    <t>Almox Central - Componentes CA</t>
  </si>
  <si>
    <t>Recursos.Materiais e Produtos.Mat Prima.MP Chapas.MP Chapas Diversas</t>
  </si>
  <si>
    <t>MP Chapas Diversas</t>
  </si>
  <si>
    <t>Almox Serra</t>
  </si>
  <si>
    <t>Almox Central - MUC</t>
  </si>
  <si>
    <t>Recursos.Materiais e Produtos.Mat Prima.MP Chapas.MP Chapas Especiais 1070</t>
  </si>
  <si>
    <t>MP Chapas Especiais 1070</t>
  </si>
  <si>
    <t>Almox Sucata</t>
  </si>
  <si>
    <t>Almox Central - Ferramentas</t>
  </si>
  <si>
    <t>Recursos.Materiais e Produtos.Mat Prima.MP Aço Quadrado.MP Aço Quadrado Trefilados</t>
  </si>
  <si>
    <t>MP Aço Quadrado Trefilados</t>
  </si>
  <si>
    <t>Almox Usinagem</t>
  </si>
  <si>
    <t>Almox Central - Emb</t>
  </si>
  <si>
    <t>Recursos.Materiais e Produtos.Mat Prima.MP Aço Quadrado.MP Aço Quadrado Laminados</t>
  </si>
  <si>
    <t>MP Aço Quadrado Laminados</t>
  </si>
  <si>
    <t>Edificações Princ e Secun</t>
  </si>
  <si>
    <t>Almox Central - Conj</t>
  </si>
  <si>
    <t>Recursos.Materiais e Produtos.Mat Prima.MP Aço Chato.MP Aço Chato 1010 e 1020</t>
  </si>
  <si>
    <t>MP Aço Chato 1010 e 1020</t>
  </si>
  <si>
    <t>Equip de Proc de Dados</t>
  </si>
  <si>
    <t>Almox Central - Tendi nao</t>
  </si>
  <si>
    <t>Recursos.Materiais e Produtos.Mat Prima.MP Aço Chato.MP Aço Chato Molas</t>
  </si>
  <si>
    <t>MP Aço Chato Molas</t>
  </si>
  <si>
    <t>Instalações Industriais</t>
  </si>
  <si>
    <t>Almox Central - Imob</t>
  </si>
  <si>
    <t>Recursos.Materiais e Produtos.Mat Prima.MP Aço Chato.MP Aço Chato 1045 e 1050</t>
  </si>
  <si>
    <t>MP Aço Chato 1045 e 1050</t>
  </si>
  <si>
    <t>Máqs e Equipamentos</t>
  </si>
  <si>
    <t>Almox Central - Gases</t>
  </si>
  <si>
    <t>Recursos.Materiais e Produtos.Mat Prima.MP Perfis.MP Perfis Cantoneiras</t>
  </si>
  <si>
    <t>MP Perfis Cantoneiras</t>
  </si>
  <si>
    <t>Móveis e Utensílios</t>
  </si>
  <si>
    <t>Almox Central - Rec Fiscais</t>
  </si>
  <si>
    <t>Recursos.Materiais e Produtos.Mat Prima.MP Tubos.MP Tubos Quadrados</t>
  </si>
  <si>
    <t>MP Tubos Quadrados</t>
  </si>
  <si>
    <t>Terrenos</t>
  </si>
  <si>
    <t>Almox Central - Frete</t>
  </si>
  <si>
    <t>Recursos.Materiais e Produtos.Mat Prima.MP Tubos.MP Tubos Redondos</t>
  </si>
  <si>
    <t>MP Tubos Redondos</t>
  </si>
  <si>
    <t>Veículos</t>
  </si>
  <si>
    <t>Almox Central - Serv PJ</t>
  </si>
  <si>
    <t>Recursos.Materiais e Produtos.Mat Prima.MP Fundidos.MP Fundidos Outras</t>
  </si>
  <si>
    <t>Fundido</t>
  </si>
  <si>
    <t>MP Fundidos Outras</t>
  </si>
  <si>
    <t>Recursos.Materiais e Produtos.Mat Prima.MP Fundidos.MP Fundidos R2 e R3</t>
  </si>
  <si>
    <t>MP Fundidos R2 e R3</t>
  </si>
  <si>
    <t>Almox Corte e Estamparia - MP</t>
  </si>
  <si>
    <t>Recursos.Materiais e Produtos.Mat de Manutenção.MM Mecânica.MM Mecânica Diversos</t>
  </si>
  <si>
    <t>Mat Manu</t>
  </si>
  <si>
    <t>MM Mecânica Diversos</t>
  </si>
  <si>
    <t>Almox Corte e Estamparia - Mat Manu</t>
  </si>
  <si>
    <t>Recursos.Materiais e Produtos.Mat Ferramentas e Abrasivos.MFA Ferram Manuais.MFA Ferram Manuais Instrum de Medida</t>
  </si>
  <si>
    <t>Mat Ferramenta</t>
  </si>
  <si>
    <t>MFA Ferram Manuais Instrum de Medida</t>
  </si>
  <si>
    <t>Almox Corte e Estamparia - MP Serra</t>
  </si>
  <si>
    <t>Recursos.Materiais e Produtos.Mat Peças e Componentes.MPC Componentes sem Movimentação</t>
  </si>
  <si>
    <t>Componentes Sem Mov</t>
  </si>
  <si>
    <t>Almox Corte e Estamparia - MP Chapas</t>
  </si>
  <si>
    <t>Recursos.Materiais e Produtos.Produtos.Peças Prod.Outras Peças</t>
  </si>
  <si>
    <t>Outras Peças</t>
  </si>
  <si>
    <t>Recursos.Materiais e Produtos.Mat Peças e Componentes.MPC Diversos.MPC Diversos Outros</t>
  </si>
  <si>
    <t>Componentes Div</t>
  </si>
  <si>
    <t>MPC Diversos Outros</t>
  </si>
  <si>
    <t>Almox Corte e Estamparia - Componentes PPA</t>
  </si>
  <si>
    <t>Recursos.Materiais e Produtos.Mat Peças e Componentes.MPC CBM Cardans Bombas Motores.MPC CBM Cardans e Comp Diversos</t>
  </si>
  <si>
    <t>MPC CBM Cardans e Comp Diversos</t>
  </si>
  <si>
    <t>Almox Corte e Estamparia - Mat Secundário</t>
  </si>
  <si>
    <t>Recursos.Materiais e Produtos.Mat Peças e Componentes.MPC Parafusos.MPC Parafusos Allem</t>
  </si>
  <si>
    <t>MPC Parafusos Allem</t>
  </si>
  <si>
    <t>Almox Corte e Estamparia - MUC</t>
  </si>
  <si>
    <t>Recursos.Materiais e Produtos.Mat Peças e Componentes.MPC PA Porcas e Arruelas.MPC PA Porcas Diversas</t>
  </si>
  <si>
    <t>MPC PA Porcas Diversas</t>
  </si>
  <si>
    <t>Almox Cx Acessórios - Conj</t>
  </si>
  <si>
    <t>Recursos.Materiais e Produtos.Mat Peças e Componentes.MPC Diversos</t>
  </si>
  <si>
    <t>Recursos.Materiais e Produtos.Mat Peças e Componentes.MPC ABP Anéis Buchas Pinos.MPC ABP Anéis</t>
  </si>
  <si>
    <t>MPC ABP Anéis</t>
  </si>
  <si>
    <t>Almox Cx Acessórios - Componentes Div</t>
  </si>
  <si>
    <t>Recursos.Materiais e Produtos.Mat Secundário.MS Adesivos</t>
  </si>
  <si>
    <t>Mat Secundário</t>
  </si>
  <si>
    <t>Almox Cx Acessórios - Componentes PPA</t>
  </si>
  <si>
    <t>Recursos.Materiais e Produtos.Mat Peças e Componentes.MPC CCP Corrente Coroa Pinhão.MPC CCP Correias</t>
  </si>
  <si>
    <t>Componentes</t>
  </si>
  <si>
    <t>MPC CCP Correias</t>
  </si>
  <si>
    <t>Recursos.Materiais e Produtos.Mat Peças e Componentes.MPC PR Pneus e Rodas.MPC PR Rodas e Aros</t>
  </si>
  <si>
    <t>MPC PR Rodas e Aros</t>
  </si>
  <si>
    <t>Almox Cx Acessórios - Componentes CA</t>
  </si>
  <si>
    <t>Recursos.Materiais e Produtos.Mat Peças e Componentes.MPC CBM Cardans Bombas Motores.MPC CBM Bombas e Motobombas</t>
  </si>
  <si>
    <t>MPC CBM Bombas e Motobombas</t>
  </si>
  <si>
    <t>Almox Cx Acessórios - Componentes Sem Mov</t>
  </si>
  <si>
    <t>Recursos.Materiais e Produtos.Mat Peças e Componentes.MPC ABP Anéis Buchas Pinos.MPC ABP Buchas</t>
  </si>
  <si>
    <t>MPC ABP Buchas</t>
  </si>
  <si>
    <t>Almox Cx Acessórios - Mat Secundário</t>
  </si>
  <si>
    <t>Recursos.Materiais e Produtos.Mat Peças e Componentes.MPC PR Pneus e Rodas.MPC PR Pneus e Camaras</t>
  </si>
  <si>
    <t>MPC PR Pneus e Camaras</t>
  </si>
  <si>
    <t>Almox Cx Acessórios - Emb</t>
  </si>
  <si>
    <t>Recursos.Materiais e Produtos.Mat Peças e Componentes.MPC ABP Anéis Buchas Pinos.MPC ABP Contra Pinos</t>
  </si>
  <si>
    <t>MPC ABP Contra Pinos</t>
  </si>
  <si>
    <t>Almox Devol Vendas - Conj</t>
  </si>
  <si>
    <t>Recursos.Materiais e Produtos.Mat Peças e Componentes.MPC MDC Molas Discos Cabos de Aço.MPC MDC Cabos Aço Clips</t>
  </si>
  <si>
    <t>MPC MDC Cabos Aço Clips</t>
  </si>
  <si>
    <t>Almox Devol Vendas - Componentes Div</t>
  </si>
  <si>
    <t>Recursos.Materiais e Produtos.Mat Peças e Componentes.MPC Cubos Fundidos</t>
  </si>
  <si>
    <t>Almox Devol Vendas - Componentes CA</t>
  </si>
  <si>
    <t>Recursos.Materiais e Produtos.Mat Peças e Componentes.MPC PA Porcas e Arruelas.MPC PA Porcas Especiais</t>
  </si>
  <si>
    <t>MPC PA Porcas Especiais</t>
  </si>
  <si>
    <t>Almox Devol Vendas - Componentes</t>
  </si>
  <si>
    <t>Recursos.Materiais e Produtos.Mat Peças e Componentes.MPC CCP Corrente Coroa Pinhão.MPC CCP Correntes</t>
  </si>
  <si>
    <t>MPC CCP Correntes</t>
  </si>
  <si>
    <t>Recursos.Materiais e Produtos.Mat Peças e Componentes.MPC MDC Molas Discos Cabos de Aço.MPC MDC Molas</t>
  </si>
  <si>
    <t>MPC MDC Molas</t>
  </si>
  <si>
    <t>Recursos.Materiais e Produtos.Mat Peças e Componentes.MPC ABP Anéis Buchas Pinos</t>
  </si>
  <si>
    <t>Almox Forjaria - Conj</t>
  </si>
  <si>
    <t>Recursos.Materiais e Produtos.Mat Peças e Componentes.MPC RMRJ Rolam Manc Ret Juntas.MPC RMRJ Mancais</t>
  </si>
  <si>
    <t>MPC RMRJ Mancais</t>
  </si>
  <si>
    <t>Almox Forjaria - Componentes Div</t>
  </si>
  <si>
    <t>Recursos.Materiais e Produtos.Mat Peças e Componentes.MPC Especiais Ferrs p Carrs Macacos Mangueiras</t>
  </si>
  <si>
    <t>Almox Imob em Andamento - Imob</t>
  </si>
  <si>
    <t>Recursos.Materiais e Produtos.Mat Peças e Componentes.MPC Parafusos.MPC Parafusos Especial</t>
  </si>
  <si>
    <t>MPC Parafusos Especial</t>
  </si>
  <si>
    <t>Almox Imob em Andamento - Folha</t>
  </si>
  <si>
    <t>Recursos.Materiais e Produtos.Mat Peças e Componentes.MPC Parafusos.MPC Parafusos Diversos</t>
  </si>
  <si>
    <t>MPC Parafusos Diversos</t>
  </si>
  <si>
    <t>Almox Imobilizad - Imob</t>
  </si>
  <si>
    <t>Recursos.Materiais e Produtos.Mat Peças e Componentes.MPC Parafusos.MPC Parafusos Sext Comum</t>
  </si>
  <si>
    <t>MPC Parafusos Sext Comum</t>
  </si>
  <si>
    <t>Almox Imobilizad - Mat Manu</t>
  </si>
  <si>
    <t>Recursos.Materiais e Produtos.Mat Peças e Componentes.MPC Parafusos.MPC Parafusos 8o8</t>
  </si>
  <si>
    <t>MPC Parafusos 8o8</t>
  </si>
  <si>
    <t>Almox Imobilizad - BTNP</t>
  </si>
  <si>
    <t>Recursos.Materiais e Produtos.Mat Peças e Componentes.MPC Parafusos.MPC Parafusos 10o9</t>
  </si>
  <si>
    <t>MPC Parafusos 10o9</t>
  </si>
  <si>
    <t>Recursos.Materiais e Produtos.Mat Peças e Componentes.MPC PA Porcas e Arruelas.MPC PA Porcas Sext Comum</t>
  </si>
  <si>
    <t>MPC PA Porcas Sext Comum</t>
  </si>
  <si>
    <t>Almox Mat Fora de Uso - Componentes PPA</t>
  </si>
  <si>
    <t>Recursos.Materiais e Produtos.Mat Peças e Componentes.MPC Diversos.MPC Diversos Rebites</t>
  </si>
  <si>
    <t>MPC Diversos Rebites</t>
  </si>
  <si>
    <t>Almox Mat Fora de Uso - Componentes Div</t>
  </si>
  <si>
    <t>Recursos.Materiais e Produtos.Mat Peças e Componentes.MPC RMRJ Rolam Manc Ret Juntas.MPC RMRJ Retentores</t>
  </si>
  <si>
    <t>MPC RMRJ Retentores</t>
  </si>
  <si>
    <t>Almox Mat Fora de Uso - Componentes</t>
  </si>
  <si>
    <t>Recursos.Materiais e Produtos.Mat Peças e Componentes.MPC RMRJ Rolam Manc Ret Juntas.MPC RMRJ Rolamentos de Esfera</t>
  </si>
  <si>
    <t>MPC RMRJ Rolamentos de Esfera</t>
  </si>
  <si>
    <t>Almox Mat Fora de Uso - Componentes CA</t>
  </si>
  <si>
    <t>Recursos.Materiais e Produtos.Mat Peças e Componentes.MPC RMRJ Rolam Manc Ret Juntas.MPC RMRJ Rolamentos de Cone Capa</t>
  </si>
  <si>
    <t>MPC RMRJ Rolamentos de Cone Capa</t>
  </si>
  <si>
    <t>Almox Mat Fora de Uso - Componentes Sem Mov</t>
  </si>
  <si>
    <t>Recursos.Materiais e Produtos.Mat Peças e Componentes.MPC Diversos.MPC Diversos Valvulas de Gaveta</t>
  </si>
  <si>
    <t>MPC Diversos Valvulas de Gaveta</t>
  </si>
  <si>
    <t>Almox Mont Caçambas - Peças</t>
  </si>
  <si>
    <t>Recursos.Materiais e Produtos.Mat Peças e Componentes.MPC Diversos.MPC Diversos Tubos e Conexões</t>
  </si>
  <si>
    <t>MPC Diversos Tubos e Conexões</t>
  </si>
  <si>
    <t>Recursos.Materiais e Produtos.Mat Peças e Componentes.MPC CBM Cardans Bombas Motores.MPC CBM Cardans RP e PS</t>
  </si>
  <si>
    <t>MPC CBM Cardans RP e PS</t>
  </si>
  <si>
    <t>Recursos.Materiais e Produtos.Mat Secundário.MS Tintas.MS Tintas Solventes</t>
  </si>
  <si>
    <t>MS Tintas Solventes</t>
  </si>
  <si>
    <t>Almox Mont Carretas - Componentes PPA</t>
  </si>
  <si>
    <t>Recursos.Materiais e Produtos.Mat de Manutenção.MM Construção Civil</t>
  </si>
  <si>
    <t>Almox Mont Carretas - Componentes Div</t>
  </si>
  <si>
    <t>Recursos.Materiais e Produtos.Mat de Uso e Consumo.MUC Custo Industrial</t>
  </si>
  <si>
    <t>MUC</t>
  </si>
  <si>
    <t>Almox Mont Carretas - Componentes CA</t>
  </si>
  <si>
    <t>Recursos.Materiais e Produtos.Mat de Uso e Consumo.MUC Expediente</t>
  </si>
  <si>
    <t>Recursos.Materiais e Produtos.Mat Secundário.MS Tintas.MS Tintas Diversos</t>
  </si>
  <si>
    <t>MS Tintas Diversos</t>
  </si>
  <si>
    <t>Almox Mont Carretas - Componentes Sem Mov</t>
  </si>
  <si>
    <t>Recursos.Materiais e Produtos.Mat Secundário.MS Eletrodos e Arames</t>
  </si>
  <si>
    <t>Almox Mont Carretas - Mat Secundário</t>
  </si>
  <si>
    <t>Recursos.Materiais e Produtos.Mat Secundário.MS Diversos</t>
  </si>
  <si>
    <t>Almox Mont Carretas - Emb</t>
  </si>
  <si>
    <t>Recursos.Materiais e Produtos.Mat Secundário.MS Tintas.MS Tintas Pigmentos</t>
  </si>
  <si>
    <t>MS Tintas Pigmentos</t>
  </si>
  <si>
    <t>Recursos.Materiais e Produtos.Mat Ferramentas e Abrasivos.MFA Lixas</t>
  </si>
  <si>
    <t>Ferramentas</t>
  </si>
  <si>
    <t>Almox Mont Robusta - Conj</t>
  </si>
  <si>
    <t>Recursos.Materiais e Produtos.Mat Secundário.MS Eletrodos e Arames.MS Eletrodos e Arames p Produção</t>
  </si>
  <si>
    <t>MS Eletrodos e Arames p Produção</t>
  </si>
  <si>
    <t>Almox Mont Robusta - Componentes PPA</t>
  </si>
  <si>
    <t>Recursos.Materiais e Produtos.Mat Secundário.MS Eletrodos e Arames.MS Eletrodos e Arames p Manutenção</t>
  </si>
  <si>
    <t>MS Eletrodos e Arames p Manutenção</t>
  </si>
  <si>
    <t>Almox Mont Robusta - Componentes</t>
  </si>
  <si>
    <t>Recursos.Materiais e Produtos.Mat Secundário.MS Pregos</t>
  </si>
  <si>
    <t>Almox Mont Robusta - Componentes Sem Mov</t>
  </si>
  <si>
    <t>Recursos.Materiais e Produtos.Mat Secundário.MS Tintas.MS Tintas Vernizes</t>
  </si>
  <si>
    <t>MS Tintas Vernizes</t>
  </si>
  <si>
    <t>Almox Mont Robusta - Componentes Div</t>
  </si>
  <si>
    <t>Recursos.Materiais e Produtos.Mat Secundário.MS Oleos.MS Oleos Diversos</t>
  </si>
  <si>
    <t>MS Oleos Diversos</t>
  </si>
  <si>
    <t>Almox Mont Robusta - Componentes CA</t>
  </si>
  <si>
    <t>Recursos.Materiais e Produtos.Mat Secundário.MS Eletrodos e Arames.MS Eletrodos e Arames MIG</t>
  </si>
  <si>
    <t>MS Eletrodos e Arames MIG</t>
  </si>
  <si>
    <t>Recursos.Materiais e Produtos.Mat Embalagem.ME Diversos</t>
  </si>
  <si>
    <t>Recursos.Materiais e Produtos.Mat Secundário</t>
  </si>
  <si>
    <t>Almox Mont Tanques - Conj</t>
  </si>
  <si>
    <t>Recursos.Materiais e Produtos.Produtos.Peças Prod.60 Conjuntos ACESSORIOS</t>
  </si>
  <si>
    <t>Conj</t>
  </si>
  <si>
    <t>60 Conjuntos ACESSORIOS</t>
  </si>
  <si>
    <t>Almox Peças Reposição - Conj</t>
  </si>
  <si>
    <t>Almox Peças Reposição - Geral</t>
  </si>
  <si>
    <t>Recursos.Materiais e Produtos.Produtos.Peças Prod.Peças para Carretas ACESSORIOS</t>
  </si>
  <si>
    <t>Peças para Carretas ACESSORIOS</t>
  </si>
  <si>
    <t>Almox Peças Reposição - Peças</t>
  </si>
  <si>
    <t>Recursos.Materiais e Produtos.Mat Embalagem.ME Caixa de Papelão</t>
  </si>
  <si>
    <t>Almox Peças Reposição - MP Serra</t>
  </si>
  <si>
    <t>Recursos.Materiais e Produtos.Mat Embalagem.ME Sacos Plasticos</t>
  </si>
  <si>
    <t>Almox Peças Reposição - MP</t>
  </si>
  <si>
    <t>Recursos.Materiais e Produtos.Mat Ferramentas e Abrasivos.MFA Ferram Manuais.MFA Ferram Manuais p Uso da Operação</t>
  </si>
  <si>
    <t>MFA Ferram Manuais p Uso da Operação</t>
  </si>
  <si>
    <t>Almox Peças Reposição - Componentes PPA</t>
  </si>
  <si>
    <t>Recursos.Materiais e Produtos.Mat Ferramentas e Abrasivos.MFA Lixas.MFA Lixas p Ferro</t>
  </si>
  <si>
    <t>MFA Lixas p Ferro</t>
  </si>
  <si>
    <t>Almox Peças Reposição - Componentes Div</t>
  </si>
  <si>
    <t>Recursos.Materiais e Produtos.Mat de Uso e Consumo.MUC Proteção e Segurança</t>
  </si>
  <si>
    <t>Almox Peças Reposição - Componentes CA</t>
  </si>
  <si>
    <t>Recursos.Materiais e Produtos.Mat de Manutenção.MM Mecânica.MM Mecânica Rolamentos</t>
  </si>
  <si>
    <t>MM Mecânica Rolamentos</t>
  </si>
  <si>
    <t>Almox Peças Reposição - Componentes Sem Mov</t>
  </si>
  <si>
    <t>Recursos.Materiais e Produtos.Mat de Manutenção.MM Mecânica</t>
  </si>
  <si>
    <t>Almox Peças Reposição - Mat Secundário</t>
  </si>
  <si>
    <t>Recursos.Materiais e Produtos.Mat de Manutenção.MM Elétrica</t>
  </si>
  <si>
    <t>Recursos.Materiais e Produtos.Mat Ferramentas e Abrasivos.MFA Ferram Manuais.MFA Ferram Manuais p Uso Geral</t>
  </si>
  <si>
    <t>MFA Ferram Manuais p Uso Geral</t>
  </si>
  <si>
    <t>Recursos.Materiais e Produtos.Mat de Manutenção.MM Elétrica.MM Elétrica Diversos</t>
  </si>
  <si>
    <t>MM Elétrica Diversos</t>
  </si>
  <si>
    <t>Almox Pintura - Embalagem - Componentes PPA</t>
  </si>
  <si>
    <t>Recursos.Materiais e Produtos.Bens de consumo Permanente</t>
  </si>
  <si>
    <t>Tendi nao</t>
  </si>
  <si>
    <t>Almox Pintura - Embalagem - Componentes Div</t>
  </si>
  <si>
    <t>Recursos.Materiais e Produtos.Mat de Manutenção.MM Conservação Industrial</t>
  </si>
  <si>
    <t>Almox Pintura - Embalagem - Componentes CA</t>
  </si>
  <si>
    <t>Recursos.Materiais e Produtos.Mat de Manutenção.MM Elétrica.MM Elétrica Lampadas</t>
  </si>
  <si>
    <t>MM Elétrica Lampadas</t>
  </si>
  <si>
    <t>Recursos.Materiais e Produtos.Mat Secundário.MS Oleos.MS Oleos Lubrificantes</t>
  </si>
  <si>
    <t>MS Oleos Lubrificantes</t>
  </si>
  <si>
    <t>Almox Pintura - Embalagem - Mat Secundário</t>
  </si>
  <si>
    <t>Recursos.Materiais e Produtos.Mat de Manutenção.MM Elétrica.MM Elétrica Fusiveis</t>
  </si>
  <si>
    <t>MM Elétrica Fusiveis</t>
  </si>
  <si>
    <t>Almox Pintura - Embalagem - Emb</t>
  </si>
  <si>
    <t>Recursos.Materiais e Produtos.Mat de Manutenção.MM Elétrica.MM Elétrica Fios e Cabos</t>
  </si>
  <si>
    <t>MM Elétrica Fios e Cabos</t>
  </si>
  <si>
    <t>Almox Pintura - Embalagem - Implemento</t>
  </si>
  <si>
    <t>Recursos.Materiais e Produtos.Mat de Manutenção.MM Mecânica.MM Mecânica Correias</t>
  </si>
  <si>
    <t>MM Mecânica Correias</t>
  </si>
  <si>
    <t>Recursos.Materiais e Produtos.Mat de Manutenção.MM Elétrica.MM Elétrica Calhas Soqt Pinos e Tomad</t>
  </si>
  <si>
    <t>MM Elétrica Calhas Soqt Pinos e Tomad</t>
  </si>
  <si>
    <t>Almox Prod Especiais - Conj</t>
  </si>
  <si>
    <t>Recursos.Materiais e Produtos.Mat Peças e Componentes.MPC Parafusos</t>
  </si>
  <si>
    <t>Almox Prod Especiais - MP Forj</t>
  </si>
  <si>
    <t>Recursos.Materiais e Produtos.Mat Ferramentas e Abrasivos.MFA Ferram Manuais.MFA Ferram Manuais p Uso Manutenção</t>
  </si>
  <si>
    <t>MFA Ferram Manuais p Uso Manutenção</t>
  </si>
  <si>
    <t>Almox Prod Especiais - Mat Manu</t>
  </si>
  <si>
    <t>Recursos.Materiais e Produtos.Mat Ferramentas e Abrasivos.MFA Rebolos e Esmeril.MFA Rebolos e Esmeril de Desbaste</t>
  </si>
  <si>
    <t>MFA Rebolos e Esmeril de Desbaste</t>
  </si>
  <si>
    <t>Almox Prod Especiais - Componentes Div</t>
  </si>
  <si>
    <t>Recursos.Materiais e Produtos.Mat Ferramentas e Abrasivos.MFA Ferram Manuais</t>
  </si>
  <si>
    <t>Almox Prod Especiais - Componentes Sem Mov</t>
  </si>
  <si>
    <t>Recursos.Materiais e Produtos.Mat Ferramentas e Abrasivos.MFA Insertos.MFA Insertos Normais</t>
  </si>
  <si>
    <t>MFA Insertos Normais</t>
  </si>
  <si>
    <t>Almox Prod Especiais - Componentes PPA</t>
  </si>
  <si>
    <t>Recursos.Materiais e Produtos.Mat Ferramentas e Abrasivos.MFA Brocas.MFA Brocas Paralelas de Aço Rápido</t>
  </si>
  <si>
    <t>MFA Brocas Paralelas de Aço Rápido</t>
  </si>
  <si>
    <t>Almox Prod Especiais - Componentes CA</t>
  </si>
  <si>
    <t>Recursos.Materiais e Produtos.Mat Ferramentas e Abrasivos.MFA Brocas.MFA Brocas Conicas de Aço Rápido</t>
  </si>
  <si>
    <t>MFA Brocas Conicas de Aço Rápido</t>
  </si>
  <si>
    <t>Almox Prod Especiais - Componentes</t>
  </si>
  <si>
    <t>Recursos.Materiais e Produtos.Mat Ferramentas e Abrasivos.MFA Brocas.MFA Brocas Diversas</t>
  </si>
  <si>
    <t>MFA Brocas Diversas</t>
  </si>
  <si>
    <t>Almox Prod Especiais - Mat Secundário</t>
  </si>
  <si>
    <t>Recursos.Materiais e Produtos.Mat Ferramentas e Abrasivos.MFA Brocas.MFA Brocas de Topo de Aço Rápido</t>
  </si>
  <si>
    <t>MFA Brocas de Topo de Aço Rápido</t>
  </si>
  <si>
    <t>Almox Prod Especiais - Emb</t>
  </si>
  <si>
    <t>Recursos.Materiais e Produtos.Mat Ferramentas e Abrasivos.MFA Ferram Operacionais.MFA Ferram Operac Machos</t>
  </si>
  <si>
    <t>MFA Ferram Operac Machos</t>
  </si>
  <si>
    <t>Almox Prod Especiais - MUC</t>
  </si>
  <si>
    <t>Recursos.Materiais e Produtos.Mat Ferramentas e Abrasivos.MFA Laminas de Serra.MFA Laminas de Serra Comuns</t>
  </si>
  <si>
    <t>MFA Laminas de Serra Comuns</t>
  </si>
  <si>
    <t>Recursos.Materiais e Produtos.Mat Ferramentas e Abrasivos.MFA Laminas de Serra.MFA Laminas de Serra p Maq Automatica</t>
  </si>
  <si>
    <t>MFA Laminas de Serra p Maq Automatica</t>
  </si>
  <si>
    <t>Almox Qualidade - Conj</t>
  </si>
  <si>
    <t>Recursos.Materiais e Produtos.Mat Ferramentas e Abrasivos.MFA Rebolos e Esmeril.MFA Rebolos e Esmeril Diversos</t>
  </si>
  <si>
    <t>MFA Rebolos e Esmeril Diversos</t>
  </si>
  <si>
    <t>Recursos.Materiais e Produtos.Mat de Uso e Consumo.MUC Limpeza</t>
  </si>
  <si>
    <t>Almox Qualidade - Componentes CA</t>
  </si>
  <si>
    <t>Recursos.Ativos Imobilizados.Móveis e Utensílios e Instal Escritório.Móveis e Utensílios</t>
  </si>
  <si>
    <t>Almox Qualidade - Componentes PPA</t>
  </si>
  <si>
    <t>Recursos.Materiais e Produtos.Mat de Uso e Consumo.MUC Marketing</t>
  </si>
  <si>
    <t>Almox Qualidade - Componentes Div</t>
  </si>
  <si>
    <t>Recursos.Materiais e Produtos.Mat Gases e Combustiveis.MGC p Solda</t>
  </si>
  <si>
    <t>Gases</t>
  </si>
  <si>
    <t>Almox Qualidade - Componentes</t>
  </si>
  <si>
    <t>Recursos.Materiais e Produtos.Mat Gases e Combustiveis.MGC OLP</t>
  </si>
  <si>
    <t>Almox Qualidade - Mat Secundário</t>
  </si>
  <si>
    <t>Recursos.Materiais e Produtos.Mat Secundário.MS Oleos.MS Oleos Graxas</t>
  </si>
  <si>
    <t>MS Oleos Graxas</t>
  </si>
  <si>
    <t>Recursos.Materiais e Produtos.Mat Secundário.MS Oleos.MS Oleos p Corte</t>
  </si>
  <si>
    <t>MS Oleos p Corte</t>
  </si>
  <si>
    <t>Almox Serra - MP Serra</t>
  </si>
  <si>
    <t>Recursos.Materiais e Produtos.Mat Gases e Combustiveis.MGC Gasolina</t>
  </si>
  <si>
    <t>Almox Serra - MP Forj</t>
  </si>
  <si>
    <t>Recursos.Materiais e Produtos.Mat de Uso e Consumo.MUC Refeições</t>
  </si>
  <si>
    <t>Almox Serra - MP</t>
  </si>
  <si>
    <t>Recursos.Recursos Fiscais</t>
  </si>
  <si>
    <t>Rec Fiscais</t>
  </si>
  <si>
    <t>Almox Serra - MP Chapas</t>
  </si>
  <si>
    <t>Recursos.Ativos Imobilizados.Máquinas Equipamentos e Instal Industriais.Instalações Industriais</t>
  </si>
  <si>
    <t>Almox Serra - Mat Serra</t>
  </si>
  <si>
    <t>Recursos.Ativos Imobilizados.Máquinas Equipamentos e Instal Industriais.Estampos e Gabaritos</t>
  </si>
  <si>
    <t>Almox Sucata - Sucata</t>
  </si>
  <si>
    <t>Almox Sucata - Geral</t>
  </si>
  <si>
    <t>Recursos.Ativos Imobilizados.Estampos e Gabaritos</t>
  </si>
  <si>
    <t>Almox Sucata - Peças</t>
  </si>
  <si>
    <t>Recursos.Materiais e Produtos.Mat de Uso e Consumo.MUC farmacia</t>
  </si>
  <si>
    <t>Almox Sucata - Conj</t>
  </si>
  <si>
    <t>Recursos.Serviços Contratados.Fretes.Frete Rodoviário</t>
  </si>
  <si>
    <t>Frete</t>
  </si>
  <si>
    <t>Recursos.Serviços Contratados.Outros Serviços PJ</t>
  </si>
  <si>
    <t>Serv PJ</t>
  </si>
  <si>
    <t>Almox Usinagem - MP Serra</t>
  </si>
  <si>
    <t>Recursos.Ativos Imobilizados.Máquinas Equipamentos Ativos.Máq Equip Mont Solda</t>
  </si>
  <si>
    <t>Almox Usinagem - MP Forj</t>
  </si>
  <si>
    <t>Recursos.Materiais e Produtos.Produtos.Peças Prod.Peças para Carretas PLATAF CAÇAMBAS</t>
  </si>
  <si>
    <t>Peças para Carretas PLATAF CAÇAMBAS</t>
  </si>
  <si>
    <t>Almox Usinagem - MP</t>
  </si>
  <si>
    <t>Recursos.Materiais e Produtos.Produtos.Peças Prod.Peças para carretas Conj Intermediários</t>
  </si>
  <si>
    <t>Peças para carretas Conj Intermediários</t>
  </si>
  <si>
    <t>Almox Usinagem - Componentes Div</t>
  </si>
  <si>
    <t>Recursos.Materiais e Produtos.Produtos.Peças Prod.Peças para Carretas LATERAIS e FECHAMENTOS</t>
  </si>
  <si>
    <t>Peças para Carretas LATERAIS e FECHAMENTOS</t>
  </si>
  <si>
    <t>Almox Usinagem - Componentes PPA</t>
  </si>
  <si>
    <t>Recursos.Materiais e Produtos.Produtos.Peças Prod.Peças para carretas FUEIROS</t>
  </si>
  <si>
    <t>Peças para carretas FUEIROS</t>
  </si>
  <si>
    <t>Almox Usinagem - Conj</t>
  </si>
  <si>
    <t>Recursos.Materiais e Produtos.Produtos.Peças Prod.Peças para Carretas EIXOS</t>
  </si>
  <si>
    <t>Peças para Carretas EIXOS</t>
  </si>
  <si>
    <t>Almox Usinagem - Mat Manu</t>
  </si>
  <si>
    <t>Recursos.Materiais e Produtos.Produtos.Peças Prod.Peças para Carretas CHASSIS</t>
  </si>
  <si>
    <t>Peças para Carretas CHASSIS</t>
  </si>
  <si>
    <t>Edificações Princ e Secun - Imob</t>
  </si>
  <si>
    <t>Recursos.Materiais e Produtos.Produtos.Peças Prod.Peças para Carretas IÇAMENTOS</t>
  </si>
  <si>
    <t>Peças para Carretas IÇAMENTOS</t>
  </si>
  <si>
    <t>Equip de Proc de Dados - Imob</t>
  </si>
  <si>
    <t>Recursos.Materiais e Produtos.Produtos.Peças Prod.Peças Prod Fora de Linha</t>
  </si>
  <si>
    <t>Peças Prod Fora de Linha</t>
  </si>
  <si>
    <t>Instalações Industriais - Imob</t>
  </si>
  <si>
    <t>Recursos.Materiais e Produtos.Produtos.Peças Prod.Peças para carretas PLAT CARROCERIAS</t>
  </si>
  <si>
    <t>Peças para carretas PLAT CARROCERIAS</t>
  </si>
  <si>
    <t>Máqs e Equipamentos - Peças</t>
  </si>
  <si>
    <t>Recursos.Materiais e Produtos.Produtos.Peças Prod</t>
  </si>
  <si>
    <t>Peças Prod</t>
  </si>
  <si>
    <t>Máqs e Equipamentos - Imob</t>
  </si>
  <si>
    <t>Recursos.Materiais e Produtos.Produtos.Peças Prod.Peças para Carretas TANQUES</t>
  </si>
  <si>
    <t>Peças para Carretas TANQUES</t>
  </si>
  <si>
    <t>Máqs e Equipamentos - Ferramentas</t>
  </si>
  <si>
    <t>Recursos.Materiais e Produtos.Produtos.Peças Prod.Peças Para Rotativas</t>
  </si>
  <si>
    <t>Peças Para Rotativas</t>
  </si>
  <si>
    <t>Móveis e Utensílios - Imob</t>
  </si>
  <si>
    <t>Recursos.Materiais e Produtos.Produtos.Peças Prod.70 Sistemas Carretas</t>
  </si>
  <si>
    <t>70 Sistemas Carretas</t>
  </si>
  <si>
    <t>Terrenos - Imob</t>
  </si>
  <si>
    <t>Recursos.Materiais e Produtos.Produtos.Peças Prod.70 Sistemas ACESSORIOS</t>
  </si>
  <si>
    <t>70 Sistemas ACESSORIOS</t>
  </si>
  <si>
    <t>Veículos - Imob</t>
  </si>
  <si>
    <t>Recursos.Materiais e Produtos.Produtos.Peças Prod.Conjuntos Carretas</t>
  </si>
  <si>
    <t>Conjuntos Carretas</t>
  </si>
  <si>
    <t>Almox Corte e Estamparia - Componentes Div</t>
  </si>
  <si>
    <t>Recursos.Materiais e Produtos.Produtos.Peças Prod.60 Conjuntos Rotavatores</t>
  </si>
  <si>
    <t>60 Conjuntos Rotavatores</t>
  </si>
  <si>
    <t>Almox Corte e Estamparia - Emb</t>
  </si>
  <si>
    <t>Recursos.Materiais e Produtos.Produtos.Implementos.Carretas Agrícolas.Carretas Basculantes hidráulicas</t>
  </si>
  <si>
    <t>Implemento</t>
  </si>
  <si>
    <t>Carretas Agrícolas</t>
  </si>
  <si>
    <t>Almox Devol Vendas - Componentes PPA</t>
  </si>
  <si>
    <t>Recursos.Materiais e Produtos.Produtos.Implementos.Carretas Agrícolas.Carretas Tanque</t>
  </si>
  <si>
    <t>Almox Devol Vendas - Peças</t>
  </si>
  <si>
    <t>Recursos.Materiais e Produtos.Produtos.Peças Prod.Peças Especiais</t>
  </si>
  <si>
    <t>Peças Especiais</t>
  </si>
  <si>
    <t>Almox Expedição - MUC</t>
  </si>
  <si>
    <t>Recursos.Ativos Imobilizados.Materiais de reforma</t>
  </si>
  <si>
    <t>Almox Expedição - Componentes PPA</t>
  </si>
  <si>
    <t>Recursos.Folha e Encargos.Ordenados e Salários</t>
  </si>
  <si>
    <t>Folha</t>
  </si>
  <si>
    <t>Almox Expedição - Ferramentas</t>
  </si>
  <si>
    <t>Recursos.Ativos Imobilizados.Móveis e Utensílios e Instal Escritório.Equipamentos de Proc Dados</t>
  </si>
  <si>
    <t>Almox Expedição - Mat Manu</t>
  </si>
  <si>
    <t>Recursos.Ativos Imobilizados.Veículos e Semoventes.Veículos</t>
  </si>
  <si>
    <t>#N/D</t>
  </si>
  <si>
    <t>Recursos.Ativos Imobilizados.Máquinas Equipamentos e Instal Industriais</t>
  </si>
  <si>
    <t>Almox Forjaria - Componentes PPA</t>
  </si>
  <si>
    <t>Recursos.Ativos Imobilizados.Máquinas Equipamentos Ativos.Máq Equip Estamparia</t>
  </si>
  <si>
    <t>Almox Imobilizad - MUC</t>
  </si>
  <si>
    <t>X</t>
  </si>
  <si>
    <t>Recursos.Ativos Imobilizados.Máquinas Equipamentos Ativos</t>
  </si>
  <si>
    <t>Recursos.Ativos Imobilizados.Máquinas Equipamentos Ativos.Máq Equip Pintura</t>
  </si>
  <si>
    <t>Almox Mat Fora de Uso - Madeira</t>
  </si>
  <si>
    <t>Recursos.Ativos Imobilizados.Terrenos e Construções</t>
  </si>
  <si>
    <t>Almox Mat Fora de Uso - Mat Secundário</t>
  </si>
  <si>
    <t>Recursos.Ativos Imobilizados.Terrenos e Construções.Edificações Principais e Secundárias</t>
  </si>
  <si>
    <t>Almox Mont Carretas - MUC</t>
  </si>
  <si>
    <t>Recursos.Materiais e Produtos.Produtos.Peças Prod.70 Sistemas Carrocerias</t>
  </si>
  <si>
    <t>70 Sistemas Carrocerias</t>
  </si>
  <si>
    <t>Almox Mont Carretas - Madeira</t>
  </si>
  <si>
    <t>Recursos.Materiais e Produtos.Produtos.Peças Prod.60 Conjuntos Prod Especiais</t>
  </si>
  <si>
    <t>60 Conjuntos Prod Especiais</t>
  </si>
  <si>
    <t>Almox Mont Carretas - Mat Manu</t>
  </si>
  <si>
    <t>Recursos.Materiais e Produtos.Produtos.Peças Prod.70 Sistemas Rotavatores</t>
  </si>
  <si>
    <t>70 Sistemas Rotavatores</t>
  </si>
  <si>
    <t>Almox Mont Outros - Conj</t>
  </si>
  <si>
    <t>Recursos.Materiais e Produtos.Produtos.Implementos.Carretas Agrícolas</t>
  </si>
  <si>
    <t>Almox Peças Reposição - Componentes</t>
  </si>
  <si>
    <t>Recursos.Materiais e Produtos.Mat Prima.MP Aço Chato.MP Aço Chato Laminas Diversas</t>
  </si>
  <si>
    <t>Mat Serra</t>
  </si>
  <si>
    <t>MP Aço Chato Laminas Diversas</t>
  </si>
  <si>
    <t>Almox Pintura - Embalagem - MUC</t>
  </si>
  <si>
    <t>Recursos.Materiais e Produtos.Mat Prima.MP Aço Chato.MP Aço Chato Laminas R2 e R3</t>
  </si>
  <si>
    <t>MP Aço Chato Laminas R2 e R3</t>
  </si>
  <si>
    <t>Recursos.Materiais e Produtos.Mat Prima.MP Aço Chato.MP Aço Chato Laminas HR</t>
  </si>
  <si>
    <t>MP Aço Chato Laminas HR</t>
  </si>
  <si>
    <t>Almox Serra - Componentes CA</t>
  </si>
  <si>
    <t>Recursos.Materiais e Produtos.Mat Prima.MP Tubos.MP Tubos Diversos</t>
  </si>
  <si>
    <t>MP Tubos Diversos</t>
  </si>
  <si>
    <t>Almox Serra - Componentes</t>
  </si>
  <si>
    <t>Recursos.Materiais e Produtos.Mat Prima.MP Aço Chato.MP Aço Chato Diversos</t>
  </si>
  <si>
    <t>MP Aço Chato Diversos</t>
  </si>
  <si>
    <t>Recursos.Materiais e Produtos.Sobras e Perdas</t>
  </si>
  <si>
    <t>Sucata</t>
  </si>
  <si>
    <t>Recursos.Ativos Imobilizados.Máquinas Equipamentos Ativos.Máq Equip Usinagem</t>
  </si>
  <si>
    <t>Almox Usinagem - Componentes CA</t>
  </si>
  <si>
    <t>Recursos.Ativos Imobilizados.Terrenos e Construções.Terrenos</t>
  </si>
  <si>
    <t>Máqs e Equipamentos - Mat Manu</t>
  </si>
  <si>
    <t>feito?</t>
  </si>
  <si>
    <t>atualizado?</t>
  </si>
  <si>
    <t>link</t>
  </si>
  <si>
    <t>CLASSES</t>
  </si>
  <si>
    <t>SALDO DE RECURSO</t>
  </si>
  <si>
    <t>PLANILHA CENTRAL</t>
  </si>
  <si>
    <t>LISTAS CONTAGEM</t>
  </si>
  <si>
    <t>FORMULÁRIO</t>
  </si>
  <si>
    <t>QR CODE</t>
  </si>
  <si>
    <t>LISTAS RECONTAGEM</t>
  </si>
  <si>
    <t>REUNIÃO</t>
  </si>
  <si>
    <t>Fudido</t>
  </si>
  <si>
    <t>FÍSICO</t>
  </si>
  <si>
    <t>DIF</t>
  </si>
  <si>
    <t>116612 - COMP. NAVAL SOMASSOALHO 3070 X 450 X 20MM (Un)</t>
  </si>
  <si>
    <t>115333 - COMPENSADO NAVAL 10 X 1600 X 2200MM (Un)</t>
  </si>
  <si>
    <t>116611 - COMP. NAVAL SOMASSOALHO 3090 X 1795 X 20MM (Un)</t>
  </si>
  <si>
    <t>116613 - COMP. NAVAL SOMASSOALHO 1890X 450 X 20MM (Un)</t>
  </si>
  <si>
    <t>116614 - COMP. NAVAL SOMASSOALHO 3095 X 1795 X 20MM (Un)</t>
  </si>
  <si>
    <t>116615 - COMP. NAVAL SOMASSOALHO 3870 X 450 X 20MM (Un)</t>
  </si>
  <si>
    <t>116617 - COMP. NAVAL SOMASSOALHO 3890 X 1795 X 20MM (Un)</t>
  </si>
  <si>
    <t>116618 - COMP. NAVAL SOMASSOALHO 1890 X 600 X 20MM (Un)</t>
  </si>
  <si>
    <t>116619 - COMP. NAVAL SOMASSOALHO 3870 X 600 X 20MM (Un)</t>
  </si>
  <si>
    <t>116620 - COMP. NAVAL SOMASSOALHO 3070 X 600 X 20MM (Un)</t>
  </si>
  <si>
    <t>116621 - COMP. NAVAL SOMASSOALHO 3930 X 327 X 20MM (Un)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</si>
</sst>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rgb="FFFFFFFF"/>
      <name val="Comfortaa"/>
    </font>
    <font>
      <sz val="12.0"/>
      <color theme="1"/>
      <name val="Arial"/>
      <scheme val="minor"/>
    </font>
    <font>
      <b/>
      <color theme="1"/>
      <name val="Montserrat"/>
    </font>
    <font>
      <color theme="1"/>
      <name val="Montserrat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783F04"/>
        <bgColor rgb="FF783F04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0" fillId="0" fontId="2" numFmtId="0" xfId="0" applyFont="1"/>
    <xf borderId="1" fillId="0" fontId="3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0" fillId="0" fontId="5" numFmtId="0" xfId="0" applyFont="1"/>
    <xf borderId="1" fillId="0" fontId="3" numFmtId="0" xfId="0" applyAlignment="1" applyBorder="1" applyFont="1">
      <alignment readingOrder="0" shrinkToFit="0" vertical="bottom" wrapText="0"/>
    </xf>
    <xf borderId="1" fillId="3" fontId="3" numFmtId="0" xfId="0" applyAlignment="1" applyBorder="1" applyFill="1" applyFont="1">
      <alignment horizontal="center" readingOrder="0" shrinkToFit="0" vertical="bottom" wrapText="0"/>
    </xf>
    <xf borderId="1" fillId="3" fontId="3" numFmtId="0" xfId="0" applyAlignment="1" applyBorder="1" applyFont="1">
      <alignment shrinkToFit="0" vertical="bottom" wrapText="0"/>
    </xf>
    <xf borderId="1" fillId="3" fontId="4" numFmtId="0" xfId="0" applyAlignment="1" applyBorder="1" applyFont="1">
      <alignment horizontal="center" readingOrder="0"/>
    </xf>
    <xf borderId="1" fillId="3" fontId="4" numFmtId="0" xfId="0" applyBorder="1" applyFont="1"/>
    <xf borderId="0" fillId="3" fontId="5" numFmtId="0" xfId="0" applyFont="1"/>
    <xf borderId="1" fillId="4" fontId="4" numFmtId="0" xfId="0" applyAlignment="1" applyBorder="1" applyFill="1" applyFont="1">
      <alignment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5" fontId="6" numFmtId="0" xfId="0" applyAlignment="1" applyFill="1" applyFont="1">
      <alignment horizontal="center" readingOrder="0" vertical="center"/>
    </xf>
    <xf borderId="1" fillId="5" fontId="6" numFmtId="0" xfId="0" applyAlignment="1" applyBorder="1" applyFont="1">
      <alignment readingOrder="0" vertical="center"/>
    </xf>
    <xf borderId="1" fillId="5" fontId="6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center" vertical="center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1" fillId="0" fontId="5" numFmtId="0" xfId="0" applyBorder="1" applyFont="1"/>
    <xf borderId="1" fillId="0" fontId="5" numFmtId="0" xfId="0" applyAlignment="1" applyBorder="1" applyFont="1">
      <alignment horizontal="center"/>
    </xf>
    <xf borderId="0" fillId="0" fontId="8" numFmtId="0" xfId="0" applyAlignment="1" applyFont="1">
      <alignment vertical="bottom"/>
    </xf>
    <xf borderId="0" fillId="6" fontId="5" numFmtId="0" xfId="0" applyAlignment="1" applyFill="1" applyFont="1">
      <alignment readingOrder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210300" cy="59817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0</xdr:row>
      <xdr:rowOff>0</xdr:rowOff>
    </xdr:from>
    <xdr:ext cx="8134350" cy="531495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6.13"/>
    <col customWidth="1" min="2" max="2" width="62.88"/>
    <col customWidth="1" min="3" max="3" width="18.63"/>
    <col customWidth="1" min="4" max="4" width="16.0"/>
    <col customWidth="1" min="5" max="5" width="18.13"/>
    <col customWidth="1" min="6" max="6" width="22.75"/>
    <col customWidth="1" min="7" max="7" width="17.88"/>
    <col customWidth="1" min="8" max="8" width="23.63"/>
    <col customWidth="1" min="9" max="9" width="17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>
        <v>1.0</v>
      </c>
      <c r="B2" s="5" t="s">
        <v>9</v>
      </c>
      <c r="C2" s="6" t="s">
        <v>10</v>
      </c>
      <c r="D2" s="7" t="s">
        <v>11</v>
      </c>
      <c r="E2" s="7" t="s">
        <v>12</v>
      </c>
      <c r="F2" s="8" t="str">
        <f t="shared" ref="F2:F13" si="1">LEFT(B2,SEARCH(" - ",B2)-1)</f>
        <v>Almox Carpintaria</v>
      </c>
      <c r="G2" s="8" t="str">
        <f>IFERROR(__xludf.DUMMYFUNCTION("UNIQUE(D2:D44)"),"PAULO")</f>
        <v>PAULO</v>
      </c>
      <c r="H2" s="8"/>
      <c r="I2" s="9"/>
    </row>
    <row r="3">
      <c r="A3" s="4">
        <v>2.0</v>
      </c>
      <c r="B3" s="5" t="s">
        <v>13</v>
      </c>
      <c r="C3" s="6" t="s">
        <v>10</v>
      </c>
      <c r="D3" s="7" t="s">
        <v>11</v>
      </c>
      <c r="E3" s="7" t="s">
        <v>12</v>
      </c>
      <c r="F3" s="8" t="str">
        <f t="shared" si="1"/>
        <v>Almox Carpintaria</v>
      </c>
      <c r="G3" s="8" t="str">
        <f>IFERROR(__xludf.DUMMYFUNCTION("""COMPUTED_VALUE"""),"ALEX")</f>
        <v>ALEX</v>
      </c>
      <c r="H3" s="8"/>
      <c r="I3" s="9"/>
      <c r="K3" s="10" t="str">
        <f>IFERROR(__xludf.DUMMYFUNCTION("UNIQUE(D2:D43)"),"PAULO")</f>
        <v>PAULO</v>
      </c>
      <c r="L3" s="10">
        <f t="shared" ref="L3:L8" si="2">COUNTIF(D:D,K3)</f>
        <v>2</v>
      </c>
    </row>
    <row r="4">
      <c r="A4" s="4">
        <v>22.0</v>
      </c>
      <c r="B4" s="5" t="s">
        <v>14</v>
      </c>
      <c r="C4" s="7" t="s">
        <v>15</v>
      </c>
      <c r="D4" s="7" t="s">
        <v>16</v>
      </c>
      <c r="E4" s="7" t="s">
        <v>12</v>
      </c>
      <c r="F4" s="8" t="str">
        <f t="shared" si="1"/>
        <v>Almox Corte e Estamparia</v>
      </c>
      <c r="G4" s="8" t="str">
        <f>IFERROR(__xludf.DUMMYFUNCTION("""COMPUTED_VALUE"""),"MAYLSON")</f>
        <v>MAYLSON</v>
      </c>
      <c r="H4" s="8"/>
      <c r="I4" s="9"/>
      <c r="K4" s="10" t="str">
        <f>IFERROR(__xludf.DUMMYFUNCTION("""COMPUTED_VALUE"""),"ALEX")</f>
        <v>ALEX</v>
      </c>
      <c r="L4" s="10">
        <f t="shared" si="2"/>
        <v>2</v>
      </c>
    </row>
    <row r="5">
      <c r="A5" s="4">
        <v>23.0</v>
      </c>
      <c r="B5" s="5" t="s">
        <v>17</v>
      </c>
      <c r="C5" s="7" t="s">
        <v>15</v>
      </c>
      <c r="D5" s="7" t="s">
        <v>16</v>
      </c>
      <c r="E5" s="7" t="s">
        <v>12</v>
      </c>
      <c r="F5" s="8" t="str">
        <f t="shared" si="1"/>
        <v>Almox Corte e Estamparia</v>
      </c>
      <c r="G5" s="8" t="str">
        <f>IFERROR(__xludf.DUMMYFUNCTION("""COMPUTED_VALUE"""),"SEVERIANO")</f>
        <v>SEVERIANO</v>
      </c>
      <c r="H5" s="8"/>
      <c r="I5" s="9"/>
      <c r="K5" s="10" t="str">
        <f>IFERROR(__xludf.DUMMYFUNCTION("""COMPUTED_VALUE"""),"MAYLSON")</f>
        <v>MAYLSON</v>
      </c>
      <c r="L5" s="10">
        <f t="shared" si="2"/>
        <v>8</v>
      </c>
    </row>
    <row r="6">
      <c r="A6" s="4">
        <v>24.0</v>
      </c>
      <c r="B6" s="5" t="s">
        <v>18</v>
      </c>
      <c r="C6" s="7" t="s">
        <v>19</v>
      </c>
      <c r="D6" s="7" t="s">
        <v>20</v>
      </c>
      <c r="E6" s="7" t="s">
        <v>12</v>
      </c>
      <c r="F6" s="8" t="str">
        <f t="shared" si="1"/>
        <v>Almox Cx Acessórios</v>
      </c>
      <c r="G6" s="8" t="str">
        <f>IFERROR(__xludf.DUMMYFUNCTION("""COMPUTED_VALUE"""),"ÉRICA")</f>
        <v>ÉRICA</v>
      </c>
      <c r="H6" s="8"/>
      <c r="I6" s="8"/>
      <c r="K6" s="10" t="str">
        <f>IFERROR(__xludf.DUMMYFUNCTION("""COMPUTED_VALUE"""),"SEVERIANO")</f>
        <v>SEVERIANO</v>
      </c>
      <c r="L6" s="10">
        <f t="shared" si="2"/>
        <v>3</v>
      </c>
    </row>
    <row r="7">
      <c r="A7" s="4">
        <v>25.0</v>
      </c>
      <c r="B7" s="5" t="s">
        <v>21</v>
      </c>
      <c r="C7" s="7" t="s">
        <v>19</v>
      </c>
      <c r="D7" s="7" t="s">
        <v>20</v>
      </c>
      <c r="E7" s="7" t="s">
        <v>12</v>
      </c>
      <c r="F7" s="8" t="str">
        <f t="shared" si="1"/>
        <v>Almox Cx Acessórios</v>
      </c>
      <c r="G7" s="8" t="str">
        <f>IFERROR(__xludf.DUMMYFUNCTION("""COMPUTED_VALUE"""),"BRILHANTE")</f>
        <v>BRILHANTE</v>
      </c>
      <c r="H7" s="8"/>
      <c r="I7" s="8"/>
      <c r="K7" s="10" t="str">
        <f>IFERROR(__xludf.DUMMYFUNCTION("""COMPUTED_VALUE"""),"ÉRICA")</f>
        <v>ÉRICA</v>
      </c>
      <c r="L7" s="10">
        <f t="shared" si="2"/>
        <v>1</v>
      </c>
    </row>
    <row r="8">
      <c r="A8" s="4">
        <v>26.0</v>
      </c>
      <c r="B8" s="5" t="s">
        <v>22</v>
      </c>
      <c r="C8" s="7" t="s">
        <v>23</v>
      </c>
      <c r="D8" s="7" t="s">
        <v>24</v>
      </c>
      <c r="E8" s="7" t="s">
        <v>12</v>
      </c>
      <c r="F8" s="8" t="str">
        <f t="shared" si="1"/>
        <v>Almox Devol Vendas</v>
      </c>
      <c r="G8" s="8" t="str">
        <f>IFERROR(__xludf.DUMMYFUNCTION("""COMPUTED_VALUE"""),"LAURA")</f>
        <v>LAURA</v>
      </c>
      <c r="H8" s="8"/>
      <c r="I8" s="8"/>
      <c r="K8" s="10" t="str">
        <f>IFERROR(__xludf.DUMMYFUNCTION("""COMPUTED_VALUE"""),"BRILHANTE")</f>
        <v>BRILHANTE</v>
      </c>
      <c r="L8" s="10">
        <f t="shared" si="2"/>
        <v>2</v>
      </c>
    </row>
    <row r="9">
      <c r="A9" s="4">
        <v>27.0</v>
      </c>
      <c r="B9" s="5" t="s">
        <v>25</v>
      </c>
      <c r="C9" s="7" t="s">
        <v>26</v>
      </c>
      <c r="D9" s="7" t="s">
        <v>27</v>
      </c>
      <c r="E9" s="7" t="s">
        <v>12</v>
      </c>
      <c r="F9" s="8" t="str">
        <f t="shared" si="1"/>
        <v>Almox Expedição</v>
      </c>
      <c r="G9" s="8" t="str">
        <f>IFERROR(__xludf.DUMMYFUNCTION("""COMPUTED_VALUE"""),"ERIC")</f>
        <v>ERIC</v>
      </c>
      <c r="H9" s="8"/>
      <c r="I9" s="9"/>
      <c r="K9" s="10" t="str">
        <f>IFERROR(__xludf.DUMMYFUNCTION("""COMPUTED_VALUE"""),"LAURA")</f>
        <v>LAURA</v>
      </c>
    </row>
    <row r="10">
      <c r="A10" s="4">
        <v>28.0</v>
      </c>
      <c r="B10" s="5" t="s">
        <v>28</v>
      </c>
      <c r="C10" s="7" t="s">
        <v>29</v>
      </c>
      <c r="D10" s="7" t="s">
        <v>30</v>
      </c>
      <c r="E10" s="7" t="s">
        <v>12</v>
      </c>
      <c r="F10" s="8" t="str">
        <f t="shared" si="1"/>
        <v>Almox Forjaria</v>
      </c>
      <c r="G10" s="8" t="str">
        <f>IFERROR(__xludf.DUMMYFUNCTION("""COMPUTED_VALUE"""),"ARONILDO")</f>
        <v>ARONILDO</v>
      </c>
      <c r="H10" s="8"/>
      <c r="I10" s="9"/>
      <c r="K10" s="10" t="str">
        <f>IFERROR(__xludf.DUMMYFUNCTION("""COMPUTED_VALUE"""),"ERIC")</f>
        <v>ERIC</v>
      </c>
    </row>
    <row r="11">
      <c r="A11" s="4">
        <v>29.0</v>
      </c>
      <c r="B11" s="5" t="s">
        <v>31</v>
      </c>
      <c r="C11" s="7" t="s">
        <v>29</v>
      </c>
      <c r="D11" s="7" t="s">
        <v>30</v>
      </c>
      <c r="E11" s="7" t="s">
        <v>12</v>
      </c>
      <c r="F11" s="8" t="str">
        <f t="shared" si="1"/>
        <v>Almox Forjaria</v>
      </c>
      <c r="G11" s="8" t="str">
        <f>IFERROR(__xludf.DUMMYFUNCTION("""COMPUTED_VALUE"""),"GALVÃO")</f>
        <v>GALVÃO</v>
      </c>
      <c r="H11" s="8"/>
      <c r="I11" s="8"/>
      <c r="K11" s="10" t="str">
        <f>IFERROR(__xludf.DUMMYFUNCTION("""COMPUTED_VALUE"""),"ARONILDO")</f>
        <v>ARONILDO</v>
      </c>
    </row>
    <row r="12">
      <c r="A12" s="4">
        <v>30.0</v>
      </c>
      <c r="B12" s="5" t="s">
        <v>32</v>
      </c>
      <c r="C12" s="7" t="s">
        <v>33</v>
      </c>
      <c r="D12" s="7" t="s">
        <v>34</v>
      </c>
      <c r="E12" s="7" t="s">
        <v>12</v>
      </c>
      <c r="F12" s="8" t="str">
        <f t="shared" si="1"/>
        <v>Almox Marketing</v>
      </c>
      <c r="G12" s="9" t="str">
        <f>IFERROR(__xludf.DUMMYFUNCTION("""COMPUTED_VALUE"""),"EVANGELISTA")</f>
        <v>EVANGELISTA</v>
      </c>
      <c r="H12" s="8"/>
      <c r="I12" s="9"/>
      <c r="K12" s="10" t="str">
        <f>IFERROR(__xludf.DUMMYFUNCTION("""COMPUTED_VALUE"""),"GALVÃO")</f>
        <v>GALVÃO</v>
      </c>
    </row>
    <row r="13">
      <c r="A13" s="4">
        <v>31.0</v>
      </c>
      <c r="B13" s="5" t="s">
        <v>35</v>
      </c>
      <c r="C13" s="7" t="s">
        <v>36</v>
      </c>
      <c r="D13" s="7" t="s">
        <v>37</v>
      </c>
      <c r="E13" s="7" t="s">
        <v>12</v>
      </c>
      <c r="F13" s="8" t="str">
        <f t="shared" si="1"/>
        <v>Almox Mat Fora de Uso</v>
      </c>
      <c r="G13" s="8" t="str">
        <f>IFERROR(__xludf.DUMMYFUNCTION("""COMPUTED_VALUE"""),"FREIRES")</f>
        <v>FREIRES</v>
      </c>
      <c r="H13" s="8"/>
      <c r="I13" s="9"/>
      <c r="K13" s="10" t="str">
        <f>IFERROR(__xludf.DUMMYFUNCTION("""COMPUTED_VALUE"""),"EVANGELISTA")</f>
        <v>EVANGELISTA</v>
      </c>
    </row>
    <row r="14">
      <c r="A14" s="4">
        <v>32.0</v>
      </c>
      <c r="B14" s="11" t="s">
        <v>38</v>
      </c>
      <c r="C14" s="7" t="s">
        <v>39</v>
      </c>
      <c r="D14" s="7" t="s">
        <v>40</v>
      </c>
      <c r="E14" s="7" t="s">
        <v>41</v>
      </c>
      <c r="F14" s="8" t="s">
        <v>42</v>
      </c>
      <c r="G14" s="9" t="str">
        <f>IFERROR(__xludf.DUMMYFUNCTION("""COMPUTED_VALUE"""),"ERICA")</f>
        <v>ERICA</v>
      </c>
      <c r="H14" s="8"/>
      <c r="I14" s="8"/>
      <c r="K14" s="10" t="str">
        <f>IFERROR(__xludf.DUMMYFUNCTION("""COMPUTED_VALUE"""),"FREIRES")</f>
        <v>FREIRES</v>
      </c>
    </row>
    <row r="15">
      <c r="A15" s="4">
        <v>33.0</v>
      </c>
      <c r="B15" s="5" t="s">
        <v>43</v>
      </c>
      <c r="C15" s="7" t="s">
        <v>44</v>
      </c>
      <c r="D15" s="7" t="s">
        <v>45</v>
      </c>
      <c r="E15" s="7" t="s">
        <v>12</v>
      </c>
      <c r="F15" s="8" t="str">
        <f>LEFT(B15,SEARCH(" - ",B15)-1)</f>
        <v>Almox Mont Carretas</v>
      </c>
      <c r="G15" s="9" t="str">
        <f>IFERROR(__xludf.DUMMYFUNCTION("""COMPUTED_VALUE"""),"ROBERTO")</f>
        <v>ROBERTO</v>
      </c>
      <c r="H15" s="8"/>
      <c r="I15" s="8"/>
      <c r="K15" s="10" t="str">
        <f>IFERROR(__xludf.DUMMYFUNCTION("""COMPUTED_VALUE"""),"ERICA")</f>
        <v>ERICA</v>
      </c>
    </row>
    <row r="16">
      <c r="A16" s="4">
        <v>34.0</v>
      </c>
      <c r="B16" s="11" t="s">
        <v>46</v>
      </c>
      <c r="C16" s="7" t="s">
        <v>39</v>
      </c>
      <c r="D16" s="7" t="s">
        <v>47</v>
      </c>
      <c r="E16" s="7" t="s">
        <v>41</v>
      </c>
      <c r="F16" s="8" t="s">
        <v>42</v>
      </c>
      <c r="G16" s="8" t="str">
        <f>IFERROR(__xludf.DUMMYFUNCTION("""COMPUTED_VALUE"""),"SAMUEL")</f>
        <v>SAMUEL</v>
      </c>
      <c r="H16" s="8"/>
      <c r="I16" s="9"/>
      <c r="K16" s="10" t="str">
        <f>IFERROR(__xludf.DUMMYFUNCTION("""COMPUTED_VALUE"""),"ROBERTO")</f>
        <v>ROBERTO</v>
      </c>
    </row>
    <row r="17">
      <c r="A17" s="4">
        <v>35.0</v>
      </c>
      <c r="B17" s="11" t="s">
        <v>48</v>
      </c>
      <c r="C17" s="7" t="s">
        <v>39</v>
      </c>
      <c r="D17" s="7" t="s">
        <v>49</v>
      </c>
      <c r="E17" s="7" t="s">
        <v>41</v>
      </c>
      <c r="F17" s="8" t="s">
        <v>42</v>
      </c>
      <c r="G17" s="9" t="str">
        <f>IFERROR(__xludf.DUMMYFUNCTION("""COMPUTED_VALUE"""),"RAFAEL")</f>
        <v>RAFAEL</v>
      </c>
      <c r="H17" s="8"/>
      <c r="I17" s="9"/>
      <c r="K17" s="10" t="str">
        <f>IFERROR(__xludf.DUMMYFUNCTION("""COMPUTED_VALUE"""),"SAMUEL")</f>
        <v>SAMUEL</v>
      </c>
    </row>
    <row r="18">
      <c r="A18" s="4">
        <v>36.0</v>
      </c>
      <c r="B18" s="11" t="s">
        <v>50</v>
      </c>
      <c r="C18" s="7" t="s">
        <v>39</v>
      </c>
      <c r="D18" s="7" t="s">
        <v>40</v>
      </c>
      <c r="E18" s="7" t="s">
        <v>41</v>
      </c>
      <c r="F18" s="8" t="s">
        <v>42</v>
      </c>
      <c r="G18" s="9" t="str">
        <f>IFERROR(__xludf.DUMMYFUNCTION("""COMPUTED_VALUE"""),"PCP")</f>
        <v>PCP</v>
      </c>
      <c r="H18" s="8"/>
      <c r="I18" s="8"/>
      <c r="K18" s="10" t="str">
        <f>IFERROR(__xludf.DUMMYFUNCTION("""COMPUTED_VALUE"""),"RAFAEL")</f>
        <v>RAFAEL</v>
      </c>
    </row>
    <row r="19">
      <c r="A19" s="4">
        <v>37.0</v>
      </c>
      <c r="B19" s="5" t="s">
        <v>51</v>
      </c>
      <c r="C19" s="7" t="s">
        <v>39</v>
      </c>
      <c r="D19" s="7" t="s">
        <v>52</v>
      </c>
      <c r="E19" s="7" t="s">
        <v>41</v>
      </c>
      <c r="F19" s="8" t="s">
        <v>42</v>
      </c>
      <c r="G19" s="8" t="str">
        <f>IFERROR(__xludf.DUMMYFUNCTION("""COMPUTED_VALUE"""),"GUSTAVO")</f>
        <v>GUSTAVO</v>
      </c>
      <c r="H19" s="8"/>
      <c r="I19" s="9"/>
      <c r="K19" s="10" t="str">
        <f>IFERROR(__xludf.DUMMYFUNCTION("""COMPUTED_VALUE"""),"PCP")</f>
        <v>PCP</v>
      </c>
    </row>
    <row r="20">
      <c r="A20" s="4">
        <v>38.0</v>
      </c>
      <c r="B20" s="11" t="s">
        <v>53</v>
      </c>
      <c r="C20" s="7" t="s">
        <v>39</v>
      </c>
      <c r="D20" s="7" t="s">
        <v>54</v>
      </c>
      <c r="E20" s="7" t="s">
        <v>41</v>
      </c>
      <c r="F20" s="8" t="s">
        <v>42</v>
      </c>
      <c r="G20" s="8" t="str">
        <f>IFERROR(__xludf.DUMMYFUNCTION("""COMPUTED_VALUE"""),"MARCOS V")</f>
        <v>MARCOS V</v>
      </c>
      <c r="H20" s="8"/>
      <c r="I20" s="8"/>
      <c r="K20" s="10" t="str">
        <f>IFERROR(__xludf.DUMMYFUNCTION("""COMPUTED_VALUE"""),"GUSTAVO")</f>
        <v>GUSTAVO</v>
      </c>
    </row>
    <row r="21">
      <c r="A21" s="4">
        <v>39.0</v>
      </c>
      <c r="B21" s="11" t="s">
        <v>55</v>
      </c>
      <c r="C21" s="7" t="s">
        <v>39</v>
      </c>
      <c r="D21" s="7" t="s">
        <v>54</v>
      </c>
      <c r="E21" s="7" t="s">
        <v>41</v>
      </c>
      <c r="F21" s="8" t="s">
        <v>42</v>
      </c>
      <c r="G21" s="8" t="str">
        <f>IFERROR(__xludf.DUMMYFUNCTION("""COMPUTED_VALUE"""),"BEATRIZ")</f>
        <v>BEATRIZ</v>
      </c>
      <c r="H21" s="8"/>
      <c r="I21" s="8"/>
      <c r="K21" s="10" t="str">
        <f>IFERROR(__xludf.DUMMYFUNCTION("""COMPUTED_VALUE"""),"MARCOS V")</f>
        <v>MARCOS V</v>
      </c>
    </row>
    <row r="22">
      <c r="A22" s="4">
        <v>40.0</v>
      </c>
      <c r="B22" s="11" t="s">
        <v>56</v>
      </c>
      <c r="C22" s="7" t="s">
        <v>39</v>
      </c>
      <c r="D22" s="7" t="s">
        <v>57</v>
      </c>
      <c r="E22" s="7" t="s">
        <v>41</v>
      </c>
      <c r="F22" s="8" t="s">
        <v>42</v>
      </c>
      <c r="G22" s="9"/>
      <c r="H22" s="8"/>
      <c r="I22" s="9"/>
    </row>
    <row r="23">
      <c r="A23" s="4">
        <v>41.0</v>
      </c>
      <c r="B23" s="5" t="s">
        <v>58</v>
      </c>
      <c r="C23" s="7" t="s">
        <v>39</v>
      </c>
      <c r="D23" s="7" t="s">
        <v>52</v>
      </c>
      <c r="E23" s="7" t="s">
        <v>41</v>
      </c>
      <c r="F23" s="8" t="s">
        <v>42</v>
      </c>
      <c r="G23" s="9"/>
      <c r="H23" s="8"/>
      <c r="I23" s="8"/>
    </row>
    <row r="24">
      <c r="A24" s="4">
        <v>42.0</v>
      </c>
      <c r="B24" s="11" t="s">
        <v>59</v>
      </c>
      <c r="C24" s="7" t="s">
        <v>39</v>
      </c>
      <c r="D24" s="7" t="s">
        <v>60</v>
      </c>
      <c r="E24" s="7" t="s">
        <v>41</v>
      </c>
      <c r="F24" s="8" t="s">
        <v>42</v>
      </c>
      <c r="G24" s="9"/>
      <c r="H24" s="8"/>
      <c r="I24" s="8"/>
    </row>
    <row r="25">
      <c r="A25" s="4">
        <v>43.0</v>
      </c>
      <c r="B25" s="5" t="s">
        <v>61</v>
      </c>
      <c r="C25" s="7" t="s">
        <v>39</v>
      </c>
      <c r="D25" s="7" t="s">
        <v>62</v>
      </c>
      <c r="E25" s="7" t="s">
        <v>41</v>
      </c>
      <c r="F25" s="8" t="s">
        <v>42</v>
      </c>
      <c r="G25" s="9"/>
      <c r="H25" s="8"/>
      <c r="I25" s="8"/>
    </row>
    <row r="26">
      <c r="A26" s="4">
        <v>44.0</v>
      </c>
      <c r="B26" s="11" t="s">
        <v>63</v>
      </c>
      <c r="C26" s="7" t="s">
        <v>39</v>
      </c>
      <c r="D26" s="7" t="s">
        <v>40</v>
      </c>
      <c r="E26" s="7" t="s">
        <v>41</v>
      </c>
      <c r="F26" s="8" t="s">
        <v>42</v>
      </c>
      <c r="G26" s="9"/>
      <c r="H26" s="8"/>
      <c r="I26" s="8"/>
    </row>
    <row r="27">
      <c r="A27" s="4">
        <v>45.0</v>
      </c>
      <c r="B27" s="5" t="s">
        <v>64</v>
      </c>
      <c r="C27" s="7" t="s">
        <v>39</v>
      </c>
      <c r="D27" s="7" t="s">
        <v>62</v>
      </c>
      <c r="E27" s="7" t="s">
        <v>41</v>
      </c>
      <c r="F27" s="8" t="str">
        <f t="shared" ref="F27:F44" si="3">LEFT(B27,SEARCH(" - ",B27)-1)</f>
        <v>Almox Mont Carretas</v>
      </c>
      <c r="G27" s="9"/>
      <c r="H27" s="8"/>
      <c r="I27" s="9"/>
    </row>
    <row r="28">
      <c r="A28" s="4">
        <v>46.0</v>
      </c>
      <c r="B28" s="5" t="s">
        <v>65</v>
      </c>
      <c r="C28" s="7" t="s">
        <v>66</v>
      </c>
      <c r="D28" s="7" t="s">
        <v>67</v>
      </c>
      <c r="E28" s="7" t="s">
        <v>12</v>
      </c>
      <c r="F28" s="8" t="str">
        <f t="shared" si="3"/>
        <v>Almox Mont Robusta</v>
      </c>
      <c r="G28" s="9"/>
      <c r="H28" s="9"/>
      <c r="I28" s="9"/>
    </row>
    <row r="29">
      <c r="A29" s="4">
        <v>47.0</v>
      </c>
      <c r="B29" s="5" t="s">
        <v>68</v>
      </c>
      <c r="C29" s="7" t="s">
        <v>66</v>
      </c>
      <c r="D29" s="7" t="s">
        <v>67</v>
      </c>
      <c r="E29" s="7" t="s">
        <v>12</v>
      </c>
      <c r="F29" s="8" t="str">
        <f t="shared" si="3"/>
        <v>Almox Mont Robusta</v>
      </c>
      <c r="G29" s="9"/>
      <c r="H29" s="9"/>
      <c r="I29" s="9"/>
    </row>
    <row r="30">
      <c r="A30" s="4">
        <v>48.0</v>
      </c>
      <c r="B30" s="5" t="s">
        <v>69</v>
      </c>
      <c r="C30" s="7" t="s">
        <v>39</v>
      </c>
      <c r="D30" s="7" t="s">
        <v>67</v>
      </c>
      <c r="E30" s="7" t="s">
        <v>12</v>
      </c>
      <c r="F30" s="8" t="str">
        <f t="shared" si="3"/>
        <v>Almox Mont Rotativas</v>
      </c>
      <c r="G30" s="9"/>
      <c r="H30" s="8"/>
      <c r="I30" s="8"/>
    </row>
    <row r="31">
      <c r="A31" s="4">
        <v>49.0</v>
      </c>
      <c r="B31" s="5" t="s">
        <v>70</v>
      </c>
      <c r="C31" s="7" t="s">
        <v>39</v>
      </c>
      <c r="D31" s="7" t="s">
        <v>67</v>
      </c>
      <c r="E31" s="7" t="s">
        <v>12</v>
      </c>
      <c r="F31" s="8" t="str">
        <f t="shared" si="3"/>
        <v>Almox Mont Rotativas</v>
      </c>
      <c r="G31" s="9"/>
      <c r="H31" s="8"/>
      <c r="I31" s="8"/>
    </row>
    <row r="32">
      <c r="A32" s="12">
        <v>50.0</v>
      </c>
      <c r="B32" s="13" t="s">
        <v>71</v>
      </c>
      <c r="C32" s="14" t="s">
        <v>39</v>
      </c>
      <c r="D32" s="7" t="s">
        <v>67</v>
      </c>
      <c r="E32" s="7" t="s">
        <v>12</v>
      </c>
      <c r="F32" s="8" t="str">
        <f t="shared" si="3"/>
        <v>Almox Mont Tanques</v>
      </c>
      <c r="G32" s="15"/>
      <c r="H32" s="15"/>
      <c r="I32" s="15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</row>
    <row r="33">
      <c r="A33" s="4">
        <v>53.0</v>
      </c>
      <c r="B33" s="5" t="s">
        <v>72</v>
      </c>
      <c r="C33" s="7" t="s">
        <v>73</v>
      </c>
      <c r="D33" s="7" t="s">
        <v>74</v>
      </c>
      <c r="E33" s="7" t="s">
        <v>12</v>
      </c>
      <c r="F33" s="8" t="str">
        <f t="shared" si="3"/>
        <v>Almox Pintura</v>
      </c>
      <c r="G33" s="9"/>
      <c r="H33" s="8"/>
      <c r="I33" s="8"/>
    </row>
    <row r="34">
      <c r="A34" s="4">
        <v>54.0</v>
      </c>
      <c r="B34" s="5" t="s">
        <v>75</v>
      </c>
      <c r="C34" s="7" t="s">
        <v>73</v>
      </c>
      <c r="D34" s="7" t="s">
        <v>74</v>
      </c>
      <c r="E34" s="7" t="s">
        <v>12</v>
      </c>
      <c r="F34" s="8" t="str">
        <f t="shared" si="3"/>
        <v>Almox Pintura</v>
      </c>
      <c r="G34" s="8"/>
      <c r="H34" s="8"/>
      <c r="I34" s="9"/>
    </row>
    <row r="35">
      <c r="A35" s="4">
        <v>55.0</v>
      </c>
      <c r="B35" s="5" t="s">
        <v>76</v>
      </c>
      <c r="C35" s="7" t="s">
        <v>73</v>
      </c>
      <c r="D35" s="7" t="s">
        <v>74</v>
      </c>
      <c r="E35" s="7" t="s">
        <v>12</v>
      </c>
      <c r="F35" s="8" t="str">
        <f t="shared" si="3"/>
        <v>Almox Pintura</v>
      </c>
      <c r="G35" s="8"/>
      <c r="H35" s="8"/>
      <c r="I35" s="17"/>
    </row>
    <row r="36">
      <c r="A36" s="4">
        <v>56.0</v>
      </c>
      <c r="B36" s="5" t="s">
        <v>77</v>
      </c>
      <c r="C36" s="7" t="s">
        <v>66</v>
      </c>
      <c r="D36" s="7" t="s">
        <v>67</v>
      </c>
      <c r="E36" s="7" t="s">
        <v>12</v>
      </c>
      <c r="F36" s="8" t="str">
        <f t="shared" si="3"/>
        <v>Almox Prod Especiais</v>
      </c>
      <c r="G36" s="9"/>
      <c r="H36" s="8"/>
      <c r="I36" s="9"/>
    </row>
    <row r="37">
      <c r="A37" s="4">
        <v>57.0</v>
      </c>
      <c r="B37" s="5" t="s">
        <v>78</v>
      </c>
      <c r="C37" s="7" t="s">
        <v>66</v>
      </c>
      <c r="D37" s="7" t="s">
        <v>67</v>
      </c>
      <c r="E37" s="7" t="s">
        <v>12</v>
      </c>
      <c r="F37" s="8" t="str">
        <f t="shared" si="3"/>
        <v>Almox Prod Especiais</v>
      </c>
      <c r="G37" s="9"/>
      <c r="H37" s="9"/>
      <c r="I37" s="9"/>
    </row>
    <row r="38">
      <c r="A38" s="4">
        <v>58.0</v>
      </c>
      <c r="B38" s="5" t="s">
        <v>79</v>
      </c>
      <c r="C38" s="7" t="s">
        <v>66</v>
      </c>
      <c r="D38" s="7" t="s">
        <v>67</v>
      </c>
      <c r="E38" s="7" t="s">
        <v>12</v>
      </c>
      <c r="F38" s="8" t="str">
        <f t="shared" si="3"/>
        <v>Almox Protótipos</v>
      </c>
      <c r="G38" s="9"/>
      <c r="H38" s="9"/>
      <c r="I38" s="9"/>
    </row>
    <row r="39">
      <c r="A39" s="4">
        <v>59.0</v>
      </c>
      <c r="B39" s="5" t="s">
        <v>80</v>
      </c>
      <c r="C39" s="7" t="s">
        <v>66</v>
      </c>
      <c r="D39" s="7" t="s">
        <v>24</v>
      </c>
      <c r="E39" s="7" t="s">
        <v>12</v>
      </c>
      <c r="F39" s="8" t="str">
        <f t="shared" si="3"/>
        <v>Almox Qualidade</v>
      </c>
      <c r="G39" s="9"/>
      <c r="H39" s="8"/>
      <c r="I39" s="9"/>
    </row>
    <row r="40">
      <c r="A40" s="4">
        <v>60.0</v>
      </c>
      <c r="B40" s="5" t="s">
        <v>81</v>
      </c>
      <c r="C40" s="7" t="s">
        <v>23</v>
      </c>
      <c r="D40" s="7" t="s">
        <v>24</v>
      </c>
      <c r="E40" s="7" t="s">
        <v>12</v>
      </c>
      <c r="F40" s="8" t="str">
        <f t="shared" si="3"/>
        <v>Almox Qualidade</v>
      </c>
      <c r="G40" s="8"/>
      <c r="H40" s="8"/>
      <c r="I40" s="9"/>
    </row>
    <row r="41">
      <c r="A41" s="4">
        <v>61.0</v>
      </c>
      <c r="B41" s="5" t="s">
        <v>82</v>
      </c>
      <c r="C41" s="7" t="s">
        <v>83</v>
      </c>
      <c r="D41" s="7" t="s">
        <v>57</v>
      </c>
      <c r="E41" s="7" t="s">
        <v>12</v>
      </c>
      <c r="F41" s="8" t="str">
        <f t="shared" si="3"/>
        <v>Almox Serra</v>
      </c>
      <c r="G41" s="8"/>
      <c r="H41" s="8"/>
      <c r="I41" s="9"/>
    </row>
    <row r="42">
      <c r="A42" s="4">
        <v>62.0</v>
      </c>
      <c r="B42" s="5" t="s">
        <v>84</v>
      </c>
      <c r="C42" s="7" t="s">
        <v>85</v>
      </c>
      <c r="D42" s="7" t="s">
        <v>57</v>
      </c>
      <c r="E42" s="7" t="s">
        <v>12</v>
      </c>
      <c r="F42" s="8" t="str">
        <f t="shared" si="3"/>
        <v>Almox Usinagem</v>
      </c>
      <c r="G42" s="8"/>
      <c r="H42" s="8"/>
      <c r="I42" s="9"/>
    </row>
    <row r="43">
      <c r="A43" s="4">
        <v>63.0</v>
      </c>
      <c r="B43" s="5" t="s">
        <v>86</v>
      </c>
      <c r="C43" s="7" t="s">
        <v>85</v>
      </c>
      <c r="D43" s="7" t="s">
        <v>57</v>
      </c>
      <c r="E43" s="7" t="s">
        <v>12</v>
      </c>
      <c r="F43" s="8" t="str">
        <f t="shared" si="3"/>
        <v>Almox Usinagem</v>
      </c>
      <c r="G43" s="8"/>
      <c r="H43" s="8"/>
      <c r="I43" s="9"/>
    </row>
    <row r="44">
      <c r="A44" s="4">
        <v>64.0</v>
      </c>
      <c r="B44" s="5" t="s">
        <v>87</v>
      </c>
      <c r="C44" s="7" t="s">
        <v>88</v>
      </c>
      <c r="D44" s="7" t="s">
        <v>89</v>
      </c>
      <c r="E44" s="7" t="s">
        <v>12</v>
      </c>
      <c r="F44" s="8" t="str">
        <f t="shared" si="3"/>
        <v>Almox Manutenção</v>
      </c>
      <c r="G44" s="8"/>
      <c r="H44" s="8"/>
      <c r="I44" s="9"/>
    </row>
    <row r="45">
      <c r="A45" s="5"/>
      <c r="B45" s="11" t="s">
        <v>90</v>
      </c>
      <c r="C45" s="18"/>
      <c r="D45" s="18" t="s">
        <v>91</v>
      </c>
      <c r="F45" s="19" t="s">
        <v>92</v>
      </c>
    </row>
    <row r="46">
      <c r="B46" s="19" t="s">
        <v>93</v>
      </c>
      <c r="C46" s="18"/>
      <c r="D46" s="18" t="s">
        <v>94</v>
      </c>
      <c r="F46" s="19" t="s">
        <v>92</v>
      </c>
    </row>
    <row r="47">
      <c r="B47" s="19" t="s">
        <v>95</v>
      </c>
      <c r="C47" s="18"/>
      <c r="D47" s="18" t="s">
        <v>91</v>
      </c>
      <c r="F47" s="19" t="s">
        <v>92</v>
      </c>
    </row>
    <row r="48">
      <c r="B48" s="19" t="s">
        <v>96</v>
      </c>
      <c r="C48" s="18"/>
      <c r="D48" s="18" t="s">
        <v>94</v>
      </c>
      <c r="F48" s="19" t="s">
        <v>92</v>
      </c>
    </row>
    <row r="49">
      <c r="B49" s="19" t="s">
        <v>97</v>
      </c>
      <c r="C49" s="18"/>
      <c r="D49" s="18" t="s">
        <v>98</v>
      </c>
      <c r="F49" s="19" t="s">
        <v>92</v>
      </c>
    </row>
    <row r="50">
      <c r="B50" s="19" t="s">
        <v>99</v>
      </c>
      <c r="C50" s="18"/>
      <c r="D50" s="18" t="s">
        <v>98</v>
      </c>
      <c r="F50" s="19" t="s">
        <v>92</v>
      </c>
    </row>
    <row r="51">
      <c r="B51" s="19" t="s">
        <v>100</v>
      </c>
      <c r="C51" s="18"/>
      <c r="D51" s="18" t="s">
        <v>94</v>
      </c>
      <c r="F51" s="19" t="s">
        <v>92</v>
      </c>
    </row>
    <row r="52">
      <c r="B52" s="19" t="s">
        <v>101</v>
      </c>
      <c r="C52" s="18"/>
      <c r="D52" s="18" t="s">
        <v>94</v>
      </c>
      <c r="F52" s="19" t="s">
        <v>92</v>
      </c>
    </row>
    <row r="53">
      <c r="B53" s="19" t="s">
        <v>102</v>
      </c>
      <c r="C53" s="18"/>
      <c r="D53" s="18" t="s">
        <v>98</v>
      </c>
      <c r="F53" s="19" t="s">
        <v>92</v>
      </c>
    </row>
    <row r="54">
      <c r="B54" s="19" t="s">
        <v>103</v>
      </c>
      <c r="C54" s="18"/>
      <c r="D54" s="18" t="s">
        <v>91</v>
      </c>
      <c r="F54" s="19" t="s">
        <v>92</v>
      </c>
    </row>
    <row r="55">
      <c r="B55" s="19" t="s">
        <v>104</v>
      </c>
      <c r="C55" s="18"/>
      <c r="D55" s="18" t="s">
        <v>98</v>
      </c>
      <c r="F55" s="19" t="s">
        <v>92</v>
      </c>
      <c r="K55" s="10" t="str">
        <f>IFERROR(__xludf.DUMMYFUNCTION("UNIQUE(D2:D44)"),"PAULO")</f>
        <v>PAULO</v>
      </c>
    </row>
    <row r="56">
      <c r="B56" s="19" t="s">
        <v>105</v>
      </c>
      <c r="C56" s="18"/>
      <c r="D56" s="18" t="s">
        <v>98</v>
      </c>
      <c r="F56" s="19" t="s">
        <v>92</v>
      </c>
      <c r="K56" s="10" t="str">
        <f>IFERROR(__xludf.DUMMYFUNCTION("""COMPUTED_VALUE"""),"ALEX")</f>
        <v>ALEX</v>
      </c>
    </row>
    <row r="57">
      <c r="B57" s="19" t="s">
        <v>106</v>
      </c>
      <c r="C57" s="18"/>
      <c r="D57" s="18" t="s">
        <v>91</v>
      </c>
      <c r="F57" s="19" t="s">
        <v>92</v>
      </c>
      <c r="K57" s="10" t="str">
        <f>IFERROR(__xludf.DUMMYFUNCTION("""COMPUTED_VALUE"""),"MAYLSON")</f>
        <v>MAYLSON</v>
      </c>
    </row>
    <row r="58">
      <c r="B58" s="19" t="s">
        <v>107</v>
      </c>
      <c r="C58" s="18"/>
      <c r="D58" s="18" t="s">
        <v>108</v>
      </c>
      <c r="F58" s="19" t="s">
        <v>92</v>
      </c>
      <c r="K58" s="10" t="str">
        <f>IFERROR(__xludf.DUMMYFUNCTION("""COMPUTED_VALUE"""),"SEVERIANO")</f>
        <v>SEVERIANO</v>
      </c>
    </row>
    <row r="59">
      <c r="B59" s="19" t="s">
        <v>109</v>
      </c>
      <c r="C59" s="18"/>
      <c r="D59" s="18" t="s">
        <v>98</v>
      </c>
      <c r="F59" s="19" t="s">
        <v>92</v>
      </c>
      <c r="K59" s="10" t="str">
        <f>IFERROR(__xludf.DUMMYFUNCTION("""COMPUTED_VALUE"""),"ÉRICA")</f>
        <v>ÉRICA</v>
      </c>
    </row>
    <row r="60">
      <c r="B60" s="19" t="s">
        <v>110</v>
      </c>
      <c r="C60" s="18"/>
      <c r="D60" s="18" t="s">
        <v>62</v>
      </c>
      <c r="F60" s="19" t="s">
        <v>92</v>
      </c>
      <c r="K60" s="10" t="str">
        <f>IFERROR(__xludf.DUMMYFUNCTION("""COMPUTED_VALUE"""),"BRILHANTE")</f>
        <v>BRILHANTE</v>
      </c>
    </row>
    <row r="61">
      <c r="B61" s="19" t="s">
        <v>111</v>
      </c>
      <c r="C61" s="18"/>
      <c r="D61" s="18" t="s">
        <v>62</v>
      </c>
      <c r="F61" s="19" t="s">
        <v>92</v>
      </c>
      <c r="K61" s="10" t="str">
        <f>IFERROR(__xludf.DUMMYFUNCTION("""COMPUTED_VALUE"""),"LAURA")</f>
        <v>LAURA</v>
      </c>
    </row>
    <row r="62">
      <c r="B62" s="19" t="s">
        <v>112</v>
      </c>
      <c r="C62" s="18"/>
      <c r="D62" s="18" t="s">
        <v>94</v>
      </c>
      <c r="F62" s="19" t="s">
        <v>92</v>
      </c>
      <c r="K62" s="10" t="str">
        <f>IFERROR(__xludf.DUMMYFUNCTION("""COMPUTED_VALUE"""),"ERIC")</f>
        <v>ERIC</v>
      </c>
    </row>
    <row r="63">
      <c r="B63" s="19" t="s">
        <v>113</v>
      </c>
      <c r="C63" s="18"/>
      <c r="D63" s="18" t="s">
        <v>114</v>
      </c>
      <c r="F63" s="19" t="s">
        <v>92</v>
      </c>
      <c r="K63" s="10" t="str">
        <f>IFERROR(__xludf.DUMMYFUNCTION("""COMPUTED_VALUE"""),"ARONILDO")</f>
        <v>ARONILDO</v>
      </c>
    </row>
    <row r="64">
      <c r="B64" s="19" t="s">
        <v>115</v>
      </c>
      <c r="C64" s="18"/>
      <c r="D64" s="18" t="s">
        <v>91</v>
      </c>
      <c r="F64" s="19" t="s">
        <v>92</v>
      </c>
      <c r="K64" s="10" t="str">
        <f>IFERROR(__xludf.DUMMYFUNCTION("""COMPUTED_VALUE"""),"GALVÃO")</f>
        <v>GALVÃO</v>
      </c>
    </row>
    <row r="65">
      <c r="C65" s="20"/>
      <c r="E65" s="20"/>
      <c r="K65" s="10" t="str">
        <f>IFERROR(__xludf.DUMMYFUNCTION("""COMPUTED_VALUE"""),"EVANGELISTA")</f>
        <v>EVANGELISTA</v>
      </c>
    </row>
    <row r="66">
      <c r="C66" s="20"/>
      <c r="E66" s="20"/>
      <c r="K66" s="10" t="str">
        <f>IFERROR(__xludf.DUMMYFUNCTION("""COMPUTED_VALUE"""),"FREIRES")</f>
        <v>FREIRES</v>
      </c>
    </row>
    <row r="67">
      <c r="C67" s="20"/>
      <c r="E67" s="20"/>
      <c r="K67" s="10" t="str">
        <f>IFERROR(__xludf.DUMMYFUNCTION("""COMPUTED_VALUE"""),"ERICA")</f>
        <v>ERICA</v>
      </c>
    </row>
    <row r="68">
      <c r="C68" s="20"/>
      <c r="E68" s="20"/>
      <c r="K68" s="10" t="str">
        <f>IFERROR(__xludf.DUMMYFUNCTION("""COMPUTED_VALUE"""),"ROBERTO")</f>
        <v>ROBERTO</v>
      </c>
    </row>
    <row r="69">
      <c r="C69" s="20"/>
      <c r="E69" s="20"/>
      <c r="K69" s="10" t="str">
        <f>IFERROR(__xludf.DUMMYFUNCTION("""COMPUTED_VALUE"""),"SAMUEL")</f>
        <v>SAMUEL</v>
      </c>
    </row>
    <row r="70">
      <c r="C70" s="20"/>
      <c r="E70" s="20"/>
      <c r="K70" s="10" t="str">
        <f>IFERROR(__xludf.DUMMYFUNCTION("""COMPUTED_VALUE"""),"RAFAEL")</f>
        <v>RAFAEL</v>
      </c>
    </row>
    <row r="71">
      <c r="C71" s="20"/>
      <c r="E71" s="20"/>
      <c r="K71" s="10" t="str">
        <f>IFERROR(__xludf.DUMMYFUNCTION("""COMPUTED_VALUE"""),"PCP")</f>
        <v>PCP</v>
      </c>
    </row>
    <row r="72">
      <c r="C72" s="20"/>
      <c r="E72" s="20"/>
      <c r="K72" s="10" t="str">
        <f>IFERROR(__xludf.DUMMYFUNCTION("""COMPUTED_VALUE"""),"GUSTAVO")</f>
        <v>GUSTAVO</v>
      </c>
    </row>
    <row r="73">
      <c r="C73" s="20"/>
      <c r="E73" s="20"/>
      <c r="K73" s="10" t="str">
        <f>IFERROR(__xludf.DUMMYFUNCTION("""COMPUTED_VALUE"""),"MARCOS V")</f>
        <v>MARCOS V</v>
      </c>
    </row>
    <row r="74">
      <c r="C74" s="20"/>
      <c r="E74" s="20"/>
      <c r="K74" s="10" t="str">
        <f>IFERROR(__xludf.DUMMYFUNCTION("""COMPUTED_VALUE"""),"BEATRIZ")</f>
        <v>BEATRIZ</v>
      </c>
    </row>
    <row r="75">
      <c r="C75" s="20"/>
      <c r="E75" s="20"/>
    </row>
    <row r="76">
      <c r="C76" s="20"/>
      <c r="E76" s="20"/>
    </row>
    <row r="77">
      <c r="C77" s="20"/>
      <c r="E77" s="20"/>
    </row>
    <row r="78">
      <c r="C78" s="20"/>
      <c r="E78" s="20"/>
    </row>
    <row r="79">
      <c r="C79" s="20"/>
      <c r="E79" s="20"/>
    </row>
    <row r="80">
      <c r="C80" s="20"/>
      <c r="E80" s="20"/>
    </row>
    <row r="81">
      <c r="C81" s="20"/>
      <c r="E81" s="20"/>
    </row>
    <row r="82">
      <c r="C82" s="20"/>
      <c r="E82" s="20"/>
    </row>
    <row r="83">
      <c r="C83" s="20"/>
      <c r="E83" s="20"/>
    </row>
    <row r="84">
      <c r="C84" s="20"/>
      <c r="E84" s="20"/>
    </row>
    <row r="85">
      <c r="C85" s="20"/>
      <c r="E85" s="20"/>
    </row>
    <row r="86">
      <c r="C86" s="20"/>
      <c r="E86" s="20"/>
    </row>
    <row r="87">
      <c r="C87" s="20"/>
      <c r="E87" s="20"/>
    </row>
    <row r="88">
      <c r="C88" s="20"/>
      <c r="E88" s="20"/>
    </row>
    <row r="89">
      <c r="C89" s="20"/>
      <c r="E89" s="20"/>
    </row>
    <row r="90">
      <c r="C90" s="20"/>
      <c r="E90" s="20"/>
    </row>
    <row r="91">
      <c r="C91" s="20"/>
      <c r="E91" s="20"/>
    </row>
    <row r="92">
      <c r="C92" s="20"/>
      <c r="E92" s="20"/>
    </row>
    <row r="93">
      <c r="C93" s="20"/>
      <c r="E93" s="20"/>
    </row>
    <row r="94">
      <c r="C94" s="20"/>
      <c r="E94" s="20"/>
    </row>
    <row r="95">
      <c r="C95" s="20"/>
      <c r="E95" s="20"/>
    </row>
    <row r="96">
      <c r="C96" s="20"/>
      <c r="E96" s="20"/>
    </row>
    <row r="97">
      <c r="C97" s="20"/>
      <c r="E97" s="20"/>
    </row>
    <row r="98">
      <c r="C98" s="20"/>
      <c r="E98" s="20"/>
    </row>
    <row r="99">
      <c r="C99" s="20"/>
      <c r="E99" s="20"/>
    </row>
    <row r="100">
      <c r="C100" s="20"/>
      <c r="E100" s="20"/>
    </row>
    <row r="101">
      <c r="C101" s="20"/>
      <c r="E101" s="20"/>
    </row>
    <row r="102">
      <c r="C102" s="20"/>
      <c r="E102" s="20"/>
    </row>
    <row r="103">
      <c r="C103" s="20"/>
      <c r="E103" s="20"/>
    </row>
    <row r="104">
      <c r="C104" s="20"/>
      <c r="E104" s="20"/>
    </row>
    <row r="105">
      <c r="C105" s="20"/>
      <c r="E105" s="20"/>
    </row>
    <row r="106">
      <c r="C106" s="20"/>
      <c r="E106" s="20"/>
    </row>
    <row r="107">
      <c r="C107" s="20"/>
      <c r="E107" s="20"/>
    </row>
    <row r="108">
      <c r="C108" s="20"/>
      <c r="E108" s="20"/>
    </row>
    <row r="109">
      <c r="C109" s="20"/>
      <c r="E109" s="20"/>
    </row>
    <row r="110">
      <c r="C110" s="20"/>
      <c r="E110" s="20"/>
    </row>
    <row r="111">
      <c r="C111" s="20"/>
      <c r="E111" s="20"/>
    </row>
    <row r="112">
      <c r="C112" s="20"/>
      <c r="E112" s="20"/>
    </row>
    <row r="113">
      <c r="C113" s="20"/>
      <c r="E113" s="20"/>
    </row>
    <row r="114">
      <c r="C114" s="20"/>
      <c r="E114" s="20"/>
    </row>
    <row r="115">
      <c r="C115" s="20"/>
      <c r="E115" s="20"/>
    </row>
    <row r="116">
      <c r="C116" s="20"/>
      <c r="E116" s="20"/>
    </row>
    <row r="117">
      <c r="C117" s="20"/>
      <c r="E117" s="20"/>
    </row>
    <row r="118">
      <c r="C118" s="20"/>
      <c r="E118" s="20"/>
    </row>
    <row r="119">
      <c r="C119" s="20"/>
      <c r="E119" s="20"/>
    </row>
    <row r="120">
      <c r="C120" s="20"/>
      <c r="E120" s="20"/>
    </row>
    <row r="121">
      <c r="C121" s="20"/>
      <c r="E121" s="20"/>
    </row>
    <row r="122">
      <c r="C122" s="20"/>
      <c r="E122" s="20"/>
    </row>
    <row r="123">
      <c r="C123" s="20"/>
      <c r="E123" s="20"/>
    </row>
    <row r="124">
      <c r="C124" s="20"/>
      <c r="E124" s="20"/>
    </row>
    <row r="125">
      <c r="C125" s="20"/>
      <c r="E125" s="20"/>
    </row>
    <row r="126">
      <c r="C126" s="20"/>
      <c r="E126" s="20"/>
    </row>
    <row r="127">
      <c r="C127" s="20"/>
      <c r="E127" s="20"/>
    </row>
    <row r="128">
      <c r="C128" s="20"/>
      <c r="E128" s="20"/>
    </row>
    <row r="129">
      <c r="C129" s="20"/>
      <c r="E129" s="20"/>
    </row>
    <row r="130">
      <c r="C130" s="20"/>
      <c r="E130" s="20"/>
    </row>
    <row r="131">
      <c r="C131" s="20"/>
      <c r="E131" s="20"/>
    </row>
    <row r="132">
      <c r="C132" s="20"/>
      <c r="E132" s="20"/>
    </row>
    <row r="133">
      <c r="C133" s="20"/>
      <c r="E133" s="20"/>
    </row>
    <row r="134">
      <c r="C134" s="20"/>
      <c r="E134" s="20"/>
    </row>
    <row r="135">
      <c r="C135" s="20"/>
      <c r="E135" s="20"/>
    </row>
    <row r="136">
      <c r="C136" s="20"/>
      <c r="E136" s="20"/>
    </row>
    <row r="137">
      <c r="C137" s="20"/>
      <c r="E137" s="20"/>
    </row>
    <row r="138">
      <c r="C138" s="20"/>
      <c r="E138" s="20"/>
    </row>
    <row r="139">
      <c r="C139" s="20"/>
      <c r="E139" s="20"/>
    </row>
    <row r="140">
      <c r="C140" s="20"/>
      <c r="E140" s="20"/>
    </row>
    <row r="141">
      <c r="C141" s="20"/>
      <c r="E141" s="20"/>
    </row>
    <row r="142">
      <c r="C142" s="20"/>
      <c r="E142" s="20"/>
    </row>
    <row r="143">
      <c r="C143" s="20"/>
      <c r="E143" s="20"/>
    </row>
    <row r="144">
      <c r="C144" s="20"/>
      <c r="E144" s="20"/>
    </row>
    <row r="145">
      <c r="C145" s="20"/>
      <c r="E145" s="20"/>
    </row>
    <row r="146">
      <c r="C146" s="20"/>
      <c r="E146" s="20"/>
    </row>
    <row r="147">
      <c r="C147" s="20"/>
      <c r="E147" s="20"/>
    </row>
    <row r="148">
      <c r="C148" s="20"/>
      <c r="E148" s="20"/>
    </row>
    <row r="149">
      <c r="C149" s="20"/>
      <c r="E149" s="20"/>
    </row>
    <row r="150">
      <c r="C150" s="20"/>
      <c r="E150" s="20"/>
    </row>
    <row r="151">
      <c r="C151" s="20"/>
      <c r="E151" s="20"/>
    </row>
    <row r="152">
      <c r="C152" s="20"/>
      <c r="E152" s="20"/>
    </row>
    <row r="153">
      <c r="C153" s="20"/>
      <c r="E153" s="20"/>
    </row>
    <row r="154">
      <c r="C154" s="20"/>
      <c r="E154" s="20"/>
    </row>
    <row r="155">
      <c r="C155" s="20"/>
      <c r="E155" s="20"/>
    </row>
    <row r="156">
      <c r="C156" s="20"/>
      <c r="E156" s="20"/>
    </row>
    <row r="157">
      <c r="C157" s="20"/>
      <c r="E157" s="20"/>
    </row>
    <row r="158">
      <c r="C158" s="20"/>
      <c r="E158" s="20"/>
    </row>
    <row r="159">
      <c r="C159" s="20"/>
      <c r="E159" s="20"/>
    </row>
    <row r="160">
      <c r="C160" s="20"/>
      <c r="E160" s="20"/>
    </row>
    <row r="161">
      <c r="C161" s="20"/>
      <c r="E161" s="20"/>
    </row>
    <row r="162">
      <c r="C162" s="20"/>
      <c r="E162" s="20"/>
    </row>
    <row r="163">
      <c r="C163" s="20"/>
      <c r="E163" s="20"/>
    </row>
    <row r="164">
      <c r="C164" s="20"/>
      <c r="E164" s="20"/>
    </row>
    <row r="165">
      <c r="C165" s="20"/>
      <c r="E165" s="20"/>
    </row>
    <row r="166">
      <c r="C166" s="20"/>
      <c r="E166" s="20"/>
    </row>
    <row r="167">
      <c r="C167" s="20"/>
      <c r="E167" s="20"/>
    </row>
    <row r="168">
      <c r="C168" s="20"/>
      <c r="E168" s="20"/>
    </row>
    <row r="169">
      <c r="C169" s="20"/>
      <c r="E169" s="20"/>
    </row>
    <row r="170">
      <c r="C170" s="20"/>
      <c r="E170" s="20"/>
    </row>
    <row r="171">
      <c r="C171" s="20"/>
      <c r="E171" s="20"/>
    </row>
    <row r="172">
      <c r="C172" s="20"/>
      <c r="E172" s="20"/>
    </row>
    <row r="173">
      <c r="C173" s="20"/>
      <c r="E173" s="20"/>
    </row>
    <row r="174">
      <c r="C174" s="20"/>
      <c r="E174" s="20"/>
    </row>
    <row r="175">
      <c r="C175" s="20"/>
      <c r="E175" s="20"/>
    </row>
    <row r="176">
      <c r="C176" s="20"/>
      <c r="E176" s="20"/>
    </row>
    <row r="177">
      <c r="C177" s="20"/>
      <c r="E177" s="20"/>
    </row>
    <row r="178">
      <c r="C178" s="20"/>
      <c r="E178" s="20"/>
    </row>
    <row r="179">
      <c r="C179" s="20"/>
      <c r="E179" s="20"/>
    </row>
    <row r="180">
      <c r="C180" s="20"/>
      <c r="E180" s="20"/>
    </row>
    <row r="181">
      <c r="C181" s="20"/>
      <c r="E181" s="20"/>
    </row>
    <row r="182">
      <c r="C182" s="20"/>
      <c r="E182" s="20"/>
    </row>
    <row r="183">
      <c r="C183" s="20"/>
      <c r="E183" s="20"/>
    </row>
    <row r="184">
      <c r="C184" s="20"/>
      <c r="E184" s="20"/>
    </row>
    <row r="185">
      <c r="C185" s="20"/>
      <c r="E185" s="20"/>
    </row>
    <row r="186">
      <c r="C186" s="20"/>
      <c r="E186" s="20"/>
    </row>
    <row r="187">
      <c r="C187" s="20"/>
      <c r="E187" s="20"/>
    </row>
    <row r="188">
      <c r="C188" s="20"/>
      <c r="E188" s="20"/>
    </row>
    <row r="189">
      <c r="C189" s="20"/>
      <c r="E189" s="20"/>
    </row>
    <row r="190">
      <c r="C190" s="20"/>
      <c r="E190" s="20"/>
    </row>
    <row r="191">
      <c r="C191" s="20"/>
      <c r="E191" s="20"/>
    </row>
    <row r="192">
      <c r="C192" s="20"/>
      <c r="E192" s="20"/>
    </row>
    <row r="193">
      <c r="C193" s="20"/>
      <c r="E193" s="20"/>
    </row>
    <row r="194">
      <c r="C194" s="20"/>
      <c r="E194" s="20"/>
    </row>
    <row r="195">
      <c r="C195" s="20"/>
      <c r="E195" s="20"/>
    </row>
    <row r="196">
      <c r="C196" s="20"/>
      <c r="E196" s="20"/>
    </row>
    <row r="197">
      <c r="C197" s="20"/>
      <c r="E197" s="20"/>
    </row>
    <row r="198">
      <c r="C198" s="20"/>
      <c r="E198" s="20"/>
    </row>
    <row r="199">
      <c r="C199" s="20"/>
      <c r="E199" s="20"/>
    </row>
    <row r="200">
      <c r="C200" s="20"/>
      <c r="E200" s="20"/>
    </row>
    <row r="201">
      <c r="C201" s="20"/>
      <c r="E201" s="20"/>
    </row>
    <row r="202">
      <c r="C202" s="20"/>
      <c r="E202" s="20"/>
    </row>
    <row r="203">
      <c r="C203" s="20"/>
      <c r="E203" s="20"/>
    </row>
    <row r="204">
      <c r="C204" s="20"/>
      <c r="E204" s="20"/>
    </row>
    <row r="205">
      <c r="C205" s="20"/>
      <c r="E205" s="20"/>
    </row>
    <row r="206">
      <c r="C206" s="20"/>
      <c r="E206" s="20"/>
    </row>
    <row r="207">
      <c r="C207" s="20"/>
      <c r="E207" s="20"/>
    </row>
    <row r="208">
      <c r="C208" s="20"/>
      <c r="E208" s="20"/>
    </row>
    <row r="209">
      <c r="C209" s="20"/>
      <c r="E209" s="20"/>
    </row>
    <row r="210">
      <c r="C210" s="20"/>
      <c r="E210" s="20"/>
    </row>
    <row r="211">
      <c r="C211" s="20"/>
      <c r="E211" s="20"/>
    </row>
    <row r="212">
      <c r="C212" s="20"/>
      <c r="E212" s="20"/>
    </row>
    <row r="213">
      <c r="C213" s="20"/>
      <c r="E213" s="20"/>
    </row>
    <row r="214">
      <c r="C214" s="20"/>
      <c r="E214" s="20"/>
    </row>
    <row r="215">
      <c r="C215" s="20"/>
      <c r="E215" s="20"/>
    </row>
    <row r="216">
      <c r="C216" s="20"/>
      <c r="E216" s="20"/>
    </row>
    <row r="217">
      <c r="C217" s="20"/>
      <c r="E217" s="20"/>
    </row>
    <row r="218">
      <c r="C218" s="20"/>
      <c r="E218" s="20"/>
    </row>
    <row r="219">
      <c r="C219" s="20"/>
      <c r="E219" s="20"/>
    </row>
    <row r="220">
      <c r="C220" s="20"/>
      <c r="E220" s="20"/>
    </row>
    <row r="221">
      <c r="C221" s="20"/>
      <c r="E221" s="20"/>
    </row>
    <row r="222">
      <c r="C222" s="20"/>
      <c r="E222" s="20"/>
    </row>
    <row r="223">
      <c r="C223" s="20"/>
      <c r="E223" s="20"/>
    </row>
    <row r="224">
      <c r="C224" s="20"/>
      <c r="E224" s="20"/>
    </row>
    <row r="225">
      <c r="C225" s="20"/>
      <c r="E225" s="20"/>
    </row>
    <row r="226">
      <c r="C226" s="20"/>
      <c r="E226" s="20"/>
    </row>
    <row r="227">
      <c r="C227" s="20"/>
      <c r="E227" s="20"/>
    </row>
    <row r="228">
      <c r="C228" s="20"/>
      <c r="E228" s="20"/>
    </row>
    <row r="229">
      <c r="C229" s="20"/>
      <c r="E229" s="20"/>
    </row>
    <row r="230">
      <c r="C230" s="20"/>
      <c r="E230" s="20"/>
    </row>
    <row r="231">
      <c r="C231" s="20"/>
      <c r="E231" s="20"/>
    </row>
    <row r="232">
      <c r="C232" s="20"/>
      <c r="E232" s="20"/>
    </row>
    <row r="233">
      <c r="C233" s="20"/>
      <c r="E233" s="20"/>
    </row>
    <row r="234">
      <c r="C234" s="20"/>
      <c r="E234" s="20"/>
    </row>
    <row r="235">
      <c r="C235" s="20"/>
      <c r="E235" s="20"/>
    </row>
    <row r="236">
      <c r="C236" s="20"/>
      <c r="E236" s="20"/>
    </row>
    <row r="237">
      <c r="C237" s="20"/>
      <c r="E237" s="20"/>
    </row>
    <row r="238">
      <c r="C238" s="20"/>
      <c r="E238" s="20"/>
    </row>
    <row r="239">
      <c r="C239" s="20"/>
      <c r="E239" s="20"/>
    </row>
    <row r="240">
      <c r="C240" s="20"/>
      <c r="E240" s="20"/>
    </row>
    <row r="241">
      <c r="C241" s="20"/>
      <c r="E241" s="20"/>
    </row>
    <row r="242">
      <c r="C242" s="20"/>
      <c r="E242" s="20"/>
    </row>
    <row r="243">
      <c r="C243" s="20"/>
      <c r="E243" s="20"/>
    </row>
    <row r="244">
      <c r="C244" s="20"/>
      <c r="E244" s="20"/>
    </row>
    <row r="245">
      <c r="C245" s="20"/>
      <c r="E245" s="20"/>
    </row>
    <row r="246">
      <c r="C246" s="20"/>
      <c r="E246" s="20"/>
    </row>
    <row r="247">
      <c r="C247" s="20"/>
      <c r="E247" s="20"/>
    </row>
    <row r="248">
      <c r="C248" s="20"/>
      <c r="E248" s="20"/>
    </row>
    <row r="249">
      <c r="C249" s="20"/>
      <c r="E249" s="20"/>
    </row>
    <row r="250">
      <c r="C250" s="20"/>
      <c r="E250" s="20"/>
    </row>
    <row r="251">
      <c r="C251" s="20"/>
      <c r="E251" s="20"/>
    </row>
    <row r="252">
      <c r="C252" s="20"/>
      <c r="E252" s="20"/>
    </row>
    <row r="253">
      <c r="C253" s="20"/>
      <c r="E253" s="20"/>
    </row>
    <row r="254">
      <c r="C254" s="20"/>
      <c r="E254" s="20"/>
    </row>
    <row r="255">
      <c r="C255" s="20"/>
      <c r="E255" s="20"/>
    </row>
    <row r="256">
      <c r="C256" s="20"/>
      <c r="E256" s="20"/>
    </row>
    <row r="257">
      <c r="C257" s="20"/>
      <c r="E257" s="20"/>
    </row>
    <row r="258">
      <c r="C258" s="20"/>
      <c r="E258" s="20"/>
    </row>
    <row r="259">
      <c r="C259" s="20"/>
      <c r="E259" s="20"/>
    </row>
    <row r="260">
      <c r="C260" s="20"/>
      <c r="E260" s="20"/>
    </row>
    <row r="261">
      <c r="C261" s="20"/>
      <c r="E261" s="20"/>
    </row>
    <row r="262">
      <c r="C262" s="20"/>
      <c r="E262" s="20"/>
    </row>
    <row r="263">
      <c r="C263" s="20"/>
      <c r="E263" s="20"/>
    </row>
    <row r="264">
      <c r="C264" s="20"/>
      <c r="E264" s="20"/>
    </row>
    <row r="265">
      <c r="C265" s="20"/>
      <c r="E265" s="20"/>
    </row>
    <row r="266">
      <c r="C266" s="20"/>
      <c r="E266" s="20"/>
    </row>
    <row r="267">
      <c r="C267" s="20"/>
      <c r="E267" s="20"/>
    </row>
    <row r="268">
      <c r="C268" s="20"/>
      <c r="E268" s="20"/>
    </row>
    <row r="269">
      <c r="C269" s="20"/>
      <c r="E269" s="20"/>
    </row>
    <row r="270">
      <c r="C270" s="20"/>
      <c r="E270" s="20"/>
    </row>
    <row r="271">
      <c r="C271" s="20"/>
      <c r="E271" s="20"/>
    </row>
    <row r="272">
      <c r="C272" s="20"/>
      <c r="E272" s="20"/>
    </row>
    <row r="273">
      <c r="C273" s="20"/>
      <c r="E273" s="20"/>
    </row>
    <row r="274">
      <c r="C274" s="20"/>
      <c r="E274" s="20"/>
    </row>
    <row r="275">
      <c r="C275" s="20"/>
      <c r="E275" s="20"/>
    </row>
    <row r="276">
      <c r="C276" s="20"/>
      <c r="E276" s="20"/>
    </row>
    <row r="277">
      <c r="C277" s="20"/>
      <c r="E277" s="20"/>
    </row>
    <row r="278">
      <c r="C278" s="20"/>
      <c r="E278" s="20"/>
    </row>
    <row r="279">
      <c r="C279" s="20"/>
      <c r="E279" s="20"/>
    </row>
    <row r="280">
      <c r="C280" s="20"/>
      <c r="E280" s="20"/>
    </row>
    <row r="281">
      <c r="C281" s="20"/>
      <c r="E281" s="20"/>
    </row>
    <row r="282">
      <c r="C282" s="20"/>
      <c r="E282" s="20"/>
    </row>
    <row r="283">
      <c r="C283" s="20"/>
      <c r="E283" s="20"/>
    </row>
    <row r="284">
      <c r="C284" s="20"/>
      <c r="E284" s="20"/>
    </row>
    <row r="285">
      <c r="C285" s="20"/>
      <c r="E285" s="20"/>
    </row>
    <row r="286">
      <c r="C286" s="20"/>
      <c r="E286" s="20"/>
    </row>
    <row r="287">
      <c r="C287" s="20"/>
      <c r="E287" s="20"/>
    </row>
    <row r="288">
      <c r="C288" s="20"/>
      <c r="E288" s="20"/>
    </row>
    <row r="289">
      <c r="C289" s="20"/>
      <c r="E289" s="20"/>
    </row>
    <row r="290">
      <c r="C290" s="20"/>
      <c r="E290" s="20"/>
    </row>
    <row r="291">
      <c r="C291" s="20"/>
      <c r="E291" s="20"/>
    </row>
    <row r="292">
      <c r="C292" s="20"/>
      <c r="E292" s="20"/>
    </row>
    <row r="293">
      <c r="C293" s="20"/>
      <c r="E293" s="20"/>
    </row>
    <row r="294">
      <c r="C294" s="20"/>
      <c r="E294" s="20"/>
    </row>
    <row r="295">
      <c r="C295" s="20"/>
      <c r="E295" s="20"/>
    </row>
    <row r="296">
      <c r="C296" s="20"/>
      <c r="E296" s="20"/>
    </row>
    <row r="297">
      <c r="C297" s="20"/>
      <c r="E297" s="20"/>
    </row>
    <row r="298">
      <c r="C298" s="20"/>
      <c r="E298" s="20"/>
    </row>
    <row r="299">
      <c r="C299" s="20"/>
      <c r="E299" s="20"/>
    </row>
    <row r="300">
      <c r="C300" s="20"/>
      <c r="E300" s="20"/>
    </row>
    <row r="301">
      <c r="C301" s="20"/>
      <c r="E301" s="20"/>
    </row>
    <row r="302">
      <c r="C302" s="20"/>
      <c r="E302" s="20"/>
    </row>
    <row r="303">
      <c r="C303" s="20"/>
      <c r="E303" s="20"/>
    </row>
    <row r="304">
      <c r="C304" s="20"/>
      <c r="E304" s="20"/>
    </row>
    <row r="305">
      <c r="C305" s="20"/>
      <c r="E305" s="20"/>
    </row>
    <row r="306">
      <c r="C306" s="20"/>
      <c r="E306" s="20"/>
    </row>
    <row r="307">
      <c r="C307" s="20"/>
      <c r="E307" s="20"/>
    </row>
    <row r="308">
      <c r="C308" s="20"/>
      <c r="E308" s="20"/>
    </row>
    <row r="309">
      <c r="C309" s="20"/>
      <c r="E309" s="20"/>
    </row>
    <row r="310">
      <c r="C310" s="20"/>
      <c r="E310" s="20"/>
    </row>
    <row r="311">
      <c r="C311" s="20"/>
      <c r="E311" s="20"/>
    </row>
    <row r="312">
      <c r="C312" s="20"/>
      <c r="E312" s="20"/>
    </row>
    <row r="313">
      <c r="C313" s="20"/>
      <c r="E313" s="20"/>
    </row>
    <row r="314">
      <c r="C314" s="20"/>
      <c r="E314" s="20"/>
    </row>
    <row r="315">
      <c r="C315" s="20"/>
      <c r="E315" s="20"/>
    </row>
    <row r="316">
      <c r="C316" s="20"/>
      <c r="E316" s="20"/>
    </row>
    <row r="317">
      <c r="C317" s="20"/>
      <c r="E317" s="20"/>
    </row>
    <row r="318">
      <c r="C318" s="20"/>
      <c r="E318" s="20"/>
    </row>
    <row r="319">
      <c r="C319" s="20"/>
      <c r="E319" s="20"/>
    </row>
    <row r="320">
      <c r="C320" s="20"/>
      <c r="E320" s="20"/>
    </row>
    <row r="321">
      <c r="C321" s="20"/>
      <c r="E321" s="20"/>
    </row>
    <row r="322">
      <c r="C322" s="20"/>
      <c r="E322" s="20"/>
    </row>
    <row r="323">
      <c r="C323" s="20"/>
      <c r="E323" s="20"/>
    </row>
    <row r="324">
      <c r="C324" s="20"/>
      <c r="E324" s="20"/>
    </row>
    <row r="325">
      <c r="C325" s="20"/>
      <c r="E325" s="20"/>
    </row>
    <row r="326">
      <c r="C326" s="20"/>
      <c r="E326" s="20"/>
    </row>
    <row r="327">
      <c r="C327" s="20"/>
      <c r="E327" s="20"/>
    </row>
    <row r="328">
      <c r="C328" s="20"/>
      <c r="E328" s="20"/>
    </row>
    <row r="329">
      <c r="C329" s="20"/>
      <c r="E329" s="20"/>
    </row>
    <row r="330">
      <c r="C330" s="20"/>
      <c r="E330" s="20"/>
    </row>
    <row r="331">
      <c r="C331" s="20"/>
      <c r="E331" s="20"/>
    </row>
    <row r="332">
      <c r="C332" s="20"/>
      <c r="E332" s="20"/>
    </row>
    <row r="333">
      <c r="C333" s="20"/>
      <c r="E333" s="20"/>
    </row>
    <row r="334">
      <c r="C334" s="20"/>
      <c r="E334" s="20"/>
    </row>
    <row r="335">
      <c r="C335" s="20"/>
      <c r="E335" s="20"/>
    </row>
    <row r="336">
      <c r="C336" s="20"/>
      <c r="E336" s="20"/>
    </row>
    <row r="337">
      <c r="C337" s="20"/>
      <c r="E337" s="20"/>
    </row>
    <row r="338">
      <c r="C338" s="20"/>
      <c r="E338" s="20"/>
    </row>
    <row r="339">
      <c r="C339" s="20"/>
      <c r="E339" s="20"/>
    </row>
    <row r="340">
      <c r="C340" s="20"/>
      <c r="E340" s="20"/>
    </row>
    <row r="341">
      <c r="C341" s="20"/>
      <c r="E341" s="20"/>
    </row>
    <row r="342">
      <c r="C342" s="20"/>
      <c r="E342" s="20"/>
    </row>
    <row r="343">
      <c r="C343" s="20"/>
      <c r="E343" s="20"/>
    </row>
    <row r="344">
      <c r="C344" s="20"/>
      <c r="E344" s="20"/>
    </row>
    <row r="345">
      <c r="C345" s="20"/>
      <c r="E345" s="20"/>
    </row>
    <row r="346">
      <c r="C346" s="20"/>
      <c r="E346" s="20"/>
    </row>
    <row r="347">
      <c r="C347" s="20"/>
      <c r="E347" s="20"/>
    </row>
    <row r="348">
      <c r="C348" s="20"/>
      <c r="E348" s="20"/>
    </row>
    <row r="349">
      <c r="C349" s="20"/>
      <c r="E349" s="20"/>
    </row>
    <row r="350">
      <c r="C350" s="20"/>
      <c r="E350" s="20"/>
    </row>
    <row r="351">
      <c r="C351" s="20"/>
      <c r="E351" s="20"/>
    </row>
    <row r="352">
      <c r="C352" s="20"/>
      <c r="E352" s="20"/>
    </row>
    <row r="353">
      <c r="C353" s="20"/>
      <c r="E353" s="20"/>
    </row>
    <row r="354">
      <c r="C354" s="20"/>
      <c r="E354" s="20"/>
    </row>
    <row r="355">
      <c r="C355" s="20"/>
      <c r="E355" s="20"/>
    </row>
    <row r="356">
      <c r="C356" s="20"/>
      <c r="E356" s="20"/>
    </row>
    <row r="357">
      <c r="C357" s="20"/>
      <c r="E357" s="20"/>
    </row>
    <row r="358">
      <c r="C358" s="20"/>
      <c r="E358" s="20"/>
    </row>
    <row r="359">
      <c r="C359" s="20"/>
      <c r="E359" s="20"/>
    </row>
    <row r="360">
      <c r="C360" s="20"/>
      <c r="E360" s="20"/>
    </row>
    <row r="361">
      <c r="C361" s="20"/>
      <c r="E361" s="20"/>
    </row>
    <row r="362">
      <c r="C362" s="20"/>
      <c r="E362" s="20"/>
    </row>
    <row r="363">
      <c r="C363" s="20"/>
      <c r="E363" s="20"/>
    </row>
    <row r="364">
      <c r="C364" s="20"/>
      <c r="E364" s="20"/>
    </row>
    <row r="365">
      <c r="C365" s="20"/>
      <c r="E365" s="20"/>
    </row>
    <row r="366">
      <c r="C366" s="20"/>
      <c r="E366" s="20"/>
    </row>
    <row r="367">
      <c r="C367" s="20"/>
      <c r="E367" s="20"/>
    </row>
    <row r="368">
      <c r="C368" s="20"/>
      <c r="E368" s="20"/>
    </row>
    <row r="369">
      <c r="C369" s="20"/>
      <c r="E369" s="20"/>
    </row>
    <row r="370">
      <c r="C370" s="20"/>
      <c r="E370" s="20"/>
    </row>
    <row r="371">
      <c r="C371" s="20"/>
      <c r="E371" s="20"/>
    </row>
    <row r="372">
      <c r="C372" s="20"/>
      <c r="E372" s="20"/>
    </row>
    <row r="373">
      <c r="C373" s="20"/>
      <c r="E373" s="20"/>
    </row>
    <row r="374">
      <c r="C374" s="20"/>
      <c r="E374" s="20"/>
    </row>
    <row r="375">
      <c r="C375" s="20"/>
      <c r="E375" s="20"/>
    </row>
    <row r="376">
      <c r="C376" s="20"/>
      <c r="E376" s="20"/>
    </row>
    <row r="377">
      <c r="C377" s="20"/>
      <c r="E377" s="20"/>
    </row>
    <row r="378">
      <c r="C378" s="20"/>
      <c r="E378" s="20"/>
    </row>
    <row r="379">
      <c r="C379" s="20"/>
      <c r="E379" s="20"/>
    </row>
    <row r="380">
      <c r="C380" s="20"/>
      <c r="E380" s="20"/>
    </row>
    <row r="381">
      <c r="C381" s="20"/>
      <c r="E381" s="20"/>
    </row>
    <row r="382">
      <c r="C382" s="20"/>
      <c r="E382" s="20"/>
    </row>
    <row r="383">
      <c r="C383" s="20"/>
      <c r="E383" s="20"/>
    </row>
    <row r="384">
      <c r="C384" s="20"/>
      <c r="E384" s="20"/>
    </row>
    <row r="385">
      <c r="C385" s="20"/>
      <c r="E385" s="20"/>
    </row>
    <row r="386">
      <c r="C386" s="20"/>
      <c r="E386" s="20"/>
    </row>
    <row r="387">
      <c r="C387" s="20"/>
      <c r="E387" s="20"/>
    </row>
    <row r="388">
      <c r="C388" s="20"/>
      <c r="E388" s="20"/>
    </row>
    <row r="389">
      <c r="C389" s="20"/>
      <c r="E389" s="20"/>
    </row>
    <row r="390">
      <c r="C390" s="20"/>
      <c r="E390" s="20"/>
    </row>
    <row r="391">
      <c r="C391" s="20"/>
      <c r="E391" s="20"/>
    </row>
    <row r="392">
      <c r="C392" s="20"/>
      <c r="E392" s="20"/>
    </row>
    <row r="393">
      <c r="C393" s="20"/>
      <c r="E393" s="20"/>
    </row>
    <row r="394">
      <c r="C394" s="20"/>
      <c r="E394" s="20"/>
    </row>
    <row r="395">
      <c r="C395" s="20"/>
      <c r="E395" s="20"/>
    </row>
    <row r="396">
      <c r="C396" s="20"/>
      <c r="E396" s="20"/>
    </row>
    <row r="397">
      <c r="C397" s="20"/>
      <c r="E397" s="20"/>
    </row>
    <row r="398">
      <c r="C398" s="20"/>
      <c r="E398" s="20"/>
    </row>
    <row r="399">
      <c r="C399" s="20"/>
      <c r="E399" s="20"/>
    </row>
    <row r="400">
      <c r="C400" s="20"/>
      <c r="E400" s="20"/>
    </row>
    <row r="401">
      <c r="C401" s="20"/>
      <c r="E401" s="20"/>
    </row>
    <row r="402">
      <c r="C402" s="20"/>
      <c r="E402" s="20"/>
    </row>
    <row r="403">
      <c r="C403" s="20"/>
      <c r="E403" s="20"/>
    </row>
    <row r="404">
      <c r="C404" s="20"/>
      <c r="E404" s="20"/>
    </row>
    <row r="405">
      <c r="C405" s="20"/>
      <c r="E405" s="20"/>
    </row>
    <row r="406">
      <c r="C406" s="20"/>
      <c r="E406" s="20"/>
    </row>
    <row r="407">
      <c r="C407" s="20"/>
      <c r="E407" s="20"/>
    </row>
    <row r="408">
      <c r="C408" s="20"/>
      <c r="E408" s="20"/>
    </row>
    <row r="409">
      <c r="C409" s="20"/>
      <c r="E409" s="20"/>
    </row>
    <row r="410">
      <c r="C410" s="20"/>
      <c r="E410" s="20"/>
    </row>
    <row r="411">
      <c r="C411" s="20"/>
      <c r="E411" s="20"/>
    </row>
    <row r="412">
      <c r="C412" s="20"/>
      <c r="E412" s="20"/>
    </row>
    <row r="413">
      <c r="C413" s="20"/>
      <c r="E413" s="20"/>
    </row>
    <row r="414">
      <c r="C414" s="20"/>
      <c r="E414" s="20"/>
    </row>
    <row r="415">
      <c r="C415" s="20"/>
      <c r="E415" s="20"/>
    </row>
    <row r="416">
      <c r="C416" s="20"/>
      <c r="E416" s="20"/>
    </row>
    <row r="417">
      <c r="C417" s="20"/>
      <c r="E417" s="20"/>
    </row>
    <row r="418">
      <c r="C418" s="20"/>
      <c r="E418" s="20"/>
    </row>
    <row r="419">
      <c r="C419" s="20"/>
      <c r="E419" s="20"/>
    </row>
    <row r="420">
      <c r="C420" s="20"/>
      <c r="E420" s="20"/>
    </row>
    <row r="421">
      <c r="C421" s="20"/>
      <c r="E421" s="20"/>
    </row>
    <row r="422">
      <c r="C422" s="20"/>
      <c r="E422" s="20"/>
    </row>
    <row r="423">
      <c r="C423" s="20"/>
      <c r="E423" s="20"/>
    </row>
    <row r="424">
      <c r="C424" s="20"/>
      <c r="E424" s="20"/>
    </row>
    <row r="425">
      <c r="C425" s="20"/>
      <c r="E425" s="20"/>
    </row>
    <row r="426">
      <c r="C426" s="20"/>
      <c r="E426" s="20"/>
    </row>
    <row r="427">
      <c r="C427" s="20"/>
      <c r="E427" s="20"/>
    </row>
    <row r="428">
      <c r="C428" s="20"/>
      <c r="E428" s="20"/>
    </row>
    <row r="429">
      <c r="C429" s="20"/>
      <c r="E429" s="20"/>
    </row>
    <row r="430">
      <c r="C430" s="20"/>
      <c r="E430" s="20"/>
    </row>
    <row r="431">
      <c r="C431" s="20"/>
      <c r="E431" s="20"/>
    </row>
    <row r="432">
      <c r="C432" s="20"/>
      <c r="E432" s="20"/>
    </row>
    <row r="433">
      <c r="C433" s="20"/>
      <c r="E433" s="20"/>
    </row>
    <row r="434">
      <c r="C434" s="20"/>
      <c r="E434" s="20"/>
    </row>
    <row r="435">
      <c r="C435" s="20"/>
      <c r="E435" s="20"/>
    </row>
    <row r="436">
      <c r="C436" s="20"/>
      <c r="E436" s="20"/>
    </row>
    <row r="437">
      <c r="C437" s="20"/>
      <c r="E437" s="20"/>
    </row>
    <row r="438">
      <c r="C438" s="20"/>
      <c r="E438" s="20"/>
    </row>
    <row r="439">
      <c r="C439" s="20"/>
      <c r="E439" s="20"/>
    </row>
    <row r="440">
      <c r="C440" s="20"/>
      <c r="E440" s="20"/>
    </row>
    <row r="441">
      <c r="C441" s="20"/>
      <c r="E441" s="20"/>
    </row>
    <row r="442">
      <c r="C442" s="20"/>
      <c r="E442" s="20"/>
    </row>
    <row r="443">
      <c r="C443" s="20"/>
      <c r="E443" s="20"/>
    </row>
    <row r="444">
      <c r="C444" s="20"/>
      <c r="E444" s="20"/>
    </row>
    <row r="445">
      <c r="C445" s="20"/>
      <c r="E445" s="20"/>
    </row>
    <row r="446">
      <c r="C446" s="20"/>
      <c r="E446" s="20"/>
    </row>
    <row r="447">
      <c r="C447" s="20"/>
      <c r="E447" s="20"/>
    </row>
    <row r="448">
      <c r="C448" s="20"/>
      <c r="E448" s="20"/>
    </row>
    <row r="449">
      <c r="C449" s="20"/>
      <c r="E449" s="20"/>
    </row>
    <row r="450">
      <c r="C450" s="20"/>
      <c r="E450" s="20"/>
    </row>
    <row r="451">
      <c r="C451" s="20"/>
      <c r="E451" s="20"/>
    </row>
    <row r="452">
      <c r="C452" s="20"/>
      <c r="E452" s="20"/>
    </row>
    <row r="453">
      <c r="C453" s="20"/>
      <c r="E453" s="20"/>
    </row>
    <row r="454">
      <c r="C454" s="20"/>
      <c r="E454" s="20"/>
    </row>
    <row r="455">
      <c r="C455" s="20"/>
      <c r="E455" s="20"/>
    </row>
    <row r="456">
      <c r="C456" s="20"/>
      <c r="E456" s="20"/>
    </row>
    <row r="457">
      <c r="C457" s="20"/>
      <c r="E457" s="20"/>
    </row>
    <row r="458">
      <c r="C458" s="20"/>
      <c r="E458" s="20"/>
    </row>
    <row r="459">
      <c r="C459" s="20"/>
      <c r="E459" s="20"/>
    </row>
    <row r="460">
      <c r="C460" s="20"/>
      <c r="E460" s="20"/>
    </row>
    <row r="461">
      <c r="C461" s="20"/>
      <c r="E461" s="20"/>
    </row>
    <row r="462">
      <c r="C462" s="20"/>
      <c r="E462" s="20"/>
    </row>
    <row r="463">
      <c r="C463" s="20"/>
      <c r="E463" s="20"/>
    </row>
    <row r="464">
      <c r="C464" s="20"/>
      <c r="E464" s="20"/>
    </row>
    <row r="465">
      <c r="C465" s="20"/>
      <c r="E465" s="20"/>
    </row>
    <row r="466">
      <c r="C466" s="20"/>
      <c r="E466" s="20"/>
    </row>
    <row r="467">
      <c r="C467" s="20"/>
      <c r="E467" s="20"/>
    </row>
    <row r="468">
      <c r="C468" s="20"/>
      <c r="E468" s="20"/>
    </row>
    <row r="469">
      <c r="C469" s="20"/>
      <c r="E469" s="20"/>
    </row>
    <row r="470">
      <c r="C470" s="20"/>
      <c r="E470" s="20"/>
    </row>
    <row r="471">
      <c r="C471" s="20"/>
      <c r="E471" s="20"/>
    </row>
    <row r="472">
      <c r="C472" s="20"/>
      <c r="E472" s="20"/>
    </row>
    <row r="473">
      <c r="C473" s="20"/>
      <c r="E473" s="20"/>
    </row>
    <row r="474">
      <c r="C474" s="20"/>
      <c r="E474" s="20"/>
    </row>
    <row r="475">
      <c r="C475" s="20"/>
      <c r="E475" s="20"/>
    </row>
    <row r="476">
      <c r="C476" s="20"/>
      <c r="E476" s="20"/>
    </row>
    <row r="477">
      <c r="C477" s="20"/>
      <c r="E477" s="20"/>
    </row>
    <row r="478">
      <c r="C478" s="20"/>
      <c r="E478" s="20"/>
    </row>
    <row r="479">
      <c r="C479" s="20"/>
      <c r="E479" s="20"/>
    </row>
    <row r="480">
      <c r="C480" s="20"/>
      <c r="E480" s="20"/>
    </row>
    <row r="481">
      <c r="C481" s="20"/>
      <c r="E481" s="20"/>
    </row>
    <row r="482">
      <c r="C482" s="20"/>
      <c r="E482" s="20"/>
    </row>
    <row r="483">
      <c r="C483" s="20"/>
      <c r="E483" s="20"/>
    </row>
    <row r="484">
      <c r="C484" s="20"/>
      <c r="E484" s="20"/>
    </row>
    <row r="485">
      <c r="C485" s="20"/>
      <c r="E485" s="20"/>
    </row>
    <row r="486">
      <c r="C486" s="20"/>
      <c r="E486" s="20"/>
    </row>
    <row r="487">
      <c r="C487" s="20"/>
      <c r="E487" s="20"/>
    </row>
    <row r="488">
      <c r="C488" s="20"/>
      <c r="E488" s="20"/>
    </row>
    <row r="489">
      <c r="C489" s="20"/>
      <c r="E489" s="20"/>
    </row>
    <row r="490">
      <c r="C490" s="20"/>
      <c r="E490" s="20"/>
    </row>
    <row r="491">
      <c r="C491" s="20"/>
      <c r="E491" s="20"/>
    </row>
    <row r="492">
      <c r="C492" s="20"/>
      <c r="E492" s="20"/>
    </row>
    <row r="493">
      <c r="C493" s="20"/>
      <c r="E493" s="20"/>
    </row>
    <row r="494">
      <c r="C494" s="20"/>
      <c r="E494" s="20"/>
    </row>
    <row r="495">
      <c r="C495" s="20"/>
      <c r="E495" s="20"/>
    </row>
    <row r="496">
      <c r="C496" s="20"/>
      <c r="E496" s="20"/>
    </row>
    <row r="497">
      <c r="C497" s="20"/>
      <c r="E497" s="20"/>
    </row>
    <row r="498">
      <c r="C498" s="20"/>
      <c r="E498" s="20"/>
    </row>
    <row r="499">
      <c r="C499" s="20"/>
      <c r="E499" s="20"/>
    </row>
    <row r="500">
      <c r="C500" s="20"/>
      <c r="E500" s="20"/>
    </row>
    <row r="501">
      <c r="C501" s="20"/>
      <c r="E501" s="20"/>
    </row>
    <row r="502">
      <c r="C502" s="20"/>
      <c r="E502" s="20"/>
    </row>
    <row r="503">
      <c r="C503" s="20"/>
      <c r="E503" s="20"/>
    </row>
    <row r="504">
      <c r="C504" s="20"/>
      <c r="E504" s="20"/>
    </row>
    <row r="505">
      <c r="C505" s="20"/>
      <c r="E505" s="20"/>
    </row>
    <row r="506">
      <c r="C506" s="20"/>
      <c r="E506" s="20"/>
    </row>
    <row r="507">
      <c r="C507" s="20"/>
      <c r="E507" s="20"/>
    </row>
    <row r="508">
      <c r="C508" s="20"/>
      <c r="E508" s="20"/>
    </row>
    <row r="509">
      <c r="C509" s="20"/>
      <c r="E509" s="20"/>
    </row>
    <row r="510">
      <c r="C510" s="20"/>
      <c r="E510" s="20"/>
    </row>
    <row r="511">
      <c r="C511" s="20"/>
      <c r="E511" s="20"/>
    </row>
    <row r="512">
      <c r="C512" s="20"/>
      <c r="E512" s="20"/>
    </row>
    <row r="513">
      <c r="C513" s="20"/>
      <c r="E513" s="20"/>
    </row>
    <row r="514">
      <c r="C514" s="20"/>
      <c r="E514" s="20"/>
    </row>
    <row r="515">
      <c r="C515" s="20"/>
      <c r="E515" s="20"/>
    </row>
    <row r="516">
      <c r="C516" s="20"/>
      <c r="E516" s="20"/>
    </row>
    <row r="517">
      <c r="C517" s="20"/>
      <c r="E517" s="20"/>
    </row>
    <row r="518">
      <c r="C518" s="20"/>
      <c r="E518" s="20"/>
    </row>
    <row r="519">
      <c r="C519" s="20"/>
      <c r="E519" s="20"/>
    </row>
    <row r="520">
      <c r="C520" s="20"/>
      <c r="E520" s="20"/>
    </row>
    <row r="521">
      <c r="C521" s="20"/>
      <c r="E521" s="20"/>
    </row>
    <row r="522">
      <c r="C522" s="20"/>
      <c r="E522" s="20"/>
    </row>
    <row r="523">
      <c r="C523" s="20"/>
      <c r="E523" s="20"/>
    </row>
    <row r="524">
      <c r="C524" s="20"/>
      <c r="E524" s="20"/>
    </row>
    <row r="525">
      <c r="C525" s="20"/>
      <c r="E525" s="20"/>
    </row>
    <row r="526">
      <c r="C526" s="20"/>
      <c r="E526" s="20"/>
    </row>
    <row r="527">
      <c r="C527" s="20"/>
      <c r="E527" s="20"/>
    </row>
    <row r="528">
      <c r="C528" s="20"/>
      <c r="E528" s="20"/>
    </row>
    <row r="529">
      <c r="C529" s="20"/>
      <c r="E529" s="20"/>
    </row>
    <row r="530">
      <c r="C530" s="20"/>
      <c r="E530" s="20"/>
    </row>
    <row r="531">
      <c r="C531" s="20"/>
      <c r="E531" s="20"/>
    </row>
    <row r="532">
      <c r="C532" s="20"/>
      <c r="E532" s="20"/>
    </row>
    <row r="533">
      <c r="C533" s="20"/>
      <c r="E533" s="20"/>
    </row>
    <row r="534">
      <c r="C534" s="20"/>
      <c r="E534" s="20"/>
    </row>
    <row r="535">
      <c r="C535" s="20"/>
      <c r="E535" s="20"/>
    </row>
    <row r="536">
      <c r="C536" s="20"/>
      <c r="E536" s="20"/>
    </row>
    <row r="537">
      <c r="C537" s="20"/>
      <c r="E537" s="20"/>
    </row>
    <row r="538">
      <c r="C538" s="20"/>
      <c r="E538" s="20"/>
    </row>
    <row r="539">
      <c r="C539" s="20"/>
      <c r="E539" s="20"/>
    </row>
    <row r="540">
      <c r="C540" s="20"/>
      <c r="E540" s="20"/>
    </row>
    <row r="541">
      <c r="C541" s="20"/>
      <c r="E541" s="20"/>
    </row>
    <row r="542">
      <c r="C542" s="20"/>
      <c r="E542" s="20"/>
    </row>
    <row r="543">
      <c r="C543" s="20"/>
      <c r="E543" s="20"/>
    </row>
    <row r="544">
      <c r="C544" s="20"/>
      <c r="E544" s="20"/>
    </row>
    <row r="545">
      <c r="C545" s="20"/>
      <c r="E545" s="20"/>
    </row>
    <row r="546">
      <c r="C546" s="20"/>
      <c r="E546" s="20"/>
    </row>
    <row r="547">
      <c r="C547" s="20"/>
      <c r="E547" s="20"/>
    </row>
    <row r="548">
      <c r="C548" s="20"/>
      <c r="E548" s="20"/>
    </row>
    <row r="549">
      <c r="C549" s="20"/>
      <c r="E549" s="20"/>
    </row>
    <row r="550">
      <c r="C550" s="20"/>
      <c r="E550" s="20"/>
    </row>
    <row r="551">
      <c r="C551" s="20"/>
      <c r="E551" s="20"/>
    </row>
    <row r="552">
      <c r="C552" s="20"/>
      <c r="E552" s="20"/>
    </row>
    <row r="553">
      <c r="C553" s="20"/>
      <c r="E553" s="20"/>
    </row>
    <row r="554">
      <c r="C554" s="20"/>
      <c r="E554" s="20"/>
    </row>
    <row r="555">
      <c r="C555" s="20"/>
      <c r="E555" s="20"/>
    </row>
    <row r="556">
      <c r="C556" s="20"/>
      <c r="E556" s="20"/>
    </row>
    <row r="557">
      <c r="C557" s="20"/>
      <c r="E557" s="20"/>
    </row>
    <row r="558">
      <c r="C558" s="20"/>
      <c r="E558" s="20"/>
    </row>
    <row r="559">
      <c r="C559" s="20"/>
      <c r="E559" s="20"/>
    </row>
    <row r="560">
      <c r="C560" s="20"/>
      <c r="E560" s="20"/>
    </row>
    <row r="561">
      <c r="C561" s="20"/>
      <c r="E561" s="20"/>
    </row>
    <row r="562">
      <c r="C562" s="20"/>
      <c r="E562" s="20"/>
    </row>
    <row r="563">
      <c r="C563" s="20"/>
      <c r="E563" s="20"/>
    </row>
    <row r="564">
      <c r="C564" s="20"/>
      <c r="E564" s="20"/>
    </row>
    <row r="565">
      <c r="C565" s="20"/>
      <c r="E565" s="20"/>
    </row>
    <row r="566">
      <c r="C566" s="20"/>
      <c r="E566" s="20"/>
    </row>
    <row r="567">
      <c r="C567" s="20"/>
      <c r="E567" s="20"/>
    </row>
    <row r="568">
      <c r="C568" s="20"/>
      <c r="E568" s="20"/>
    </row>
    <row r="569">
      <c r="C569" s="20"/>
      <c r="E569" s="20"/>
    </row>
    <row r="570">
      <c r="C570" s="20"/>
      <c r="E570" s="20"/>
    </row>
    <row r="571">
      <c r="C571" s="20"/>
      <c r="E571" s="20"/>
    </row>
    <row r="572">
      <c r="C572" s="20"/>
      <c r="E572" s="20"/>
    </row>
    <row r="573">
      <c r="C573" s="20"/>
      <c r="E573" s="20"/>
    </row>
    <row r="574">
      <c r="C574" s="20"/>
      <c r="E574" s="20"/>
    </row>
    <row r="575">
      <c r="C575" s="20"/>
      <c r="E575" s="20"/>
    </row>
    <row r="576">
      <c r="C576" s="20"/>
      <c r="E576" s="20"/>
    </row>
    <row r="577">
      <c r="C577" s="20"/>
      <c r="E577" s="20"/>
    </row>
    <row r="578">
      <c r="C578" s="20"/>
      <c r="E578" s="20"/>
    </row>
    <row r="579">
      <c r="C579" s="20"/>
      <c r="E579" s="20"/>
    </row>
    <row r="580">
      <c r="C580" s="20"/>
      <c r="E580" s="20"/>
    </row>
    <row r="581">
      <c r="C581" s="20"/>
      <c r="E581" s="20"/>
    </row>
    <row r="582">
      <c r="C582" s="20"/>
      <c r="E582" s="20"/>
    </row>
    <row r="583">
      <c r="C583" s="20"/>
      <c r="E583" s="20"/>
    </row>
    <row r="584">
      <c r="C584" s="20"/>
      <c r="E584" s="20"/>
    </row>
    <row r="585">
      <c r="C585" s="20"/>
      <c r="E585" s="20"/>
    </row>
    <row r="586">
      <c r="C586" s="20"/>
      <c r="E586" s="20"/>
    </row>
    <row r="587">
      <c r="C587" s="20"/>
      <c r="E587" s="20"/>
    </row>
    <row r="588">
      <c r="C588" s="20"/>
      <c r="E588" s="20"/>
    </row>
    <row r="589">
      <c r="C589" s="20"/>
      <c r="E589" s="20"/>
    </row>
    <row r="590">
      <c r="C590" s="20"/>
      <c r="E590" s="20"/>
    </row>
    <row r="591">
      <c r="C591" s="20"/>
      <c r="E591" s="20"/>
    </row>
    <row r="592">
      <c r="C592" s="20"/>
      <c r="E592" s="20"/>
    </row>
    <row r="593">
      <c r="C593" s="20"/>
      <c r="E593" s="20"/>
    </row>
    <row r="594">
      <c r="C594" s="20"/>
      <c r="E594" s="20"/>
    </row>
    <row r="595">
      <c r="C595" s="20"/>
      <c r="E595" s="20"/>
    </row>
    <row r="596">
      <c r="C596" s="20"/>
      <c r="E596" s="20"/>
    </row>
    <row r="597">
      <c r="C597" s="20"/>
      <c r="E597" s="20"/>
    </row>
    <row r="598">
      <c r="C598" s="20"/>
      <c r="E598" s="20"/>
    </row>
    <row r="599">
      <c r="C599" s="20"/>
      <c r="E599" s="20"/>
    </row>
    <row r="600">
      <c r="C600" s="20"/>
      <c r="E600" s="20"/>
    </row>
    <row r="601">
      <c r="C601" s="20"/>
      <c r="E601" s="20"/>
    </row>
    <row r="602">
      <c r="C602" s="20"/>
      <c r="E602" s="20"/>
    </row>
    <row r="603">
      <c r="C603" s="20"/>
      <c r="E603" s="20"/>
    </row>
    <row r="604">
      <c r="C604" s="20"/>
      <c r="E604" s="20"/>
    </row>
    <row r="605">
      <c r="C605" s="20"/>
      <c r="E605" s="20"/>
    </row>
    <row r="606">
      <c r="C606" s="20"/>
      <c r="E606" s="20"/>
    </row>
    <row r="607">
      <c r="C607" s="20"/>
      <c r="E607" s="20"/>
    </row>
    <row r="608">
      <c r="C608" s="20"/>
      <c r="E608" s="20"/>
    </row>
    <row r="609">
      <c r="C609" s="20"/>
      <c r="E609" s="20"/>
    </row>
    <row r="610">
      <c r="C610" s="20"/>
      <c r="E610" s="20"/>
    </row>
    <row r="611">
      <c r="C611" s="20"/>
      <c r="E611" s="20"/>
    </row>
    <row r="612">
      <c r="C612" s="20"/>
      <c r="E612" s="20"/>
    </row>
    <row r="613">
      <c r="C613" s="20"/>
      <c r="E613" s="20"/>
    </row>
    <row r="614">
      <c r="C614" s="20"/>
      <c r="E614" s="20"/>
    </row>
    <row r="615">
      <c r="C615" s="20"/>
      <c r="E615" s="20"/>
    </row>
    <row r="616">
      <c r="C616" s="20"/>
      <c r="E616" s="20"/>
    </row>
    <row r="617">
      <c r="C617" s="20"/>
      <c r="E617" s="20"/>
    </row>
    <row r="618">
      <c r="C618" s="20"/>
      <c r="E618" s="20"/>
    </row>
    <row r="619">
      <c r="C619" s="20"/>
      <c r="E619" s="20"/>
    </row>
    <row r="620">
      <c r="C620" s="20"/>
      <c r="E620" s="20"/>
    </row>
    <row r="621">
      <c r="C621" s="20"/>
      <c r="E621" s="20"/>
    </row>
    <row r="622">
      <c r="C622" s="20"/>
      <c r="E622" s="20"/>
    </row>
    <row r="623">
      <c r="C623" s="20"/>
      <c r="E623" s="20"/>
    </row>
    <row r="624">
      <c r="C624" s="20"/>
      <c r="E624" s="20"/>
    </row>
    <row r="625">
      <c r="C625" s="20"/>
      <c r="E625" s="20"/>
    </row>
    <row r="626">
      <c r="C626" s="20"/>
      <c r="E626" s="20"/>
    </row>
    <row r="627">
      <c r="C627" s="20"/>
      <c r="E627" s="20"/>
    </row>
    <row r="628">
      <c r="C628" s="20"/>
      <c r="E628" s="20"/>
    </row>
    <row r="629">
      <c r="C629" s="20"/>
      <c r="E629" s="20"/>
    </row>
    <row r="630">
      <c r="C630" s="20"/>
      <c r="E630" s="20"/>
    </row>
    <row r="631">
      <c r="C631" s="20"/>
      <c r="E631" s="20"/>
    </row>
    <row r="632">
      <c r="C632" s="20"/>
      <c r="E632" s="20"/>
    </row>
    <row r="633">
      <c r="C633" s="20"/>
      <c r="E633" s="20"/>
    </row>
    <row r="634">
      <c r="C634" s="20"/>
      <c r="E634" s="20"/>
    </row>
    <row r="635">
      <c r="C635" s="20"/>
      <c r="E635" s="20"/>
    </row>
    <row r="636">
      <c r="C636" s="20"/>
      <c r="E636" s="20"/>
    </row>
    <row r="637">
      <c r="C637" s="20"/>
      <c r="E637" s="20"/>
    </row>
    <row r="638">
      <c r="C638" s="20"/>
      <c r="E638" s="20"/>
    </row>
    <row r="639">
      <c r="C639" s="20"/>
      <c r="E639" s="20"/>
    </row>
    <row r="640">
      <c r="C640" s="20"/>
      <c r="E640" s="20"/>
    </row>
    <row r="641">
      <c r="C641" s="20"/>
      <c r="E641" s="20"/>
    </row>
    <row r="642">
      <c r="C642" s="20"/>
      <c r="E642" s="20"/>
    </row>
    <row r="643">
      <c r="C643" s="20"/>
      <c r="E643" s="20"/>
    </row>
    <row r="644">
      <c r="C644" s="20"/>
      <c r="E644" s="20"/>
    </row>
    <row r="645">
      <c r="C645" s="20"/>
      <c r="E645" s="20"/>
    </row>
    <row r="646">
      <c r="C646" s="20"/>
      <c r="E646" s="20"/>
    </row>
    <row r="647">
      <c r="C647" s="20"/>
      <c r="E647" s="20"/>
    </row>
    <row r="648">
      <c r="C648" s="20"/>
      <c r="E648" s="20"/>
    </row>
    <row r="649">
      <c r="C649" s="20"/>
      <c r="E649" s="20"/>
    </row>
    <row r="650">
      <c r="C650" s="20"/>
      <c r="E650" s="20"/>
    </row>
    <row r="651">
      <c r="C651" s="20"/>
      <c r="E651" s="20"/>
    </row>
    <row r="652">
      <c r="C652" s="20"/>
      <c r="E652" s="20"/>
    </row>
    <row r="653">
      <c r="C653" s="20"/>
      <c r="E653" s="20"/>
    </row>
    <row r="654">
      <c r="C654" s="20"/>
      <c r="E654" s="20"/>
    </row>
    <row r="655">
      <c r="C655" s="20"/>
      <c r="E655" s="20"/>
    </row>
    <row r="656">
      <c r="C656" s="20"/>
      <c r="E656" s="20"/>
    </row>
    <row r="657">
      <c r="C657" s="20"/>
      <c r="E657" s="20"/>
    </row>
    <row r="658">
      <c r="C658" s="20"/>
      <c r="E658" s="20"/>
    </row>
    <row r="659">
      <c r="C659" s="20"/>
      <c r="E659" s="20"/>
    </row>
    <row r="660">
      <c r="C660" s="20"/>
      <c r="E660" s="20"/>
    </row>
    <row r="661">
      <c r="C661" s="20"/>
      <c r="E661" s="20"/>
    </row>
    <row r="662">
      <c r="C662" s="20"/>
      <c r="E662" s="20"/>
    </row>
    <row r="663">
      <c r="C663" s="20"/>
      <c r="E663" s="20"/>
    </row>
    <row r="664">
      <c r="C664" s="20"/>
      <c r="E664" s="20"/>
    </row>
    <row r="665">
      <c r="C665" s="20"/>
      <c r="E665" s="20"/>
    </row>
    <row r="666">
      <c r="C666" s="20"/>
      <c r="E666" s="20"/>
    </row>
    <row r="667">
      <c r="C667" s="20"/>
      <c r="E667" s="20"/>
    </row>
    <row r="668">
      <c r="C668" s="20"/>
      <c r="E668" s="20"/>
    </row>
    <row r="669">
      <c r="C669" s="20"/>
      <c r="E669" s="20"/>
    </row>
    <row r="670">
      <c r="C670" s="20"/>
      <c r="E670" s="20"/>
    </row>
    <row r="671">
      <c r="C671" s="20"/>
      <c r="E671" s="20"/>
    </row>
    <row r="672">
      <c r="C672" s="20"/>
      <c r="E672" s="20"/>
    </row>
    <row r="673">
      <c r="C673" s="20"/>
      <c r="E673" s="20"/>
    </row>
    <row r="674">
      <c r="C674" s="20"/>
      <c r="E674" s="20"/>
    </row>
    <row r="675">
      <c r="C675" s="20"/>
      <c r="E675" s="20"/>
    </row>
    <row r="676">
      <c r="C676" s="20"/>
      <c r="E676" s="20"/>
    </row>
    <row r="677">
      <c r="C677" s="20"/>
      <c r="E677" s="20"/>
    </row>
    <row r="678">
      <c r="C678" s="20"/>
      <c r="E678" s="20"/>
    </row>
    <row r="679">
      <c r="C679" s="20"/>
      <c r="E679" s="20"/>
    </row>
    <row r="680">
      <c r="C680" s="20"/>
      <c r="E680" s="20"/>
    </row>
    <row r="681">
      <c r="C681" s="20"/>
      <c r="E681" s="20"/>
    </row>
    <row r="682">
      <c r="C682" s="20"/>
      <c r="E682" s="20"/>
    </row>
    <row r="683">
      <c r="C683" s="20"/>
      <c r="E683" s="20"/>
    </row>
    <row r="684">
      <c r="C684" s="20"/>
      <c r="E684" s="20"/>
    </row>
    <row r="685">
      <c r="C685" s="20"/>
      <c r="E685" s="20"/>
    </row>
    <row r="686">
      <c r="C686" s="20"/>
      <c r="E686" s="20"/>
    </row>
    <row r="687">
      <c r="C687" s="20"/>
      <c r="E687" s="20"/>
    </row>
    <row r="688">
      <c r="C688" s="20"/>
      <c r="E688" s="20"/>
    </row>
    <row r="689">
      <c r="C689" s="20"/>
      <c r="E689" s="20"/>
    </row>
    <row r="690">
      <c r="C690" s="20"/>
      <c r="E690" s="20"/>
    </row>
    <row r="691">
      <c r="C691" s="20"/>
      <c r="E691" s="20"/>
    </row>
    <row r="692">
      <c r="C692" s="20"/>
      <c r="E692" s="20"/>
    </row>
    <row r="693">
      <c r="C693" s="20"/>
      <c r="E693" s="20"/>
    </row>
    <row r="694">
      <c r="C694" s="20"/>
      <c r="E694" s="20"/>
    </row>
    <row r="695">
      <c r="C695" s="20"/>
      <c r="E695" s="20"/>
    </row>
    <row r="696">
      <c r="C696" s="20"/>
      <c r="E696" s="20"/>
    </row>
    <row r="697">
      <c r="C697" s="20"/>
      <c r="E697" s="20"/>
    </row>
    <row r="698">
      <c r="C698" s="20"/>
      <c r="E698" s="20"/>
    </row>
    <row r="699">
      <c r="C699" s="20"/>
      <c r="E699" s="20"/>
    </row>
    <row r="700">
      <c r="C700" s="20"/>
      <c r="E700" s="20"/>
    </row>
    <row r="701">
      <c r="C701" s="20"/>
      <c r="E701" s="20"/>
    </row>
    <row r="702">
      <c r="C702" s="20"/>
      <c r="E702" s="20"/>
    </row>
    <row r="703">
      <c r="C703" s="20"/>
      <c r="E703" s="20"/>
    </row>
    <row r="704">
      <c r="C704" s="20"/>
      <c r="E704" s="20"/>
    </row>
    <row r="705">
      <c r="C705" s="20"/>
      <c r="E705" s="20"/>
    </row>
    <row r="706">
      <c r="C706" s="20"/>
      <c r="E706" s="20"/>
    </row>
    <row r="707">
      <c r="C707" s="20"/>
      <c r="E707" s="20"/>
    </row>
    <row r="708">
      <c r="C708" s="20"/>
      <c r="E708" s="20"/>
    </row>
    <row r="709">
      <c r="C709" s="20"/>
      <c r="E709" s="20"/>
    </row>
    <row r="710">
      <c r="C710" s="20"/>
      <c r="E710" s="20"/>
    </row>
    <row r="711">
      <c r="C711" s="20"/>
      <c r="E711" s="20"/>
    </row>
    <row r="712">
      <c r="C712" s="20"/>
      <c r="E712" s="20"/>
    </row>
    <row r="713">
      <c r="C713" s="20"/>
      <c r="E713" s="20"/>
    </row>
    <row r="714">
      <c r="C714" s="20"/>
      <c r="E714" s="20"/>
    </row>
    <row r="715">
      <c r="C715" s="20"/>
      <c r="E715" s="20"/>
    </row>
    <row r="716">
      <c r="C716" s="20"/>
      <c r="E716" s="20"/>
    </row>
    <row r="717">
      <c r="C717" s="20"/>
      <c r="E717" s="20"/>
    </row>
    <row r="718">
      <c r="C718" s="20"/>
      <c r="E718" s="20"/>
    </row>
    <row r="719">
      <c r="C719" s="20"/>
      <c r="E719" s="20"/>
    </row>
    <row r="720">
      <c r="C720" s="20"/>
      <c r="E720" s="20"/>
    </row>
    <row r="721">
      <c r="C721" s="20"/>
      <c r="E721" s="20"/>
    </row>
    <row r="722">
      <c r="C722" s="20"/>
      <c r="E722" s="20"/>
    </row>
    <row r="723">
      <c r="C723" s="20"/>
      <c r="E723" s="20"/>
    </row>
    <row r="724">
      <c r="C724" s="20"/>
      <c r="E724" s="20"/>
    </row>
    <row r="725">
      <c r="C725" s="20"/>
      <c r="E725" s="20"/>
    </row>
    <row r="726">
      <c r="C726" s="20"/>
      <c r="E726" s="20"/>
    </row>
    <row r="727">
      <c r="C727" s="20"/>
      <c r="E727" s="20"/>
    </row>
    <row r="728">
      <c r="C728" s="20"/>
      <c r="E728" s="20"/>
    </row>
    <row r="729">
      <c r="C729" s="20"/>
      <c r="E729" s="20"/>
    </row>
    <row r="730">
      <c r="C730" s="20"/>
      <c r="E730" s="20"/>
    </row>
    <row r="731">
      <c r="C731" s="20"/>
      <c r="E731" s="20"/>
    </row>
    <row r="732">
      <c r="C732" s="20"/>
      <c r="E732" s="20"/>
    </row>
    <row r="733">
      <c r="C733" s="20"/>
      <c r="E733" s="20"/>
    </row>
    <row r="734">
      <c r="C734" s="20"/>
      <c r="E734" s="20"/>
    </row>
    <row r="735">
      <c r="C735" s="20"/>
      <c r="E735" s="20"/>
    </row>
    <row r="736">
      <c r="C736" s="20"/>
      <c r="E736" s="20"/>
    </row>
    <row r="737">
      <c r="C737" s="20"/>
      <c r="E737" s="20"/>
    </row>
    <row r="738">
      <c r="C738" s="20"/>
      <c r="E738" s="20"/>
    </row>
    <row r="739">
      <c r="C739" s="20"/>
      <c r="E739" s="20"/>
    </row>
    <row r="740">
      <c r="C740" s="20"/>
      <c r="E740" s="20"/>
    </row>
    <row r="741">
      <c r="C741" s="20"/>
      <c r="E741" s="20"/>
    </row>
    <row r="742">
      <c r="C742" s="20"/>
      <c r="E742" s="20"/>
    </row>
    <row r="743">
      <c r="C743" s="20"/>
      <c r="E743" s="20"/>
    </row>
    <row r="744">
      <c r="C744" s="20"/>
      <c r="E744" s="20"/>
    </row>
    <row r="745">
      <c r="C745" s="20"/>
      <c r="E745" s="20"/>
    </row>
    <row r="746">
      <c r="C746" s="20"/>
      <c r="E746" s="20"/>
    </row>
    <row r="747">
      <c r="C747" s="20"/>
      <c r="E747" s="20"/>
    </row>
    <row r="748">
      <c r="C748" s="20"/>
      <c r="E748" s="20"/>
    </row>
    <row r="749">
      <c r="C749" s="20"/>
      <c r="E749" s="20"/>
    </row>
    <row r="750">
      <c r="C750" s="20"/>
      <c r="E750" s="20"/>
    </row>
    <row r="751">
      <c r="C751" s="20"/>
      <c r="E751" s="20"/>
    </row>
    <row r="752">
      <c r="C752" s="20"/>
      <c r="E752" s="20"/>
    </row>
    <row r="753">
      <c r="C753" s="20"/>
      <c r="E753" s="20"/>
    </row>
    <row r="754">
      <c r="C754" s="20"/>
      <c r="E754" s="20"/>
    </row>
    <row r="755">
      <c r="C755" s="20"/>
      <c r="E755" s="20"/>
    </row>
    <row r="756">
      <c r="C756" s="20"/>
      <c r="E756" s="20"/>
    </row>
    <row r="757">
      <c r="C757" s="20"/>
      <c r="E757" s="20"/>
    </row>
    <row r="758">
      <c r="C758" s="20"/>
      <c r="E758" s="20"/>
    </row>
    <row r="759">
      <c r="C759" s="20"/>
      <c r="E759" s="20"/>
    </row>
    <row r="760">
      <c r="C760" s="20"/>
      <c r="E760" s="20"/>
    </row>
    <row r="761">
      <c r="C761" s="20"/>
      <c r="E761" s="20"/>
    </row>
    <row r="762">
      <c r="C762" s="20"/>
      <c r="E762" s="20"/>
    </row>
    <row r="763">
      <c r="C763" s="20"/>
      <c r="E763" s="20"/>
    </row>
    <row r="764">
      <c r="C764" s="20"/>
      <c r="E764" s="20"/>
    </row>
    <row r="765">
      <c r="C765" s="20"/>
      <c r="E765" s="20"/>
    </row>
    <row r="766">
      <c r="C766" s="20"/>
      <c r="E766" s="20"/>
    </row>
    <row r="767">
      <c r="C767" s="20"/>
      <c r="E767" s="20"/>
    </row>
    <row r="768">
      <c r="C768" s="20"/>
      <c r="E768" s="20"/>
    </row>
    <row r="769">
      <c r="C769" s="20"/>
      <c r="E769" s="20"/>
    </row>
    <row r="770">
      <c r="C770" s="20"/>
      <c r="E770" s="20"/>
    </row>
    <row r="771">
      <c r="C771" s="20"/>
      <c r="E771" s="20"/>
    </row>
    <row r="772">
      <c r="C772" s="20"/>
      <c r="E772" s="20"/>
    </row>
    <row r="773">
      <c r="C773" s="20"/>
      <c r="E773" s="20"/>
    </row>
    <row r="774">
      <c r="C774" s="20"/>
      <c r="E774" s="20"/>
    </row>
    <row r="775">
      <c r="C775" s="20"/>
      <c r="E775" s="20"/>
    </row>
    <row r="776">
      <c r="C776" s="20"/>
      <c r="E776" s="20"/>
    </row>
    <row r="777">
      <c r="C777" s="20"/>
      <c r="E777" s="20"/>
    </row>
    <row r="778">
      <c r="C778" s="20"/>
      <c r="E778" s="20"/>
    </row>
    <row r="779">
      <c r="C779" s="20"/>
      <c r="E779" s="20"/>
    </row>
    <row r="780">
      <c r="C780" s="20"/>
      <c r="E780" s="20"/>
    </row>
    <row r="781">
      <c r="C781" s="20"/>
      <c r="E781" s="20"/>
    </row>
    <row r="782">
      <c r="C782" s="20"/>
      <c r="E782" s="20"/>
    </row>
    <row r="783">
      <c r="C783" s="20"/>
      <c r="E783" s="20"/>
    </row>
    <row r="784">
      <c r="C784" s="20"/>
      <c r="E784" s="20"/>
    </row>
    <row r="785">
      <c r="C785" s="20"/>
      <c r="E785" s="20"/>
    </row>
    <row r="786">
      <c r="C786" s="20"/>
      <c r="E786" s="20"/>
    </row>
    <row r="787">
      <c r="C787" s="20"/>
      <c r="E787" s="20"/>
    </row>
    <row r="788">
      <c r="C788" s="20"/>
      <c r="E788" s="20"/>
    </row>
    <row r="789">
      <c r="C789" s="20"/>
      <c r="E789" s="20"/>
    </row>
    <row r="790">
      <c r="C790" s="20"/>
      <c r="E790" s="20"/>
    </row>
    <row r="791">
      <c r="C791" s="20"/>
      <c r="E791" s="20"/>
    </row>
    <row r="792">
      <c r="C792" s="20"/>
      <c r="E792" s="20"/>
    </row>
    <row r="793">
      <c r="C793" s="20"/>
      <c r="E793" s="20"/>
    </row>
    <row r="794">
      <c r="C794" s="20"/>
      <c r="E794" s="20"/>
    </row>
    <row r="795">
      <c r="C795" s="20"/>
      <c r="E795" s="20"/>
    </row>
    <row r="796">
      <c r="C796" s="20"/>
      <c r="E796" s="20"/>
    </row>
    <row r="797">
      <c r="C797" s="20"/>
      <c r="E797" s="20"/>
    </row>
    <row r="798">
      <c r="C798" s="20"/>
      <c r="E798" s="20"/>
    </row>
    <row r="799">
      <c r="C799" s="20"/>
      <c r="E799" s="20"/>
    </row>
    <row r="800">
      <c r="C800" s="20"/>
      <c r="E800" s="20"/>
    </row>
    <row r="801">
      <c r="C801" s="20"/>
      <c r="E801" s="20"/>
    </row>
    <row r="802">
      <c r="C802" s="20"/>
      <c r="E802" s="20"/>
    </row>
    <row r="803">
      <c r="C803" s="20"/>
      <c r="E803" s="20"/>
    </row>
    <row r="804">
      <c r="C804" s="20"/>
      <c r="E804" s="20"/>
    </row>
    <row r="805">
      <c r="C805" s="20"/>
      <c r="E805" s="20"/>
    </row>
    <row r="806">
      <c r="C806" s="20"/>
      <c r="E806" s="20"/>
    </row>
    <row r="807">
      <c r="C807" s="20"/>
      <c r="E807" s="20"/>
    </row>
    <row r="808">
      <c r="C808" s="20"/>
      <c r="E808" s="20"/>
    </row>
    <row r="809">
      <c r="C809" s="20"/>
      <c r="E809" s="20"/>
    </row>
    <row r="810">
      <c r="C810" s="20"/>
      <c r="E810" s="20"/>
    </row>
    <row r="811">
      <c r="C811" s="20"/>
      <c r="E811" s="20"/>
    </row>
    <row r="812">
      <c r="C812" s="20"/>
      <c r="E812" s="20"/>
    </row>
    <row r="813">
      <c r="C813" s="20"/>
      <c r="E813" s="20"/>
    </row>
    <row r="814">
      <c r="C814" s="20"/>
      <c r="E814" s="20"/>
    </row>
    <row r="815">
      <c r="C815" s="20"/>
      <c r="E815" s="20"/>
    </row>
    <row r="816">
      <c r="C816" s="20"/>
      <c r="E816" s="20"/>
    </row>
    <row r="817">
      <c r="C817" s="20"/>
      <c r="E817" s="20"/>
    </row>
    <row r="818">
      <c r="C818" s="20"/>
      <c r="E818" s="20"/>
    </row>
    <row r="819">
      <c r="C819" s="20"/>
      <c r="E819" s="20"/>
    </row>
    <row r="820">
      <c r="C820" s="20"/>
      <c r="E820" s="20"/>
    </row>
    <row r="821">
      <c r="C821" s="20"/>
      <c r="E821" s="20"/>
    </row>
    <row r="822">
      <c r="C822" s="20"/>
      <c r="E822" s="20"/>
    </row>
    <row r="823">
      <c r="C823" s="20"/>
      <c r="E823" s="20"/>
    </row>
    <row r="824">
      <c r="C824" s="20"/>
      <c r="E824" s="20"/>
    </row>
    <row r="825">
      <c r="C825" s="20"/>
      <c r="E825" s="20"/>
    </row>
    <row r="826">
      <c r="C826" s="20"/>
      <c r="E826" s="20"/>
    </row>
    <row r="827">
      <c r="C827" s="20"/>
      <c r="E827" s="20"/>
    </row>
    <row r="828">
      <c r="C828" s="20"/>
      <c r="E828" s="20"/>
    </row>
    <row r="829">
      <c r="C829" s="20"/>
      <c r="E829" s="20"/>
    </row>
    <row r="830">
      <c r="C830" s="20"/>
      <c r="E830" s="20"/>
    </row>
    <row r="831">
      <c r="C831" s="20"/>
      <c r="E831" s="20"/>
    </row>
    <row r="832">
      <c r="C832" s="20"/>
      <c r="E832" s="20"/>
    </row>
    <row r="833">
      <c r="C833" s="20"/>
      <c r="E833" s="20"/>
    </row>
    <row r="834">
      <c r="C834" s="20"/>
      <c r="E834" s="20"/>
    </row>
    <row r="835">
      <c r="C835" s="20"/>
      <c r="E835" s="20"/>
    </row>
    <row r="836">
      <c r="C836" s="20"/>
      <c r="E836" s="20"/>
    </row>
    <row r="837">
      <c r="C837" s="20"/>
      <c r="E837" s="20"/>
    </row>
    <row r="838">
      <c r="C838" s="20"/>
      <c r="E838" s="20"/>
    </row>
    <row r="839">
      <c r="C839" s="20"/>
      <c r="E839" s="20"/>
    </row>
    <row r="840">
      <c r="C840" s="20"/>
      <c r="E840" s="20"/>
    </row>
    <row r="841">
      <c r="C841" s="20"/>
      <c r="E841" s="20"/>
    </row>
    <row r="842">
      <c r="C842" s="20"/>
      <c r="E842" s="20"/>
    </row>
    <row r="843">
      <c r="C843" s="20"/>
      <c r="E843" s="20"/>
    </row>
    <row r="844">
      <c r="C844" s="20"/>
      <c r="E844" s="20"/>
    </row>
    <row r="845">
      <c r="C845" s="20"/>
      <c r="E845" s="20"/>
    </row>
    <row r="846">
      <c r="C846" s="20"/>
      <c r="E846" s="20"/>
    </row>
    <row r="847">
      <c r="C847" s="20"/>
      <c r="E847" s="20"/>
    </row>
    <row r="848">
      <c r="C848" s="20"/>
      <c r="E848" s="20"/>
    </row>
    <row r="849">
      <c r="C849" s="20"/>
      <c r="E849" s="20"/>
    </row>
    <row r="850">
      <c r="C850" s="20"/>
      <c r="E850" s="20"/>
    </row>
    <row r="851">
      <c r="C851" s="20"/>
      <c r="E851" s="20"/>
    </row>
    <row r="852">
      <c r="C852" s="20"/>
      <c r="E852" s="20"/>
    </row>
    <row r="853">
      <c r="C853" s="20"/>
      <c r="E853" s="20"/>
    </row>
    <row r="854">
      <c r="C854" s="20"/>
      <c r="E854" s="20"/>
    </row>
    <row r="855">
      <c r="C855" s="20"/>
      <c r="E855" s="20"/>
    </row>
    <row r="856">
      <c r="C856" s="20"/>
      <c r="E856" s="20"/>
    </row>
    <row r="857">
      <c r="C857" s="20"/>
      <c r="E857" s="20"/>
    </row>
    <row r="858">
      <c r="C858" s="20"/>
      <c r="E858" s="20"/>
    </row>
    <row r="859">
      <c r="C859" s="20"/>
      <c r="E859" s="20"/>
    </row>
    <row r="860">
      <c r="C860" s="20"/>
      <c r="E860" s="20"/>
    </row>
    <row r="861">
      <c r="C861" s="20"/>
      <c r="E861" s="20"/>
    </row>
    <row r="862">
      <c r="C862" s="20"/>
      <c r="E862" s="20"/>
    </row>
    <row r="863">
      <c r="C863" s="20"/>
      <c r="E863" s="20"/>
    </row>
    <row r="864">
      <c r="C864" s="20"/>
      <c r="E864" s="20"/>
    </row>
    <row r="865">
      <c r="C865" s="20"/>
      <c r="E865" s="20"/>
    </row>
    <row r="866">
      <c r="C866" s="20"/>
      <c r="E866" s="20"/>
    </row>
    <row r="867">
      <c r="C867" s="20"/>
      <c r="E867" s="20"/>
    </row>
    <row r="868">
      <c r="C868" s="20"/>
      <c r="E868" s="20"/>
    </row>
    <row r="869">
      <c r="C869" s="20"/>
      <c r="E869" s="20"/>
    </row>
    <row r="870">
      <c r="C870" s="20"/>
      <c r="E870" s="20"/>
    </row>
    <row r="871">
      <c r="C871" s="20"/>
      <c r="E871" s="20"/>
    </row>
    <row r="872">
      <c r="C872" s="20"/>
      <c r="E872" s="20"/>
    </row>
    <row r="873">
      <c r="C873" s="20"/>
      <c r="E873" s="20"/>
    </row>
    <row r="874">
      <c r="C874" s="20"/>
      <c r="E874" s="20"/>
    </row>
    <row r="875">
      <c r="C875" s="20"/>
      <c r="E875" s="20"/>
    </row>
    <row r="876">
      <c r="C876" s="20"/>
      <c r="E876" s="20"/>
    </row>
    <row r="877">
      <c r="C877" s="20"/>
      <c r="E877" s="20"/>
    </row>
    <row r="878">
      <c r="C878" s="20"/>
      <c r="E878" s="20"/>
    </row>
    <row r="879">
      <c r="C879" s="20"/>
      <c r="E879" s="20"/>
    </row>
    <row r="880">
      <c r="C880" s="20"/>
      <c r="E880" s="20"/>
    </row>
    <row r="881">
      <c r="C881" s="20"/>
      <c r="E881" s="20"/>
    </row>
    <row r="882">
      <c r="C882" s="20"/>
      <c r="E882" s="20"/>
    </row>
    <row r="883">
      <c r="C883" s="20"/>
      <c r="E883" s="20"/>
    </row>
    <row r="884">
      <c r="C884" s="20"/>
      <c r="E884" s="20"/>
    </row>
    <row r="885">
      <c r="C885" s="20"/>
      <c r="E885" s="20"/>
    </row>
    <row r="886">
      <c r="C886" s="20"/>
      <c r="E886" s="20"/>
    </row>
    <row r="887">
      <c r="C887" s="20"/>
      <c r="E887" s="20"/>
    </row>
    <row r="888">
      <c r="C888" s="20"/>
      <c r="E888" s="20"/>
    </row>
    <row r="889">
      <c r="C889" s="20"/>
      <c r="E889" s="20"/>
    </row>
    <row r="890">
      <c r="C890" s="20"/>
      <c r="E890" s="20"/>
    </row>
    <row r="891">
      <c r="C891" s="20"/>
      <c r="E891" s="20"/>
    </row>
    <row r="892">
      <c r="C892" s="20"/>
      <c r="E892" s="20"/>
    </row>
    <row r="893">
      <c r="C893" s="20"/>
      <c r="E893" s="20"/>
    </row>
    <row r="894">
      <c r="C894" s="20"/>
      <c r="E894" s="20"/>
    </row>
    <row r="895">
      <c r="C895" s="20"/>
      <c r="E895" s="20"/>
    </row>
    <row r="896">
      <c r="C896" s="20"/>
      <c r="E896" s="20"/>
    </row>
    <row r="897">
      <c r="C897" s="20"/>
      <c r="E897" s="20"/>
    </row>
    <row r="898">
      <c r="C898" s="20"/>
      <c r="E898" s="20"/>
    </row>
    <row r="899">
      <c r="C899" s="20"/>
      <c r="E899" s="20"/>
    </row>
    <row r="900">
      <c r="C900" s="20"/>
      <c r="E900" s="20"/>
    </row>
    <row r="901">
      <c r="C901" s="20"/>
      <c r="E901" s="20"/>
    </row>
    <row r="902">
      <c r="C902" s="20"/>
      <c r="E902" s="20"/>
    </row>
    <row r="903">
      <c r="C903" s="20"/>
      <c r="E903" s="20"/>
    </row>
    <row r="904">
      <c r="C904" s="20"/>
      <c r="E904" s="20"/>
    </row>
    <row r="905">
      <c r="C905" s="20"/>
      <c r="E905" s="20"/>
    </row>
    <row r="906">
      <c r="C906" s="20"/>
      <c r="E906" s="20"/>
    </row>
    <row r="907">
      <c r="C907" s="20"/>
      <c r="E907" s="20"/>
    </row>
    <row r="908">
      <c r="C908" s="20"/>
      <c r="E908" s="20"/>
    </row>
    <row r="909">
      <c r="C909" s="20"/>
      <c r="E909" s="20"/>
    </row>
    <row r="910">
      <c r="C910" s="20"/>
      <c r="E910" s="20"/>
    </row>
    <row r="911">
      <c r="C911" s="20"/>
      <c r="E911" s="20"/>
    </row>
    <row r="912">
      <c r="C912" s="20"/>
      <c r="E912" s="20"/>
    </row>
    <row r="913">
      <c r="C913" s="20"/>
      <c r="E913" s="20"/>
    </row>
    <row r="914">
      <c r="C914" s="20"/>
      <c r="E914" s="20"/>
    </row>
    <row r="915">
      <c r="C915" s="20"/>
      <c r="E915" s="20"/>
    </row>
    <row r="916">
      <c r="C916" s="20"/>
      <c r="E916" s="20"/>
    </row>
    <row r="917">
      <c r="C917" s="20"/>
      <c r="E917" s="20"/>
    </row>
    <row r="918">
      <c r="C918" s="20"/>
      <c r="E918" s="20"/>
    </row>
    <row r="919">
      <c r="C919" s="20"/>
      <c r="E919" s="20"/>
    </row>
    <row r="920">
      <c r="C920" s="20"/>
      <c r="E920" s="20"/>
    </row>
    <row r="921">
      <c r="C921" s="20"/>
      <c r="E921" s="20"/>
    </row>
    <row r="922">
      <c r="C922" s="20"/>
      <c r="E922" s="20"/>
    </row>
    <row r="923">
      <c r="C923" s="20"/>
      <c r="E923" s="20"/>
    </row>
    <row r="924">
      <c r="C924" s="20"/>
      <c r="E924" s="20"/>
    </row>
    <row r="925">
      <c r="C925" s="20"/>
      <c r="E925" s="20"/>
    </row>
    <row r="926">
      <c r="C926" s="20"/>
      <c r="E926" s="20"/>
    </row>
    <row r="927">
      <c r="C927" s="20"/>
      <c r="E927" s="20"/>
    </row>
    <row r="928">
      <c r="C928" s="20"/>
      <c r="E928" s="20"/>
    </row>
    <row r="929">
      <c r="C929" s="20"/>
      <c r="E929" s="20"/>
    </row>
    <row r="930">
      <c r="C930" s="20"/>
      <c r="E930" s="20"/>
    </row>
    <row r="931">
      <c r="C931" s="20"/>
      <c r="E931" s="20"/>
    </row>
    <row r="932">
      <c r="C932" s="20"/>
      <c r="E932" s="20"/>
    </row>
    <row r="933">
      <c r="C933" s="20"/>
      <c r="E933" s="20"/>
    </row>
    <row r="934">
      <c r="C934" s="20"/>
      <c r="E934" s="20"/>
    </row>
    <row r="935">
      <c r="C935" s="20"/>
      <c r="E935" s="20"/>
    </row>
    <row r="936">
      <c r="C936" s="20"/>
      <c r="E936" s="20"/>
    </row>
    <row r="937">
      <c r="C937" s="20"/>
      <c r="E937" s="20"/>
    </row>
    <row r="938">
      <c r="C938" s="20"/>
      <c r="E938" s="20"/>
    </row>
    <row r="939">
      <c r="C939" s="20"/>
      <c r="E939" s="20"/>
    </row>
    <row r="940">
      <c r="C940" s="20"/>
      <c r="E940" s="20"/>
    </row>
    <row r="941">
      <c r="C941" s="20"/>
      <c r="E941" s="20"/>
    </row>
    <row r="942">
      <c r="C942" s="20"/>
      <c r="E942" s="20"/>
    </row>
    <row r="943">
      <c r="C943" s="20"/>
      <c r="E943" s="20"/>
    </row>
    <row r="944">
      <c r="C944" s="20"/>
      <c r="E944" s="20"/>
    </row>
    <row r="945">
      <c r="C945" s="20"/>
      <c r="E945" s="20"/>
    </row>
    <row r="946">
      <c r="C946" s="20"/>
      <c r="E946" s="20"/>
    </row>
    <row r="947">
      <c r="C947" s="20"/>
      <c r="E947" s="20"/>
    </row>
    <row r="948">
      <c r="C948" s="20"/>
      <c r="E948" s="20"/>
    </row>
    <row r="949">
      <c r="C949" s="20"/>
      <c r="E949" s="20"/>
    </row>
    <row r="950">
      <c r="C950" s="20"/>
      <c r="E950" s="20"/>
    </row>
    <row r="951">
      <c r="C951" s="20"/>
      <c r="E951" s="20"/>
    </row>
    <row r="952">
      <c r="C952" s="20"/>
      <c r="E952" s="20"/>
    </row>
    <row r="953">
      <c r="C953" s="20"/>
      <c r="E953" s="20"/>
    </row>
    <row r="954">
      <c r="C954" s="20"/>
      <c r="E954" s="20"/>
    </row>
    <row r="955">
      <c r="C955" s="20"/>
      <c r="E955" s="20"/>
    </row>
    <row r="956">
      <c r="C956" s="20"/>
      <c r="E956" s="20"/>
    </row>
    <row r="957">
      <c r="C957" s="20"/>
      <c r="E957" s="20"/>
    </row>
    <row r="958">
      <c r="C958" s="20"/>
      <c r="E958" s="20"/>
    </row>
    <row r="959">
      <c r="C959" s="20"/>
      <c r="E959" s="20"/>
    </row>
    <row r="960">
      <c r="C960" s="20"/>
      <c r="E960" s="20"/>
    </row>
    <row r="961">
      <c r="C961" s="20"/>
      <c r="E961" s="20"/>
    </row>
    <row r="962">
      <c r="C962" s="20"/>
      <c r="E962" s="20"/>
    </row>
    <row r="963">
      <c r="C963" s="20"/>
      <c r="E963" s="20"/>
    </row>
    <row r="964">
      <c r="C964" s="20"/>
      <c r="E964" s="20"/>
    </row>
    <row r="965">
      <c r="C965" s="20"/>
      <c r="E965" s="20"/>
    </row>
    <row r="966">
      <c r="C966" s="20"/>
      <c r="E966" s="20"/>
    </row>
    <row r="967">
      <c r="C967" s="20"/>
      <c r="E967" s="20"/>
    </row>
    <row r="968">
      <c r="C968" s="20"/>
      <c r="E968" s="20"/>
    </row>
    <row r="969">
      <c r="C969" s="20"/>
      <c r="E969" s="20"/>
    </row>
    <row r="970">
      <c r="C970" s="20"/>
      <c r="E970" s="20"/>
    </row>
    <row r="971">
      <c r="C971" s="20"/>
      <c r="E971" s="20"/>
    </row>
    <row r="972">
      <c r="C972" s="20"/>
      <c r="E972" s="20"/>
    </row>
    <row r="973">
      <c r="C973" s="20"/>
      <c r="E973" s="20"/>
    </row>
    <row r="974">
      <c r="C974" s="20"/>
      <c r="E974" s="20"/>
    </row>
    <row r="975">
      <c r="C975" s="20"/>
      <c r="E975" s="20"/>
    </row>
    <row r="976">
      <c r="C976" s="20"/>
      <c r="E976" s="20"/>
    </row>
    <row r="977">
      <c r="C977" s="20"/>
      <c r="E977" s="20"/>
    </row>
  </sheetData>
  <customSheetViews>
    <customSheetView guid="{EC756369-F323-4846-BCBF-E8CDEAA2C4FF}" filter="1" showAutoFilter="1">
      <autoFilter ref="$A$1:$I$64">
        <filterColumn colId="3">
          <filters>
            <filter val="FREIRES"/>
            <filter val="Eric"/>
            <filter val="Maylson"/>
            <filter val="GALVÃO"/>
            <filter val="Evandro"/>
            <filter val="BEATRIZ"/>
            <filter val="SESMT"/>
            <filter val="ROBERTO"/>
            <filter val="MAYLSON"/>
            <filter val="ERIC"/>
            <filter val="Manutenção"/>
            <filter val="ÉRICA"/>
            <filter val="ERICA"/>
            <filter val="MARCOS V"/>
            <filter val="RAFAEL"/>
          </filters>
        </filterColumn>
        <filterColumn colId="8">
          <filters blank="1"/>
        </filterColumn>
      </autoFilter>
    </customSheetView>
  </customSheetViews>
  <dataValidations>
    <dataValidation type="list" allowBlank="1" showErrorMessage="1" sqref="E2:E44">
      <formula1>"SISTEMA,LOCALIZAÇÃO"</formula1>
    </dataValidation>
  </dataValidation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25"/>
    <col customWidth="1" min="2" max="2" width="59.5"/>
    <col customWidth="1" min="5" max="5" width="81.38"/>
  </cols>
  <sheetData>
    <row r="1">
      <c r="A1" s="21" t="s">
        <v>116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>
      <c r="A2" s="22" t="s">
        <v>5</v>
      </c>
      <c r="B2" s="22" t="s">
        <v>117</v>
      </c>
      <c r="C2" s="23" t="s">
        <v>118</v>
      </c>
      <c r="E2" s="19" t="s">
        <v>119</v>
      </c>
      <c r="F2" s="19" t="s">
        <v>120</v>
      </c>
    </row>
    <row r="3" ht="36.0" customHeight="1">
      <c r="A3" s="24" t="s">
        <v>121</v>
      </c>
      <c r="B3" s="25" t="s">
        <v>122</v>
      </c>
      <c r="C3" s="26"/>
      <c r="E3" s="27" t="s">
        <v>123</v>
      </c>
      <c r="F3" s="28">
        <v>8.0</v>
      </c>
    </row>
    <row r="4" ht="36.0" customHeight="1">
      <c r="A4" s="24" t="s">
        <v>121</v>
      </c>
      <c r="B4" s="25" t="s">
        <v>124</v>
      </c>
      <c r="C4" s="26"/>
      <c r="E4" s="27" t="s">
        <v>125</v>
      </c>
      <c r="F4" s="28">
        <v>22.538</v>
      </c>
    </row>
    <row r="5" ht="36.0" customHeight="1">
      <c r="A5" s="24" t="s">
        <v>121</v>
      </c>
      <c r="B5" s="25" t="s">
        <v>126</v>
      </c>
      <c r="C5" s="26"/>
      <c r="E5" s="27" t="s">
        <v>127</v>
      </c>
      <c r="F5" s="28">
        <v>9.1</v>
      </c>
    </row>
    <row r="6" ht="36.0" customHeight="1">
      <c r="A6" s="24" t="s">
        <v>121</v>
      </c>
      <c r="B6" s="25" t="s">
        <v>128</v>
      </c>
      <c r="C6" s="26"/>
      <c r="E6" s="27" t="s">
        <v>129</v>
      </c>
      <c r="F6" s="28">
        <v>0.203</v>
      </c>
    </row>
    <row r="7" ht="36.0" customHeight="1">
      <c r="A7" s="24" t="s">
        <v>121</v>
      </c>
      <c r="B7" s="25" t="s">
        <v>130</v>
      </c>
      <c r="C7" s="26"/>
      <c r="E7" s="27" t="s">
        <v>131</v>
      </c>
      <c r="F7" s="28">
        <v>0.006</v>
      </c>
    </row>
    <row r="8" ht="36.0" customHeight="1">
      <c r="A8" s="24" t="s">
        <v>121</v>
      </c>
      <c r="B8" s="25" t="s">
        <v>132</v>
      </c>
      <c r="C8" s="26"/>
      <c r="E8" s="27" t="s">
        <v>133</v>
      </c>
      <c r="F8" s="28">
        <v>6.358</v>
      </c>
    </row>
    <row r="9" ht="36.0" customHeight="1">
      <c r="A9" s="24" t="s">
        <v>121</v>
      </c>
      <c r="B9" s="25" t="s">
        <v>134</v>
      </c>
      <c r="C9" s="26"/>
      <c r="E9" s="27" t="s">
        <v>135</v>
      </c>
      <c r="F9" s="28">
        <v>0.002</v>
      </c>
    </row>
    <row r="10" ht="36.0" customHeight="1">
      <c r="A10" s="24" t="s">
        <v>121</v>
      </c>
      <c r="B10" s="25" t="s">
        <v>136</v>
      </c>
      <c r="C10" s="26"/>
      <c r="E10" s="27" t="s">
        <v>137</v>
      </c>
      <c r="F10" s="28">
        <v>0.003</v>
      </c>
    </row>
    <row r="11" ht="36.0" customHeight="1">
      <c r="A11" s="24" t="s">
        <v>121</v>
      </c>
      <c r="B11" s="25" t="s">
        <v>138</v>
      </c>
      <c r="C11" s="26"/>
      <c r="E11" s="27" t="s">
        <v>139</v>
      </c>
      <c r="F11" s="28">
        <v>0.004</v>
      </c>
    </row>
    <row r="12" ht="36.0" customHeight="1">
      <c r="A12" s="24" t="s">
        <v>121</v>
      </c>
      <c r="B12" s="25" t="s">
        <v>140</v>
      </c>
      <c r="C12" s="26"/>
      <c r="E12" s="27" t="s">
        <v>141</v>
      </c>
      <c r="F12" s="28">
        <v>8.0</v>
      </c>
    </row>
    <row r="13" ht="36.0" customHeight="1">
      <c r="A13" s="24" t="s">
        <v>121</v>
      </c>
      <c r="B13" s="25" t="s">
        <v>142</v>
      </c>
      <c r="C13" s="26"/>
      <c r="E13" s="27" t="s">
        <v>143</v>
      </c>
      <c r="F13" s="28">
        <v>2.0</v>
      </c>
    </row>
    <row r="14" ht="36.0" customHeight="1">
      <c r="A14" s="24" t="s">
        <v>121</v>
      </c>
      <c r="B14" s="25" t="s">
        <v>144</v>
      </c>
      <c r="C14" s="26"/>
      <c r="E14" s="27" t="s">
        <v>145</v>
      </c>
      <c r="F14" s="28">
        <v>10.8</v>
      </c>
    </row>
    <row r="15" ht="36.0" customHeight="1">
      <c r="A15" s="24" t="s">
        <v>121</v>
      </c>
      <c r="B15" s="25" t="s">
        <v>146</v>
      </c>
      <c r="C15" s="26"/>
      <c r="E15" s="27" t="s">
        <v>147</v>
      </c>
      <c r="F15" s="28">
        <v>1.0</v>
      </c>
    </row>
    <row r="16" ht="36.0" customHeight="1">
      <c r="A16" s="24" t="s">
        <v>121</v>
      </c>
      <c r="B16" s="25" t="s">
        <v>148</v>
      </c>
      <c r="C16" s="26"/>
      <c r="E16" s="27" t="s">
        <v>149</v>
      </c>
      <c r="F16" s="28">
        <v>1.0</v>
      </c>
    </row>
    <row r="17" ht="36.0" customHeight="1">
      <c r="A17" s="24" t="s">
        <v>121</v>
      </c>
      <c r="B17" s="25" t="s">
        <v>150</v>
      </c>
      <c r="C17" s="26"/>
      <c r="E17" s="27" t="s">
        <v>151</v>
      </c>
      <c r="F17" s="28">
        <v>500.0</v>
      </c>
    </row>
    <row r="18" ht="36.0" customHeight="1">
      <c r="A18" s="24" t="s">
        <v>121</v>
      </c>
      <c r="B18" s="25" t="s">
        <v>152</v>
      </c>
      <c r="C18" s="26"/>
      <c r="E18" s="27" t="s">
        <v>153</v>
      </c>
      <c r="F18" s="28">
        <v>2.0</v>
      </c>
    </row>
    <row r="19" ht="36.0" customHeight="1">
      <c r="A19" s="24" t="s">
        <v>121</v>
      </c>
      <c r="B19" s="25" t="s">
        <v>154</v>
      </c>
      <c r="C19" s="26"/>
      <c r="E19" s="27" t="s">
        <v>155</v>
      </c>
      <c r="F19" s="28">
        <v>1.0</v>
      </c>
    </row>
    <row r="20" ht="36.0" customHeight="1">
      <c r="A20" s="24" t="s">
        <v>121</v>
      </c>
      <c r="B20" s="25" t="s">
        <v>156</v>
      </c>
      <c r="C20" s="26"/>
      <c r="E20" s="27" t="s">
        <v>157</v>
      </c>
      <c r="F20" s="28">
        <v>2.0</v>
      </c>
    </row>
    <row r="21" ht="36.0" customHeight="1">
      <c r="A21" s="24" t="s">
        <v>121</v>
      </c>
      <c r="B21" s="25" t="s">
        <v>158</v>
      </c>
      <c r="C21" s="26"/>
      <c r="E21" s="27" t="s">
        <v>159</v>
      </c>
      <c r="F21" s="28">
        <v>5.0</v>
      </c>
    </row>
    <row r="22" ht="36.0" customHeight="1">
      <c r="A22" s="24" t="s">
        <v>121</v>
      </c>
      <c r="B22" s="25" t="s">
        <v>160</v>
      </c>
      <c r="C22" s="26"/>
      <c r="E22" s="27" t="s">
        <v>161</v>
      </c>
      <c r="F22" s="28">
        <v>2.0</v>
      </c>
    </row>
    <row r="23" ht="36.0" customHeight="1">
      <c r="A23" s="24" t="s">
        <v>121</v>
      </c>
      <c r="B23" s="25" t="s">
        <v>162</v>
      </c>
      <c r="C23" s="26"/>
      <c r="E23" s="27" t="s">
        <v>163</v>
      </c>
      <c r="F23" s="28">
        <v>5.0</v>
      </c>
    </row>
    <row r="24" ht="36.0" customHeight="1">
      <c r="A24" s="24" t="s">
        <v>121</v>
      </c>
      <c r="B24" s="25" t="s">
        <v>164</v>
      </c>
      <c r="C24" s="26"/>
      <c r="E24" s="27" t="s">
        <v>165</v>
      </c>
      <c r="F24" s="28">
        <v>8.0</v>
      </c>
    </row>
    <row r="25" ht="36.0" customHeight="1">
      <c r="A25" s="24" t="s">
        <v>121</v>
      </c>
      <c r="B25" s="25" t="s">
        <v>166</v>
      </c>
      <c r="C25" s="26"/>
      <c r="E25" s="27" t="s">
        <v>167</v>
      </c>
      <c r="F25" s="28">
        <v>1.0</v>
      </c>
    </row>
    <row r="26" ht="36.0" customHeight="1">
      <c r="A26" s="24" t="s">
        <v>121</v>
      </c>
      <c r="B26" s="25" t="s">
        <v>168</v>
      </c>
      <c r="C26" s="26"/>
      <c r="E26" s="27" t="s">
        <v>169</v>
      </c>
      <c r="F26" s="28">
        <v>1.0</v>
      </c>
    </row>
    <row r="27" ht="36.0" customHeight="1">
      <c r="A27" s="24" t="s">
        <v>121</v>
      </c>
      <c r="B27" s="25" t="s">
        <v>170</v>
      </c>
      <c r="C27" s="26"/>
      <c r="E27" s="27" t="s">
        <v>171</v>
      </c>
      <c r="F27" s="28">
        <v>1.0</v>
      </c>
    </row>
    <row r="28" ht="36.0" customHeight="1">
      <c r="A28" s="24" t="s">
        <v>121</v>
      </c>
      <c r="B28" s="25" t="s">
        <v>172</v>
      </c>
      <c r="C28" s="26"/>
      <c r="E28" s="27" t="s">
        <v>173</v>
      </c>
      <c r="F28" s="28">
        <v>1.0</v>
      </c>
    </row>
    <row r="29" ht="36.0" customHeight="1">
      <c r="A29" s="24" t="s">
        <v>121</v>
      </c>
      <c r="B29" s="25" t="s">
        <v>174</v>
      </c>
      <c r="C29" s="26"/>
      <c r="E29" s="27" t="s">
        <v>175</v>
      </c>
      <c r="F29" s="28">
        <v>2.0</v>
      </c>
    </row>
    <row r="30" ht="36.0" customHeight="1">
      <c r="A30" s="24" t="s">
        <v>121</v>
      </c>
      <c r="B30" s="25" t="s">
        <v>176</v>
      </c>
      <c r="C30" s="26"/>
      <c r="E30" s="27" t="s">
        <v>177</v>
      </c>
      <c r="F30" s="28">
        <v>2.0</v>
      </c>
    </row>
    <row r="31" ht="36.0" customHeight="1">
      <c r="A31" s="24" t="s">
        <v>121</v>
      </c>
      <c r="B31" s="25" t="s">
        <v>178</v>
      </c>
      <c r="C31" s="26"/>
      <c r="E31" s="27" t="s">
        <v>179</v>
      </c>
      <c r="F31" s="28">
        <v>4.0</v>
      </c>
    </row>
    <row r="32" ht="36.0" customHeight="1">
      <c r="A32" s="24" t="s">
        <v>121</v>
      </c>
      <c r="B32" s="25" t="s">
        <v>180</v>
      </c>
      <c r="C32" s="26"/>
      <c r="E32" s="27" t="s">
        <v>181</v>
      </c>
      <c r="F32" s="28">
        <v>1.0</v>
      </c>
    </row>
    <row r="33" ht="36.0" customHeight="1">
      <c r="A33" s="24" t="s">
        <v>121</v>
      </c>
      <c r="B33" s="25" t="s">
        <v>182</v>
      </c>
      <c r="C33" s="26"/>
      <c r="E33" s="27" t="s">
        <v>183</v>
      </c>
      <c r="F33" s="28">
        <v>10.0</v>
      </c>
    </row>
    <row r="34" ht="36.0" customHeight="1">
      <c r="A34" s="24" t="s">
        <v>121</v>
      </c>
      <c r="B34" s="25" t="s">
        <v>184</v>
      </c>
      <c r="C34" s="26"/>
      <c r="E34" s="27" t="s">
        <v>185</v>
      </c>
      <c r="F34" s="28">
        <v>20.0</v>
      </c>
    </row>
    <row r="35" ht="36.0" customHeight="1">
      <c r="A35" s="24" t="s">
        <v>121</v>
      </c>
      <c r="B35" s="25" t="s">
        <v>186</v>
      </c>
      <c r="C35" s="26"/>
      <c r="E35" s="27" t="s">
        <v>187</v>
      </c>
      <c r="F35" s="28">
        <v>20.0</v>
      </c>
    </row>
    <row r="36" ht="36.0" customHeight="1">
      <c r="A36" s="24" t="s">
        <v>121</v>
      </c>
      <c r="B36" s="25" t="s">
        <v>188</v>
      </c>
      <c r="C36" s="26"/>
      <c r="E36" s="27" t="s">
        <v>189</v>
      </c>
      <c r="F36" s="28">
        <v>20.0</v>
      </c>
    </row>
    <row r="37" ht="36.0" customHeight="1">
      <c r="A37" s="24" t="s">
        <v>121</v>
      </c>
      <c r="B37" s="25" t="s">
        <v>190</v>
      </c>
      <c r="C37" s="26"/>
      <c r="E37" s="27" t="s">
        <v>191</v>
      </c>
      <c r="F37" s="28">
        <v>1.0</v>
      </c>
    </row>
    <row r="38" ht="36.0" customHeight="1">
      <c r="A38" s="24" t="s">
        <v>121</v>
      </c>
      <c r="B38" s="25" t="s">
        <v>192</v>
      </c>
      <c r="C38" s="26"/>
      <c r="E38" s="27" t="s">
        <v>193</v>
      </c>
      <c r="F38" s="28">
        <v>2.0</v>
      </c>
    </row>
    <row r="39" ht="36.0" customHeight="1">
      <c r="A39" s="24" t="s">
        <v>121</v>
      </c>
      <c r="B39" s="25" t="s">
        <v>194</v>
      </c>
      <c r="C39" s="26"/>
      <c r="E39" s="27" t="s">
        <v>195</v>
      </c>
      <c r="F39" s="28">
        <v>2.0</v>
      </c>
    </row>
    <row r="40" ht="36.0" customHeight="1">
      <c r="A40" s="24" t="s">
        <v>121</v>
      </c>
      <c r="B40" s="25" t="s">
        <v>196</v>
      </c>
      <c r="C40" s="26"/>
      <c r="E40" s="27" t="s">
        <v>197</v>
      </c>
      <c r="F40" s="28">
        <v>3.0</v>
      </c>
    </row>
    <row r="41" ht="36.0" customHeight="1">
      <c r="A41" s="24" t="s">
        <v>121</v>
      </c>
      <c r="B41" s="25" t="s">
        <v>198</v>
      </c>
      <c r="C41" s="26"/>
      <c r="E41" s="27" t="s">
        <v>199</v>
      </c>
      <c r="F41" s="28">
        <v>4.0</v>
      </c>
    </row>
    <row r="42" ht="36.0" customHeight="1">
      <c r="A42" s="24" t="s">
        <v>121</v>
      </c>
      <c r="B42" s="25" t="s">
        <v>200</v>
      </c>
      <c r="C42" s="26"/>
      <c r="E42" s="27" t="s">
        <v>201</v>
      </c>
      <c r="F42" s="28">
        <v>3.0</v>
      </c>
    </row>
    <row r="43" ht="36.0" customHeight="1">
      <c r="A43" s="24" t="s">
        <v>121</v>
      </c>
      <c r="B43" s="25" t="s">
        <v>202</v>
      </c>
      <c r="C43" s="26"/>
      <c r="E43" s="27" t="s">
        <v>203</v>
      </c>
      <c r="F43" s="28">
        <v>1.0</v>
      </c>
    </row>
    <row r="44" ht="36.0" customHeight="1">
      <c r="A44" s="24" t="s">
        <v>121</v>
      </c>
      <c r="B44" s="25" t="s">
        <v>204</v>
      </c>
      <c r="C44" s="26"/>
      <c r="E44" s="27" t="s">
        <v>205</v>
      </c>
      <c r="F44" s="28">
        <v>150.0</v>
      </c>
    </row>
    <row r="45" ht="36.0" customHeight="1">
      <c r="A45" s="24" t="s">
        <v>121</v>
      </c>
      <c r="B45" s="25" t="s">
        <v>206</v>
      </c>
      <c r="C45" s="26"/>
      <c r="E45" s="27" t="s">
        <v>207</v>
      </c>
      <c r="F45" s="28">
        <v>6.0</v>
      </c>
    </row>
    <row r="46" ht="36.0" customHeight="1">
      <c r="A46" s="24" t="s">
        <v>121</v>
      </c>
      <c r="B46" s="25" t="s">
        <v>208</v>
      </c>
      <c r="C46" s="26"/>
      <c r="E46" s="27" t="s">
        <v>209</v>
      </c>
      <c r="F46" s="28">
        <v>4.0</v>
      </c>
    </row>
    <row r="47" ht="36.0" customHeight="1">
      <c r="A47" s="24" t="s">
        <v>121</v>
      </c>
      <c r="B47" s="25" t="s">
        <v>210</v>
      </c>
      <c r="C47" s="26"/>
      <c r="E47" s="27" t="s">
        <v>211</v>
      </c>
      <c r="F47" s="28">
        <v>15.0</v>
      </c>
    </row>
    <row r="48" ht="36.0" customHeight="1">
      <c r="A48" s="24" t="s">
        <v>121</v>
      </c>
      <c r="B48" s="25" t="s">
        <v>212</v>
      </c>
      <c r="C48" s="26"/>
      <c r="E48" s="27" t="s">
        <v>213</v>
      </c>
      <c r="F48" s="28">
        <v>9.0</v>
      </c>
    </row>
    <row r="49" ht="36.0" customHeight="1">
      <c r="A49" s="24" t="s">
        <v>121</v>
      </c>
      <c r="B49" s="25" t="s">
        <v>214</v>
      </c>
      <c r="C49" s="26"/>
      <c r="E49" s="27" t="s">
        <v>215</v>
      </c>
      <c r="F49" s="28">
        <v>4.0</v>
      </c>
    </row>
    <row r="50" ht="36.0" customHeight="1">
      <c r="A50" s="24" t="s">
        <v>121</v>
      </c>
      <c r="B50" s="25" t="s">
        <v>216</v>
      </c>
      <c r="C50" s="26"/>
      <c r="E50" s="27" t="s">
        <v>217</v>
      </c>
      <c r="F50" s="28">
        <v>4.0</v>
      </c>
    </row>
    <row r="51" ht="36.0" customHeight="1">
      <c r="A51" s="24" t="s">
        <v>121</v>
      </c>
      <c r="B51" s="25" t="s">
        <v>218</v>
      </c>
      <c r="C51" s="26"/>
      <c r="E51" s="27" t="s">
        <v>219</v>
      </c>
      <c r="F51" s="28">
        <v>6.0</v>
      </c>
    </row>
    <row r="52" ht="36.0" customHeight="1">
      <c r="A52" s="24" t="s">
        <v>121</v>
      </c>
      <c r="B52" s="25" t="s">
        <v>220</v>
      </c>
      <c r="C52" s="26"/>
      <c r="E52" s="27" t="s">
        <v>221</v>
      </c>
      <c r="F52" s="28">
        <v>4.0</v>
      </c>
    </row>
    <row r="53" ht="36.0" customHeight="1">
      <c r="A53" s="24" t="s">
        <v>121</v>
      </c>
      <c r="B53" s="25" t="s">
        <v>222</v>
      </c>
      <c r="C53" s="26"/>
      <c r="E53" s="27" t="s">
        <v>223</v>
      </c>
      <c r="F53" s="28">
        <v>2.0</v>
      </c>
    </row>
    <row r="54" ht="36.0" customHeight="1">
      <c r="A54" s="24" t="s">
        <v>121</v>
      </c>
      <c r="B54" s="25" t="s">
        <v>224</v>
      </c>
      <c r="C54" s="26"/>
      <c r="E54" s="27" t="s">
        <v>225</v>
      </c>
      <c r="F54" s="28">
        <v>8.0</v>
      </c>
    </row>
    <row r="55" ht="36.0" customHeight="1">
      <c r="A55" s="24" t="s">
        <v>121</v>
      </c>
      <c r="B55" s="25" t="s">
        <v>226</v>
      </c>
      <c r="C55" s="26"/>
      <c r="E55" s="27" t="s">
        <v>227</v>
      </c>
      <c r="F55" s="28">
        <v>16.0</v>
      </c>
    </row>
    <row r="56" ht="36.0" customHeight="1">
      <c r="A56" s="24" t="s">
        <v>121</v>
      </c>
      <c r="B56" s="25" t="s">
        <v>228</v>
      </c>
      <c r="C56" s="26"/>
      <c r="E56" s="27" t="s">
        <v>229</v>
      </c>
      <c r="F56" s="28">
        <v>2.0</v>
      </c>
    </row>
    <row r="57" ht="36.0" customHeight="1">
      <c r="A57" s="24" t="s">
        <v>121</v>
      </c>
      <c r="B57" s="25" t="s">
        <v>230</v>
      </c>
      <c r="C57" s="26"/>
      <c r="E57" s="27" t="s">
        <v>231</v>
      </c>
      <c r="F57" s="28">
        <v>1.0</v>
      </c>
    </row>
    <row r="58" ht="36.0" customHeight="1">
      <c r="A58" s="24" t="s">
        <v>121</v>
      </c>
      <c r="B58" s="25" t="s">
        <v>232</v>
      </c>
      <c r="C58" s="26"/>
      <c r="E58" s="27" t="s">
        <v>233</v>
      </c>
      <c r="F58" s="28">
        <v>10.0</v>
      </c>
    </row>
    <row r="59" ht="36.0" customHeight="1">
      <c r="A59" s="24" t="s">
        <v>121</v>
      </c>
      <c r="B59" s="25" t="s">
        <v>234</v>
      </c>
      <c r="C59" s="26"/>
      <c r="E59" s="27" t="s">
        <v>235</v>
      </c>
      <c r="F59" s="28">
        <v>2.0</v>
      </c>
    </row>
    <row r="60" ht="36.0" customHeight="1">
      <c r="A60" s="24" t="s">
        <v>121</v>
      </c>
      <c r="B60" s="25" t="s">
        <v>236</v>
      </c>
      <c r="C60" s="26"/>
      <c r="E60" s="27" t="s">
        <v>237</v>
      </c>
      <c r="F60" s="28">
        <v>1.0</v>
      </c>
    </row>
    <row r="61" ht="36.0" customHeight="1">
      <c r="A61" s="24" t="s">
        <v>121</v>
      </c>
      <c r="B61" s="25" t="s">
        <v>238</v>
      </c>
      <c r="C61" s="26"/>
      <c r="E61" s="27" t="s">
        <v>239</v>
      </c>
      <c r="F61" s="28">
        <v>3.0</v>
      </c>
    </row>
    <row r="62" ht="36.0" customHeight="1">
      <c r="A62" s="24" t="s">
        <v>121</v>
      </c>
      <c r="B62" s="25" t="s">
        <v>240</v>
      </c>
      <c r="C62" s="26"/>
      <c r="E62" s="27" t="s">
        <v>241</v>
      </c>
      <c r="F62" s="28">
        <v>5.0</v>
      </c>
    </row>
    <row r="63" ht="36.0" customHeight="1">
      <c r="A63" s="24" t="s">
        <v>121</v>
      </c>
      <c r="B63" s="25" t="s">
        <v>242</v>
      </c>
      <c r="C63" s="26"/>
      <c r="E63" s="27" t="s">
        <v>243</v>
      </c>
      <c r="F63" s="28">
        <v>5.0</v>
      </c>
    </row>
    <row r="64" ht="36.0" customHeight="1">
      <c r="A64" s="24" t="s">
        <v>121</v>
      </c>
      <c r="B64" s="25" t="s">
        <v>244</v>
      </c>
      <c r="C64" s="26"/>
      <c r="E64" s="27" t="s">
        <v>245</v>
      </c>
      <c r="F64" s="28">
        <v>1.0</v>
      </c>
    </row>
    <row r="65" ht="36.0" customHeight="1">
      <c r="A65" s="24" t="s">
        <v>121</v>
      </c>
      <c r="B65" s="25" t="s">
        <v>246</v>
      </c>
      <c r="C65" s="26"/>
      <c r="E65" s="27" t="s">
        <v>247</v>
      </c>
      <c r="F65" s="28">
        <v>14.0</v>
      </c>
    </row>
    <row r="66" ht="36.0" customHeight="1">
      <c r="A66" s="24" t="s">
        <v>121</v>
      </c>
      <c r="B66" s="25" t="s">
        <v>248</v>
      </c>
      <c r="C66" s="26"/>
      <c r="E66" s="27" t="s">
        <v>249</v>
      </c>
      <c r="F66" s="28">
        <v>30.0</v>
      </c>
    </row>
    <row r="67" ht="36.0" customHeight="1">
      <c r="A67" s="24" t="s">
        <v>121</v>
      </c>
      <c r="B67" s="25" t="s">
        <v>250</v>
      </c>
      <c r="C67" s="26"/>
      <c r="E67" s="27" t="s">
        <v>251</v>
      </c>
      <c r="F67" s="28">
        <v>1.0</v>
      </c>
    </row>
    <row r="68" ht="36.0" customHeight="1">
      <c r="A68" s="24" t="s">
        <v>121</v>
      </c>
      <c r="B68" s="25" t="s">
        <v>252</v>
      </c>
      <c r="C68" s="26"/>
      <c r="E68" s="27" t="s">
        <v>253</v>
      </c>
      <c r="F68" s="28">
        <v>5.0</v>
      </c>
    </row>
    <row r="69" ht="36.0" customHeight="1">
      <c r="A69" s="24" t="s">
        <v>121</v>
      </c>
      <c r="B69" s="25" t="s">
        <v>254</v>
      </c>
      <c r="C69" s="26"/>
      <c r="E69" s="27" t="s">
        <v>255</v>
      </c>
      <c r="F69" s="28">
        <v>5.0</v>
      </c>
    </row>
    <row r="70" ht="36.0" customHeight="1">
      <c r="A70" s="24" t="s">
        <v>121</v>
      </c>
      <c r="B70" s="25" t="s">
        <v>256</v>
      </c>
      <c r="C70" s="26"/>
      <c r="E70" s="27" t="s">
        <v>257</v>
      </c>
      <c r="F70" s="28">
        <v>19.0</v>
      </c>
    </row>
    <row r="71" ht="36.0" customHeight="1">
      <c r="A71" s="24" t="s">
        <v>258</v>
      </c>
      <c r="B71" s="25" t="s">
        <v>259</v>
      </c>
      <c r="C71" s="26"/>
      <c r="E71" s="27" t="s">
        <v>260</v>
      </c>
      <c r="F71" s="28">
        <v>1.0</v>
      </c>
    </row>
    <row r="72" ht="36.0" customHeight="1">
      <c r="A72" s="24" t="s">
        <v>121</v>
      </c>
      <c r="B72" s="25" t="s">
        <v>261</v>
      </c>
      <c r="C72" s="26"/>
      <c r="E72" s="27" t="s">
        <v>262</v>
      </c>
      <c r="F72" s="28">
        <v>9.0</v>
      </c>
    </row>
    <row r="73" ht="36.0" customHeight="1">
      <c r="A73" s="24" t="s">
        <v>121</v>
      </c>
      <c r="B73" s="25" t="s">
        <v>263</v>
      </c>
      <c r="C73" s="26"/>
      <c r="E73" s="27" t="s">
        <v>264</v>
      </c>
      <c r="F73" s="28">
        <v>3.0</v>
      </c>
    </row>
    <row r="74" ht="36.0" customHeight="1">
      <c r="A74" s="24" t="s">
        <v>121</v>
      </c>
      <c r="B74" s="25" t="s">
        <v>265</v>
      </c>
      <c r="C74" s="26"/>
      <c r="E74" s="27" t="s">
        <v>266</v>
      </c>
      <c r="F74" s="28">
        <v>1.0</v>
      </c>
    </row>
    <row r="75" ht="36.0" customHeight="1">
      <c r="A75" s="24" t="s">
        <v>121</v>
      </c>
      <c r="B75" s="25" t="s">
        <v>267</v>
      </c>
      <c r="C75" s="26"/>
      <c r="E75" s="27" t="s">
        <v>268</v>
      </c>
      <c r="F75" s="28">
        <v>100.0</v>
      </c>
    </row>
    <row r="76" ht="36.0" customHeight="1">
      <c r="A76" s="24" t="s">
        <v>121</v>
      </c>
      <c r="B76" s="25" t="s">
        <v>269</v>
      </c>
      <c r="C76" s="26"/>
      <c r="E76" s="27" t="s">
        <v>270</v>
      </c>
      <c r="F76" s="28">
        <v>9.0</v>
      </c>
    </row>
    <row r="77" ht="36.0" customHeight="1">
      <c r="A77" s="24" t="s">
        <v>121</v>
      </c>
      <c r="B77" s="25" t="s">
        <v>271</v>
      </c>
      <c r="C77" s="26"/>
      <c r="E77" s="27" t="s">
        <v>272</v>
      </c>
      <c r="F77" s="28">
        <v>1.0</v>
      </c>
    </row>
    <row r="78" ht="36.0" customHeight="1">
      <c r="A78" s="24" t="s">
        <v>121</v>
      </c>
      <c r="B78" s="25" t="s">
        <v>273</v>
      </c>
      <c r="C78" s="26"/>
      <c r="E78" s="27" t="s">
        <v>274</v>
      </c>
      <c r="F78" s="28">
        <v>22.0</v>
      </c>
    </row>
    <row r="79" ht="36.0" customHeight="1">
      <c r="A79" s="24" t="s">
        <v>121</v>
      </c>
      <c r="B79" s="25" t="s">
        <v>275</v>
      </c>
      <c r="C79" s="26"/>
      <c r="E79" s="27" t="s">
        <v>276</v>
      </c>
      <c r="F79" s="28">
        <v>3.0</v>
      </c>
    </row>
    <row r="80" ht="36.0" customHeight="1">
      <c r="A80" s="24" t="s">
        <v>121</v>
      </c>
      <c r="B80" s="25" t="s">
        <v>277</v>
      </c>
      <c r="C80" s="26"/>
      <c r="E80" s="27" t="s">
        <v>278</v>
      </c>
      <c r="F80" s="28">
        <v>6.0</v>
      </c>
    </row>
    <row r="81" ht="36.0" customHeight="1">
      <c r="A81" s="24" t="s">
        <v>121</v>
      </c>
      <c r="B81" s="25" t="s">
        <v>279</v>
      </c>
      <c r="C81" s="26"/>
      <c r="E81" s="27" t="s">
        <v>280</v>
      </c>
      <c r="F81" s="28">
        <v>1.0</v>
      </c>
    </row>
    <row r="82" ht="36.0" customHeight="1">
      <c r="A82" s="24" t="s">
        <v>121</v>
      </c>
      <c r="B82" s="25" t="s">
        <v>281</v>
      </c>
      <c r="C82" s="26"/>
      <c r="E82" s="27" t="s">
        <v>282</v>
      </c>
      <c r="F82" s="28">
        <v>50.0</v>
      </c>
    </row>
    <row r="83" ht="36.0" customHeight="1">
      <c r="A83" s="24" t="s">
        <v>121</v>
      </c>
      <c r="B83" s="25" t="s">
        <v>283</v>
      </c>
      <c r="C83" s="26"/>
      <c r="E83" s="27" t="s">
        <v>284</v>
      </c>
      <c r="F83" s="28">
        <v>6.0</v>
      </c>
    </row>
    <row r="84" ht="36.0" customHeight="1">
      <c r="A84" s="24" t="s">
        <v>121</v>
      </c>
      <c r="B84" s="25" t="s">
        <v>285</v>
      </c>
      <c r="C84" s="26"/>
      <c r="E84" s="27" t="s">
        <v>286</v>
      </c>
      <c r="F84" s="28">
        <v>999.0</v>
      </c>
    </row>
    <row r="85" ht="36.0" customHeight="1">
      <c r="A85" s="24" t="s">
        <v>121</v>
      </c>
      <c r="B85" s="25" t="s">
        <v>287</v>
      </c>
      <c r="C85" s="26"/>
      <c r="E85" s="27" t="s">
        <v>288</v>
      </c>
      <c r="F85" s="28">
        <v>9.0</v>
      </c>
    </row>
    <row r="86" ht="36.0" customHeight="1">
      <c r="A86" s="24" t="s">
        <v>121</v>
      </c>
      <c r="B86" s="25" t="s">
        <v>289</v>
      </c>
      <c r="C86" s="26"/>
      <c r="E86" s="27" t="s">
        <v>290</v>
      </c>
      <c r="F86" s="28">
        <v>42.0</v>
      </c>
    </row>
    <row r="87" ht="36.0" customHeight="1">
      <c r="A87" s="24" t="s">
        <v>121</v>
      </c>
      <c r="B87" s="25" t="s">
        <v>291</v>
      </c>
      <c r="C87" s="26"/>
      <c r="E87" s="27" t="s">
        <v>292</v>
      </c>
      <c r="F87" s="28">
        <v>6.0</v>
      </c>
    </row>
    <row r="88" ht="36.0" customHeight="1">
      <c r="A88" s="24" t="s">
        <v>121</v>
      </c>
      <c r="B88" s="25" t="s">
        <v>293</v>
      </c>
      <c r="C88" s="26"/>
      <c r="E88" s="27" t="s">
        <v>294</v>
      </c>
      <c r="F88" s="28">
        <v>8.0</v>
      </c>
    </row>
    <row r="89" ht="36.0" customHeight="1">
      <c r="A89" s="24" t="s">
        <v>121</v>
      </c>
      <c r="B89" s="25" t="s">
        <v>295</v>
      </c>
      <c r="C89" s="26"/>
      <c r="E89" s="27" t="s">
        <v>296</v>
      </c>
      <c r="F89" s="28">
        <v>7.0</v>
      </c>
    </row>
    <row r="90" ht="36.0" customHeight="1">
      <c r="A90" s="24" t="s">
        <v>121</v>
      </c>
      <c r="B90" s="25" t="s">
        <v>297</v>
      </c>
      <c r="C90" s="26"/>
      <c r="E90" s="27" t="s">
        <v>298</v>
      </c>
      <c r="F90" s="28">
        <v>1.0</v>
      </c>
    </row>
    <row r="91" ht="36.0" customHeight="1">
      <c r="A91" s="24" t="s">
        <v>121</v>
      </c>
      <c r="B91" s="25" t="s">
        <v>299</v>
      </c>
      <c r="C91" s="26"/>
      <c r="E91" s="27" t="s">
        <v>300</v>
      </c>
      <c r="F91" s="28">
        <v>1.0</v>
      </c>
    </row>
    <row r="92" ht="36.0" customHeight="1">
      <c r="A92" s="24" t="s">
        <v>121</v>
      </c>
      <c r="B92" s="25" t="s">
        <v>301</v>
      </c>
      <c r="C92" s="26"/>
      <c r="E92" s="27" t="s">
        <v>302</v>
      </c>
      <c r="F92" s="28">
        <v>2.0</v>
      </c>
    </row>
    <row r="93" ht="36.0" customHeight="1">
      <c r="A93" s="24" t="s">
        <v>121</v>
      </c>
      <c r="B93" s="25" t="s">
        <v>303</v>
      </c>
      <c r="C93" s="26"/>
      <c r="E93" s="27" t="s">
        <v>304</v>
      </c>
      <c r="F93" s="28">
        <v>1.0</v>
      </c>
    </row>
    <row r="94" ht="36.0" customHeight="1">
      <c r="A94" s="24" t="s">
        <v>121</v>
      </c>
      <c r="B94" s="25" t="s">
        <v>305</v>
      </c>
      <c r="C94" s="26"/>
      <c r="E94" s="27" t="s">
        <v>306</v>
      </c>
      <c r="F94" s="28">
        <v>1.0</v>
      </c>
    </row>
    <row r="95" ht="36.0" customHeight="1">
      <c r="A95" s="24" t="s">
        <v>121</v>
      </c>
      <c r="B95" s="25" t="s">
        <v>307</v>
      </c>
      <c r="C95" s="26"/>
      <c r="E95" s="27" t="s">
        <v>308</v>
      </c>
      <c r="F95" s="28">
        <v>2.0</v>
      </c>
    </row>
    <row r="96" ht="36.0" customHeight="1">
      <c r="A96" s="24" t="s">
        <v>121</v>
      </c>
      <c r="B96" s="25" t="s">
        <v>309</v>
      </c>
      <c r="C96" s="26"/>
      <c r="E96" s="27" t="s">
        <v>310</v>
      </c>
      <c r="F96" s="28">
        <v>1.0</v>
      </c>
    </row>
    <row r="97" ht="36.0" customHeight="1">
      <c r="A97" s="24" t="s">
        <v>121</v>
      </c>
      <c r="B97" s="25" t="s">
        <v>311</v>
      </c>
      <c r="C97" s="26"/>
      <c r="E97" s="27" t="s">
        <v>312</v>
      </c>
      <c r="F97" s="28">
        <v>1.0</v>
      </c>
    </row>
    <row r="98" ht="36.0" customHeight="1">
      <c r="A98" s="24" t="s">
        <v>121</v>
      </c>
      <c r="B98" s="25" t="s">
        <v>313</v>
      </c>
      <c r="C98" s="26"/>
      <c r="E98" s="27" t="s">
        <v>314</v>
      </c>
      <c r="F98" s="28">
        <v>4.0</v>
      </c>
    </row>
    <row r="99" ht="36.0" customHeight="1">
      <c r="A99" s="24" t="s">
        <v>121</v>
      </c>
      <c r="B99" s="25" t="s">
        <v>315</v>
      </c>
      <c r="C99" s="26"/>
      <c r="E99" s="27" t="s">
        <v>316</v>
      </c>
      <c r="F99" s="28">
        <v>10.0</v>
      </c>
    </row>
    <row r="100" ht="36.0" customHeight="1">
      <c r="A100" s="24" t="s">
        <v>121</v>
      </c>
      <c r="B100" s="25" t="s">
        <v>317</v>
      </c>
      <c r="C100" s="26"/>
      <c r="E100" s="27" t="s">
        <v>318</v>
      </c>
      <c r="F100" s="28">
        <v>4.0</v>
      </c>
    </row>
    <row r="101" ht="36.0" customHeight="1">
      <c r="A101" s="24" t="s">
        <v>121</v>
      </c>
      <c r="B101" s="25" t="s">
        <v>319</v>
      </c>
      <c r="C101" s="26"/>
      <c r="E101" s="27" t="s">
        <v>320</v>
      </c>
      <c r="F101" s="28">
        <v>10.0</v>
      </c>
    </row>
    <row r="102" ht="36.0" customHeight="1">
      <c r="A102" s="24" t="s">
        <v>121</v>
      </c>
      <c r="B102" s="25" t="s">
        <v>321</v>
      </c>
      <c r="C102" s="26"/>
      <c r="E102" s="27" t="s">
        <v>322</v>
      </c>
      <c r="F102" s="28">
        <v>1.0</v>
      </c>
    </row>
    <row r="103" ht="36.0" customHeight="1">
      <c r="A103" s="24" t="s">
        <v>121</v>
      </c>
      <c r="B103" s="25" t="s">
        <v>323</v>
      </c>
      <c r="C103" s="26"/>
      <c r="E103" s="27" t="s">
        <v>324</v>
      </c>
      <c r="F103" s="28">
        <v>67.0</v>
      </c>
    </row>
    <row r="104" ht="36.0" customHeight="1">
      <c r="A104" s="24" t="s">
        <v>121</v>
      </c>
      <c r="B104" s="25" t="s">
        <v>325</v>
      </c>
      <c r="C104" s="26"/>
      <c r="E104" s="27" t="s">
        <v>326</v>
      </c>
      <c r="F104" s="28">
        <v>100.0</v>
      </c>
    </row>
    <row r="105" ht="36.0" customHeight="1">
      <c r="A105" s="24" t="s">
        <v>121</v>
      </c>
      <c r="B105" s="25" t="s">
        <v>327</v>
      </c>
      <c r="C105" s="26"/>
      <c r="E105" s="27" t="s">
        <v>328</v>
      </c>
      <c r="F105" s="28">
        <v>3.0</v>
      </c>
    </row>
    <row r="106" ht="36.0" customHeight="1">
      <c r="A106" s="24" t="s">
        <v>121</v>
      </c>
      <c r="B106" s="25" t="s">
        <v>329</v>
      </c>
      <c r="C106" s="26"/>
      <c r="E106" s="27" t="s">
        <v>330</v>
      </c>
      <c r="F106" s="28">
        <v>1.0</v>
      </c>
    </row>
    <row r="107" ht="36.0" customHeight="1">
      <c r="A107" s="24" t="s">
        <v>121</v>
      </c>
      <c r="B107" s="25" t="s">
        <v>331</v>
      </c>
      <c r="C107" s="26"/>
      <c r="E107" s="27" t="s">
        <v>332</v>
      </c>
      <c r="F107" s="28">
        <v>390.0</v>
      </c>
    </row>
    <row r="108" ht="36.0" customHeight="1">
      <c r="A108" s="24" t="s">
        <v>121</v>
      </c>
      <c r="B108" s="25" t="s">
        <v>333</v>
      </c>
      <c r="C108" s="26"/>
      <c r="E108" s="27" t="s">
        <v>334</v>
      </c>
      <c r="F108" s="28">
        <v>0.7</v>
      </c>
    </row>
    <row r="109" ht="36.0" customHeight="1">
      <c r="A109" s="24" t="s">
        <v>121</v>
      </c>
      <c r="B109" s="25" t="s">
        <v>335</v>
      </c>
      <c r="C109" s="26"/>
      <c r="E109" s="27" t="s">
        <v>336</v>
      </c>
      <c r="F109" s="28">
        <v>40.0</v>
      </c>
    </row>
    <row r="110" ht="36.0" customHeight="1">
      <c r="A110" s="24" t="s">
        <v>121</v>
      </c>
      <c r="B110" s="25" t="s">
        <v>337</v>
      </c>
      <c r="C110" s="26"/>
      <c r="E110" s="27" t="s">
        <v>338</v>
      </c>
      <c r="F110" s="28">
        <v>2.0</v>
      </c>
    </row>
    <row r="111" ht="36.0" customHeight="1">
      <c r="A111" s="24" t="s">
        <v>121</v>
      </c>
      <c r="B111" s="25" t="s">
        <v>339</v>
      </c>
      <c r="C111" s="26"/>
      <c r="E111" s="27" t="s">
        <v>340</v>
      </c>
      <c r="F111" s="28">
        <v>3.0</v>
      </c>
    </row>
    <row r="112" ht="36.0" customHeight="1">
      <c r="A112" s="24" t="s">
        <v>121</v>
      </c>
      <c r="B112" s="25" t="s">
        <v>341</v>
      </c>
      <c r="C112" s="26"/>
      <c r="E112" s="27" t="s">
        <v>342</v>
      </c>
      <c r="F112" s="28">
        <v>12.0</v>
      </c>
    </row>
    <row r="113" ht="36.0" customHeight="1">
      <c r="A113" s="24" t="s">
        <v>121</v>
      </c>
      <c r="B113" s="25" t="s">
        <v>343</v>
      </c>
      <c r="C113" s="26"/>
      <c r="E113" s="27" t="s">
        <v>344</v>
      </c>
      <c r="F113" s="28">
        <v>1.0</v>
      </c>
    </row>
    <row r="114" ht="36.0" customHeight="1">
      <c r="A114" s="24" t="s">
        <v>121</v>
      </c>
      <c r="B114" s="25" t="s">
        <v>345</v>
      </c>
      <c r="C114" s="26"/>
      <c r="E114" s="27" t="s">
        <v>346</v>
      </c>
      <c r="F114" s="28">
        <v>5.0</v>
      </c>
    </row>
    <row r="115" ht="36.0" customHeight="1">
      <c r="A115" s="24" t="s">
        <v>121</v>
      </c>
      <c r="B115" s="25" t="s">
        <v>347</v>
      </c>
      <c r="C115" s="26"/>
      <c r="E115" s="27" t="s">
        <v>348</v>
      </c>
      <c r="F115" s="28">
        <v>3.0</v>
      </c>
    </row>
    <row r="116" ht="36.0" customHeight="1">
      <c r="A116" s="24" t="s">
        <v>121</v>
      </c>
      <c r="B116" s="25" t="s">
        <v>349</v>
      </c>
      <c r="C116" s="26"/>
      <c r="E116" s="27" t="s">
        <v>350</v>
      </c>
      <c r="F116" s="28">
        <v>29.0</v>
      </c>
    </row>
    <row r="117" ht="36.0" customHeight="1">
      <c r="A117" s="24" t="s">
        <v>121</v>
      </c>
      <c r="B117" s="25" t="s">
        <v>351</v>
      </c>
      <c r="C117" s="26"/>
      <c r="E117" s="27" t="s">
        <v>352</v>
      </c>
      <c r="F117" s="28">
        <v>3.0</v>
      </c>
    </row>
    <row r="118" ht="36.0" customHeight="1">
      <c r="A118" s="24" t="s">
        <v>121</v>
      </c>
      <c r="B118" s="25" t="s">
        <v>353</v>
      </c>
      <c r="C118" s="26"/>
      <c r="E118" s="27" t="s">
        <v>354</v>
      </c>
      <c r="F118" s="28">
        <v>2.0</v>
      </c>
    </row>
    <row r="119" ht="36.0" customHeight="1">
      <c r="A119" s="24" t="s">
        <v>121</v>
      </c>
      <c r="B119" s="25" t="s">
        <v>355</v>
      </c>
      <c r="C119" s="26"/>
      <c r="E119" s="27" t="s">
        <v>356</v>
      </c>
      <c r="F119" s="28">
        <v>4.0</v>
      </c>
    </row>
    <row r="120" ht="36.0" customHeight="1">
      <c r="A120" s="24" t="s">
        <v>121</v>
      </c>
      <c r="B120" s="25" t="s">
        <v>357</v>
      </c>
      <c r="C120" s="26"/>
      <c r="E120" s="27" t="s">
        <v>358</v>
      </c>
      <c r="F120" s="28">
        <v>1.0</v>
      </c>
    </row>
    <row r="121" ht="36.0" customHeight="1">
      <c r="A121" s="24" t="s">
        <v>121</v>
      </c>
      <c r="B121" s="25" t="s">
        <v>359</v>
      </c>
      <c r="C121" s="26"/>
      <c r="E121" s="27" t="s">
        <v>360</v>
      </c>
      <c r="F121" s="28">
        <v>6.0</v>
      </c>
    </row>
    <row r="122" ht="36.0" customHeight="1">
      <c r="A122" s="24" t="s">
        <v>121</v>
      </c>
      <c r="B122" s="25" t="s">
        <v>361</v>
      </c>
      <c r="C122" s="26"/>
      <c r="E122" s="27" t="s">
        <v>362</v>
      </c>
      <c r="F122" s="28">
        <v>1.0</v>
      </c>
    </row>
    <row r="123" ht="36.0" customHeight="1">
      <c r="A123" s="24" t="s">
        <v>258</v>
      </c>
      <c r="B123" s="25" t="s">
        <v>361</v>
      </c>
      <c r="C123" s="26"/>
      <c r="E123" s="27" t="s">
        <v>363</v>
      </c>
      <c r="F123" s="28">
        <v>12.0</v>
      </c>
    </row>
    <row r="124" ht="36.0" customHeight="1">
      <c r="A124" s="24" t="s">
        <v>121</v>
      </c>
      <c r="B124" s="25" t="s">
        <v>364</v>
      </c>
      <c r="C124" s="26"/>
      <c r="E124" s="27" t="s">
        <v>365</v>
      </c>
      <c r="F124" s="28">
        <v>1.0</v>
      </c>
    </row>
    <row r="125" ht="36.0" customHeight="1">
      <c r="A125" s="24" t="s">
        <v>121</v>
      </c>
      <c r="B125" s="25" t="s">
        <v>366</v>
      </c>
      <c r="C125" s="26"/>
      <c r="E125" s="27" t="s">
        <v>367</v>
      </c>
      <c r="F125" s="28">
        <v>4.0</v>
      </c>
    </row>
    <row r="126" ht="36.0" customHeight="1">
      <c r="A126" s="24" t="s">
        <v>121</v>
      </c>
      <c r="B126" s="25" t="s">
        <v>368</v>
      </c>
      <c r="C126" s="26"/>
      <c r="E126" s="27" t="s">
        <v>369</v>
      </c>
      <c r="F126" s="28">
        <v>3.0</v>
      </c>
    </row>
    <row r="127" ht="36.0" customHeight="1">
      <c r="A127" s="24" t="s">
        <v>121</v>
      </c>
      <c r="B127" s="25" t="s">
        <v>370</v>
      </c>
      <c r="C127" s="26"/>
      <c r="E127" s="27" t="s">
        <v>371</v>
      </c>
      <c r="F127" s="28">
        <v>10.0</v>
      </c>
    </row>
    <row r="128" ht="36.0" customHeight="1">
      <c r="A128" s="24" t="s">
        <v>121</v>
      </c>
      <c r="B128" s="25" t="s">
        <v>372</v>
      </c>
      <c r="C128" s="26"/>
      <c r="E128" s="27" t="s">
        <v>373</v>
      </c>
      <c r="F128" s="28">
        <v>10.0</v>
      </c>
    </row>
    <row r="129" ht="36.0" customHeight="1">
      <c r="A129" s="24" t="s">
        <v>121</v>
      </c>
      <c r="B129" s="25" t="s">
        <v>374</v>
      </c>
      <c r="C129" s="26"/>
      <c r="E129" s="27" t="s">
        <v>375</v>
      </c>
      <c r="F129" s="28">
        <v>10.0</v>
      </c>
    </row>
    <row r="130" ht="36.0" customHeight="1">
      <c r="A130" s="24" t="s">
        <v>121</v>
      </c>
      <c r="B130" s="25" t="s">
        <v>376</v>
      </c>
      <c r="C130" s="26"/>
      <c r="E130" s="27" t="s">
        <v>377</v>
      </c>
      <c r="F130" s="28">
        <v>10.0</v>
      </c>
    </row>
    <row r="131" ht="36.0" customHeight="1">
      <c r="A131" s="24" t="s">
        <v>258</v>
      </c>
      <c r="B131" s="25" t="s">
        <v>378</v>
      </c>
      <c r="C131" s="26"/>
      <c r="E131" s="27" t="s">
        <v>379</v>
      </c>
      <c r="F131" s="28">
        <v>10.0</v>
      </c>
    </row>
    <row r="132" ht="36.0" customHeight="1">
      <c r="A132" s="24" t="s">
        <v>121</v>
      </c>
      <c r="B132" s="25" t="s">
        <v>380</v>
      </c>
      <c r="C132" s="26"/>
      <c r="E132" s="27" t="s">
        <v>381</v>
      </c>
      <c r="F132" s="28">
        <v>3.0</v>
      </c>
    </row>
    <row r="133" ht="36.0" customHeight="1">
      <c r="A133" s="24" t="s">
        <v>121</v>
      </c>
      <c r="B133" s="25" t="s">
        <v>382</v>
      </c>
      <c r="C133" s="26"/>
      <c r="E133" s="27" t="s">
        <v>383</v>
      </c>
      <c r="F133" s="28">
        <v>219.0</v>
      </c>
    </row>
    <row r="134" ht="36.0" customHeight="1">
      <c r="A134" s="24" t="s">
        <v>121</v>
      </c>
      <c r="B134" s="25" t="s">
        <v>384</v>
      </c>
      <c r="C134" s="26"/>
      <c r="E134" s="27" t="s">
        <v>385</v>
      </c>
      <c r="F134" s="28">
        <v>2.0</v>
      </c>
    </row>
    <row r="135" ht="36.0" customHeight="1">
      <c r="A135" s="24" t="s">
        <v>121</v>
      </c>
      <c r="B135" s="25" t="s">
        <v>386</v>
      </c>
      <c r="C135" s="26"/>
      <c r="E135" s="27" t="s">
        <v>387</v>
      </c>
      <c r="F135" s="28">
        <v>3.0</v>
      </c>
    </row>
    <row r="136" ht="36.0" customHeight="1">
      <c r="A136" s="24" t="s">
        <v>121</v>
      </c>
      <c r="B136" s="25" t="s">
        <v>388</v>
      </c>
      <c r="C136" s="26"/>
      <c r="E136" s="27" t="s">
        <v>389</v>
      </c>
      <c r="F136" s="28">
        <v>2.0</v>
      </c>
    </row>
    <row r="137" ht="36.0" customHeight="1">
      <c r="A137" s="24" t="s">
        <v>121</v>
      </c>
      <c r="B137" s="25" t="s">
        <v>390</v>
      </c>
      <c r="C137" s="26"/>
      <c r="E137" s="27" t="s">
        <v>391</v>
      </c>
      <c r="F137" s="28">
        <v>34.0</v>
      </c>
    </row>
    <row r="138" ht="36.0" customHeight="1">
      <c r="A138" s="24" t="s">
        <v>121</v>
      </c>
      <c r="B138" s="25" t="s">
        <v>392</v>
      </c>
      <c r="C138" s="26"/>
      <c r="E138" s="27" t="s">
        <v>393</v>
      </c>
      <c r="F138" s="28">
        <v>20.0</v>
      </c>
    </row>
    <row r="139" ht="36.0" customHeight="1">
      <c r="A139" s="24" t="s">
        <v>121</v>
      </c>
      <c r="B139" s="25" t="s">
        <v>394</v>
      </c>
      <c r="C139" s="26"/>
      <c r="E139" s="27" t="s">
        <v>395</v>
      </c>
      <c r="F139" s="28">
        <v>20.0</v>
      </c>
    </row>
    <row r="140" ht="36.0" customHeight="1">
      <c r="A140" s="24" t="s">
        <v>121</v>
      </c>
      <c r="B140" s="25" t="s">
        <v>396</v>
      </c>
      <c r="C140" s="26"/>
      <c r="E140" s="27" t="s">
        <v>397</v>
      </c>
      <c r="F140" s="28">
        <v>1.0</v>
      </c>
    </row>
    <row r="141" ht="36.0" customHeight="1">
      <c r="A141" s="24" t="s">
        <v>121</v>
      </c>
      <c r="B141" s="25" t="s">
        <v>398</v>
      </c>
      <c r="C141" s="26"/>
      <c r="E141" s="27" t="s">
        <v>399</v>
      </c>
      <c r="F141" s="28">
        <v>2.0</v>
      </c>
    </row>
    <row r="142" ht="36.0" customHeight="1">
      <c r="A142" s="24" t="s">
        <v>121</v>
      </c>
      <c r="B142" s="25" t="s">
        <v>400</v>
      </c>
      <c r="C142" s="26"/>
      <c r="E142" s="27" t="s">
        <v>401</v>
      </c>
      <c r="F142" s="28">
        <v>2.0</v>
      </c>
    </row>
    <row r="143" ht="36.0" customHeight="1">
      <c r="A143" s="24" t="s">
        <v>121</v>
      </c>
      <c r="B143" s="25" t="s">
        <v>402</v>
      </c>
      <c r="C143" s="26"/>
      <c r="E143" s="27" t="s">
        <v>403</v>
      </c>
      <c r="F143" s="28">
        <v>1.0</v>
      </c>
    </row>
    <row r="144" ht="36.0" customHeight="1">
      <c r="A144" s="24" t="s">
        <v>121</v>
      </c>
      <c r="B144" s="25" t="s">
        <v>404</v>
      </c>
      <c r="C144" s="26"/>
      <c r="E144" s="27" t="s">
        <v>405</v>
      </c>
      <c r="F144" s="28">
        <v>1.0</v>
      </c>
    </row>
    <row r="145" ht="36.0" customHeight="1">
      <c r="A145" s="24" t="s">
        <v>121</v>
      </c>
      <c r="B145" s="25" t="s">
        <v>406</v>
      </c>
      <c r="C145" s="26"/>
      <c r="E145" s="27" t="s">
        <v>407</v>
      </c>
      <c r="F145" s="28">
        <v>2.0</v>
      </c>
    </row>
    <row r="146" ht="36.0" customHeight="1">
      <c r="A146" s="24" t="s">
        <v>121</v>
      </c>
      <c r="B146" s="25" t="s">
        <v>408</v>
      </c>
      <c r="C146" s="26"/>
      <c r="E146" s="27" t="s">
        <v>409</v>
      </c>
      <c r="F146" s="28">
        <v>3.0</v>
      </c>
    </row>
    <row r="147" ht="36.0" customHeight="1">
      <c r="A147" s="24" t="s">
        <v>121</v>
      </c>
      <c r="B147" s="25" t="s">
        <v>410</v>
      </c>
      <c r="C147" s="26"/>
      <c r="E147" s="27" t="s">
        <v>411</v>
      </c>
      <c r="F147" s="28">
        <v>20.0</v>
      </c>
    </row>
    <row r="148" ht="36.0" customHeight="1">
      <c r="A148" s="24" t="s">
        <v>121</v>
      </c>
      <c r="B148" s="25" t="s">
        <v>412</v>
      </c>
      <c r="C148" s="26"/>
      <c r="E148" s="27" t="s">
        <v>413</v>
      </c>
      <c r="F148" s="28">
        <v>245.0</v>
      </c>
    </row>
    <row r="149" ht="36.0" customHeight="1">
      <c r="A149" s="24" t="s">
        <v>121</v>
      </c>
      <c r="B149" s="25" t="s">
        <v>414</v>
      </c>
      <c r="C149" s="26"/>
      <c r="E149" s="27" t="s">
        <v>415</v>
      </c>
      <c r="F149" s="28">
        <v>10.0</v>
      </c>
    </row>
    <row r="150" ht="36.0" customHeight="1">
      <c r="A150" s="24" t="s">
        <v>121</v>
      </c>
      <c r="B150" s="25" t="s">
        <v>416</v>
      </c>
      <c r="C150" s="26"/>
      <c r="E150" s="27" t="s">
        <v>417</v>
      </c>
      <c r="F150" s="28">
        <v>10.0</v>
      </c>
    </row>
    <row r="151" ht="36.0" customHeight="1">
      <c r="A151" s="24" t="s">
        <v>121</v>
      </c>
      <c r="B151" s="25" t="s">
        <v>418</v>
      </c>
      <c r="C151" s="26"/>
      <c r="E151" s="27" t="s">
        <v>419</v>
      </c>
      <c r="F151" s="28">
        <v>10.0</v>
      </c>
    </row>
    <row r="152" ht="36.0" customHeight="1">
      <c r="A152" s="24" t="s">
        <v>121</v>
      </c>
      <c r="B152" s="25" t="s">
        <v>420</v>
      </c>
      <c r="C152" s="26"/>
      <c r="E152" s="27" t="s">
        <v>421</v>
      </c>
      <c r="F152" s="28">
        <v>10.0</v>
      </c>
    </row>
    <row r="153" ht="36.0" customHeight="1">
      <c r="A153" s="24" t="s">
        <v>121</v>
      </c>
      <c r="B153" s="25" t="s">
        <v>422</v>
      </c>
      <c r="C153" s="26"/>
      <c r="E153" s="27" t="s">
        <v>423</v>
      </c>
      <c r="F153" s="28">
        <v>1.0</v>
      </c>
    </row>
    <row r="154" ht="36.0" customHeight="1">
      <c r="A154" s="24" t="s">
        <v>121</v>
      </c>
      <c r="B154" s="25" t="s">
        <v>424</v>
      </c>
      <c r="C154" s="26"/>
      <c r="E154" s="27" t="s">
        <v>425</v>
      </c>
      <c r="F154" s="28">
        <v>2.0</v>
      </c>
    </row>
    <row r="155" ht="36.0" customHeight="1">
      <c r="A155" s="24" t="s">
        <v>121</v>
      </c>
      <c r="B155" s="25" t="s">
        <v>426</v>
      </c>
      <c r="C155" s="26"/>
      <c r="E155" s="27" t="s">
        <v>427</v>
      </c>
      <c r="F155" s="28">
        <v>5.0</v>
      </c>
    </row>
    <row r="156" ht="36.0" customHeight="1">
      <c r="A156" s="24" t="s">
        <v>121</v>
      </c>
      <c r="B156" s="25" t="s">
        <v>428</v>
      </c>
      <c r="C156" s="26"/>
      <c r="E156" s="27" t="s">
        <v>429</v>
      </c>
      <c r="F156" s="28">
        <v>1.0</v>
      </c>
    </row>
    <row r="157" ht="36.0" customHeight="1">
      <c r="A157" s="24" t="s">
        <v>121</v>
      </c>
      <c r="B157" s="25" t="s">
        <v>430</v>
      </c>
      <c r="C157" s="26"/>
      <c r="E157" s="27" t="s">
        <v>431</v>
      </c>
      <c r="F157" s="28">
        <v>1.0</v>
      </c>
    </row>
    <row r="158" ht="36.0" customHeight="1">
      <c r="A158" s="24" t="s">
        <v>121</v>
      </c>
      <c r="B158" s="25" t="s">
        <v>432</v>
      </c>
      <c r="C158" s="26"/>
      <c r="E158" s="27" t="s">
        <v>433</v>
      </c>
      <c r="F158" s="28">
        <v>8.0</v>
      </c>
    </row>
    <row r="159" ht="36.0" customHeight="1">
      <c r="A159" s="24" t="s">
        <v>121</v>
      </c>
      <c r="B159" s="25" t="s">
        <v>434</v>
      </c>
      <c r="C159" s="26"/>
      <c r="E159" s="27" t="s">
        <v>435</v>
      </c>
      <c r="F159" s="28">
        <v>2.0</v>
      </c>
    </row>
    <row r="160" ht="36.0" customHeight="1">
      <c r="A160" s="24" t="s">
        <v>121</v>
      </c>
      <c r="B160" s="25" t="s">
        <v>436</v>
      </c>
      <c r="C160" s="26"/>
      <c r="E160" s="27" t="s">
        <v>437</v>
      </c>
      <c r="F160" s="28">
        <v>2.0</v>
      </c>
    </row>
    <row r="161" ht="36.0" customHeight="1">
      <c r="A161" s="24" t="s">
        <v>121</v>
      </c>
      <c r="B161" s="25" t="s">
        <v>438</v>
      </c>
      <c r="C161" s="26"/>
      <c r="E161" s="27" t="s">
        <v>439</v>
      </c>
      <c r="F161" s="28">
        <v>1.0</v>
      </c>
    </row>
    <row r="162" ht="36.0" customHeight="1">
      <c r="A162" s="24" t="s">
        <v>121</v>
      </c>
      <c r="B162" s="25" t="s">
        <v>440</v>
      </c>
      <c r="C162" s="26"/>
      <c r="E162" s="27" t="s">
        <v>441</v>
      </c>
      <c r="F162" s="28">
        <v>1.0</v>
      </c>
    </row>
    <row r="163" ht="36.0" customHeight="1">
      <c r="A163" s="24" t="s">
        <v>121</v>
      </c>
      <c r="B163" s="25" t="s">
        <v>442</v>
      </c>
      <c r="C163" s="26"/>
      <c r="E163" s="27" t="s">
        <v>443</v>
      </c>
      <c r="F163" s="28">
        <v>1.0</v>
      </c>
    </row>
    <row r="164" ht="36.0" customHeight="1">
      <c r="A164" s="24" t="s">
        <v>121</v>
      </c>
      <c r="B164" s="25" t="s">
        <v>444</v>
      </c>
      <c r="C164" s="26"/>
      <c r="E164" s="27" t="s">
        <v>445</v>
      </c>
      <c r="F164" s="28">
        <v>2.7</v>
      </c>
    </row>
    <row r="165" ht="36.0" customHeight="1">
      <c r="A165" s="24" t="s">
        <v>121</v>
      </c>
      <c r="B165" s="25" t="s">
        <v>446</v>
      </c>
      <c r="C165" s="26"/>
      <c r="E165" s="27" t="s">
        <v>447</v>
      </c>
      <c r="F165" s="28">
        <v>1.0</v>
      </c>
    </row>
    <row r="166" ht="36.0" customHeight="1">
      <c r="A166" s="24" t="s">
        <v>121</v>
      </c>
      <c r="B166" s="25" t="s">
        <v>448</v>
      </c>
      <c r="C166" s="26"/>
      <c r="E166" s="27" t="s">
        <v>449</v>
      </c>
      <c r="F166" s="28">
        <v>1.0</v>
      </c>
    </row>
    <row r="167" ht="36.0" customHeight="1">
      <c r="A167" s="24" t="s">
        <v>121</v>
      </c>
      <c r="B167" s="25" t="s">
        <v>450</v>
      </c>
      <c r="C167" s="26"/>
      <c r="E167" s="27" t="s">
        <v>451</v>
      </c>
      <c r="F167" s="28">
        <v>2.0</v>
      </c>
    </row>
    <row r="168" ht="36.0" customHeight="1">
      <c r="A168" s="24" t="s">
        <v>121</v>
      </c>
      <c r="B168" s="25" t="s">
        <v>452</v>
      </c>
      <c r="C168" s="26"/>
      <c r="E168" s="27" t="s">
        <v>453</v>
      </c>
      <c r="F168" s="28">
        <v>2.0</v>
      </c>
    </row>
    <row r="169" ht="36.0" customHeight="1">
      <c r="A169" s="24" t="s">
        <v>121</v>
      </c>
      <c r="B169" s="25" t="s">
        <v>454</v>
      </c>
      <c r="C169" s="26"/>
      <c r="E169" s="27" t="s">
        <v>455</v>
      </c>
      <c r="F169" s="28">
        <v>1.0</v>
      </c>
    </row>
    <row r="170" ht="36.0" customHeight="1">
      <c r="A170" s="24" t="s">
        <v>121</v>
      </c>
      <c r="B170" s="25" t="s">
        <v>456</v>
      </c>
      <c r="C170" s="26"/>
      <c r="E170" s="27" t="s">
        <v>457</v>
      </c>
      <c r="F170" s="28">
        <v>1.0</v>
      </c>
    </row>
    <row r="171" ht="36.0" customHeight="1">
      <c r="A171" s="24" t="s">
        <v>121</v>
      </c>
      <c r="B171" s="25" t="s">
        <v>458</v>
      </c>
      <c r="C171" s="26"/>
      <c r="E171" s="27" t="s">
        <v>459</v>
      </c>
      <c r="F171" s="28">
        <v>1.0</v>
      </c>
    </row>
    <row r="172" ht="36.0" customHeight="1">
      <c r="A172" s="24" t="s">
        <v>121</v>
      </c>
      <c r="B172" s="25" t="s">
        <v>460</v>
      </c>
      <c r="C172" s="26"/>
      <c r="E172" s="27" t="s">
        <v>461</v>
      </c>
      <c r="F172" s="28">
        <v>38.0</v>
      </c>
    </row>
    <row r="173" ht="36.0" customHeight="1">
      <c r="A173" s="24" t="s">
        <v>121</v>
      </c>
      <c r="B173" s="25" t="s">
        <v>462</v>
      </c>
      <c r="C173" s="26"/>
      <c r="E173" s="27" t="s">
        <v>463</v>
      </c>
      <c r="F173" s="28">
        <v>4.0</v>
      </c>
    </row>
    <row r="174" ht="36.0" customHeight="1">
      <c r="A174" s="24" t="s">
        <v>121</v>
      </c>
      <c r="B174" s="25" t="s">
        <v>464</v>
      </c>
      <c r="C174" s="26"/>
      <c r="E174" s="27" t="s">
        <v>465</v>
      </c>
      <c r="F174" s="28">
        <v>5.0</v>
      </c>
    </row>
    <row r="175" ht="36.0" customHeight="1">
      <c r="A175" s="24" t="s">
        <v>121</v>
      </c>
      <c r="B175" s="25" t="s">
        <v>466</v>
      </c>
      <c r="C175" s="26"/>
      <c r="E175" s="27" t="s">
        <v>467</v>
      </c>
      <c r="F175" s="28">
        <v>10.0</v>
      </c>
    </row>
    <row r="176" ht="36.0" customHeight="1">
      <c r="A176" s="24" t="s">
        <v>121</v>
      </c>
      <c r="B176" s="25" t="s">
        <v>468</v>
      </c>
      <c r="C176" s="26"/>
      <c r="E176" s="27" t="s">
        <v>469</v>
      </c>
      <c r="F176" s="28">
        <v>10.0</v>
      </c>
    </row>
    <row r="177" ht="36.0" customHeight="1">
      <c r="A177" s="24" t="s">
        <v>121</v>
      </c>
      <c r="B177" s="25" t="s">
        <v>470</v>
      </c>
      <c r="C177" s="26"/>
      <c r="E177" s="27" t="s">
        <v>471</v>
      </c>
      <c r="F177" s="28">
        <v>5.0</v>
      </c>
    </row>
    <row r="178" ht="36.0" customHeight="1">
      <c r="A178" s="24" t="s">
        <v>121</v>
      </c>
      <c r="B178" s="25" t="s">
        <v>472</v>
      </c>
      <c r="C178" s="26"/>
      <c r="E178" s="27" t="s">
        <v>473</v>
      </c>
      <c r="F178" s="28">
        <v>5.0</v>
      </c>
    </row>
    <row r="179" ht="36.0" customHeight="1">
      <c r="A179" s="24" t="s">
        <v>121</v>
      </c>
      <c r="B179" s="25" t="s">
        <v>474</v>
      </c>
      <c r="C179" s="26"/>
      <c r="E179" s="27" t="s">
        <v>475</v>
      </c>
      <c r="F179" s="28">
        <v>28.0</v>
      </c>
    </row>
    <row r="180" ht="36.0" customHeight="1">
      <c r="A180" s="24" t="s">
        <v>121</v>
      </c>
      <c r="B180" s="25" t="s">
        <v>476</v>
      </c>
      <c r="C180" s="26"/>
      <c r="E180" s="27" t="s">
        <v>477</v>
      </c>
      <c r="F180" s="28">
        <v>10.0</v>
      </c>
    </row>
    <row r="181" ht="36.0" customHeight="1">
      <c r="A181" s="24" t="s">
        <v>121</v>
      </c>
      <c r="B181" s="25" t="s">
        <v>478</v>
      </c>
      <c r="C181" s="26"/>
      <c r="E181" s="27" t="s">
        <v>479</v>
      </c>
      <c r="F181" s="28">
        <v>1.0</v>
      </c>
    </row>
    <row r="182" ht="36.0" customHeight="1">
      <c r="A182" s="24" t="s">
        <v>121</v>
      </c>
      <c r="B182" s="25" t="s">
        <v>480</v>
      </c>
      <c r="C182" s="26"/>
      <c r="E182" s="27" t="s">
        <v>481</v>
      </c>
      <c r="F182" s="28">
        <v>2.0</v>
      </c>
    </row>
    <row r="183" ht="36.0" customHeight="1">
      <c r="A183" s="24" t="s">
        <v>121</v>
      </c>
      <c r="B183" s="25" t="s">
        <v>482</v>
      </c>
      <c r="C183" s="26"/>
      <c r="E183" s="27" t="s">
        <v>483</v>
      </c>
      <c r="F183" s="28">
        <v>1.0</v>
      </c>
    </row>
    <row r="184" ht="36.0" customHeight="1">
      <c r="A184" s="24" t="s">
        <v>121</v>
      </c>
      <c r="B184" s="25" t="s">
        <v>484</v>
      </c>
      <c r="C184" s="26"/>
      <c r="E184" s="27" t="s">
        <v>485</v>
      </c>
      <c r="F184" s="28">
        <v>3.0</v>
      </c>
    </row>
    <row r="185" ht="36.0" customHeight="1">
      <c r="A185" s="24" t="s">
        <v>121</v>
      </c>
      <c r="B185" s="25" t="s">
        <v>486</v>
      </c>
      <c r="C185" s="26"/>
      <c r="E185" s="27" t="s">
        <v>487</v>
      </c>
      <c r="F185" s="28">
        <v>2.0</v>
      </c>
    </row>
    <row r="186" ht="36.0" customHeight="1">
      <c r="A186" s="24" t="s">
        <v>121</v>
      </c>
      <c r="B186" s="25" t="s">
        <v>488</v>
      </c>
      <c r="C186" s="26"/>
      <c r="E186" s="27" t="s">
        <v>489</v>
      </c>
      <c r="F186" s="28">
        <v>3.0</v>
      </c>
    </row>
    <row r="187" ht="36.0" customHeight="1">
      <c r="A187" s="24" t="s">
        <v>121</v>
      </c>
      <c r="B187" s="25" t="s">
        <v>490</v>
      </c>
      <c r="C187" s="26"/>
      <c r="E187" s="27" t="s">
        <v>491</v>
      </c>
      <c r="F187" s="28">
        <v>3.0</v>
      </c>
    </row>
    <row r="188" ht="36.0" customHeight="1">
      <c r="A188" s="24" t="s">
        <v>121</v>
      </c>
      <c r="B188" s="25" t="s">
        <v>492</v>
      </c>
      <c r="C188" s="26"/>
      <c r="E188" s="27" t="s">
        <v>493</v>
      </c>
      <c r="F188" s="28">
        <v>4.0</v>
      </c>
    </row>
    <row r="189" ht="36.0" customHeight="1">
      <c r="A189" s="24" t="s">
        <v>121</v>
      </c>
      <c r="B189" s="25" t="s">
        <v>494</v>
      </c>
      <c r="C189" s="26"/>
      <c r="E189" s="27" t="s">
        <v>495</v>
      </c>
      <c r="F189" s="28">
        <v>1.0</v>
      </c>
    </row>
    <row r="190" ht="36.0" customHeight="1">
      <c r="A190" s="24" t="s">
        <v>121</v>
      </c>
      <c r="B190" s="25" t="s">
        <v>496</v>
      </c>
      <c r="C190" s="26"/>
      <c r="E190" s="27" t="s">
        <v>497</v>
      </c>
      <c r="F190" s="28">
        <v>200.0</v>
      </c>
    </row>
    <row r="191" ht="36.0" customHeight="1">
      <c r="A191" s="24" t="s">
        <v>121</v>
      </c>
      <c r="B191" s="25" t="s">
        <v>498</v>
      </c>
      <c r="C191" s="26"/>
      <c r="E191" s="27" t="s">
        <v>499</v>
      </c>
      <c r="F191" s="28">
        <v>20.0</v>
      </c>
    </row>
    <row r="192" ht="36.0" customHeight="1">
      <c r="A192" s="24" t="s">
        <v>121</v>
      </c>
      <c r="B192" s="25" t="s">
        <v>500</v>
      </c>
      <c r="C192" s="26"/>
      <c r="E192" s="27" t="s">
        <v>501</v>
      </c>
      <c r="F192" s="28">
        <v>200.0</v>
      </c>
    </row>
    <row r="193" ht="36.0" customHeight="1">
      <c r="A193" s="24" t="s">
        <v>121</v>
      </c>
      <c r="B193" s="25" t="s">
        <v>502</v>
      </c>
      <c r="C193" s="26"/>
      <c r="E193" s="27" t="s">
        <v>503</v>
      </c>
      <c r="F193" s="28">
        <v>21.0</v>
      </c>
    </row>
    <row r="194" ht="36.0" customHeight="1">
      <c r="A194" s="24" t="s">
        <v>121</v>
      </c>
      <c r="B194" s="25" t="s">
        <v>504</v>
      </c>
      <c r="C194" s="26"/>
      <c r="E194" s="27" t="s">
        <v>505</v>
      </c>
      <c r="F194" s="28">
        <v>62.0</v>
      </c>
    </row>
    <row r="195" ht="36.0" customHeight="1">
      <c r="A195" s="24" t="s">
        <v>121</v>
      </c>
      <c r="B195" s="25" t="s">
        <v>506</v>
      </c>
      <c r="C195" s="26"/>
      <c r="E195" s="27" t="s">
        <v>507</v>
      </c>
      <c r="F195" s="28">
        <v>1.0</v>
      </c>
    </row>
    <row r="196" ht="36.0" customHeight="1">
      <c r="A196" s="24" t="s">
        <v>121</v>
      </c>
      <c r="B196" s="25" t="s">
        <v>508</v>
      </c>
      <c r="C196" s="26"/>
      <c r="E196" s="27" t="s">
        <v>509</v>
      </c>
      <c r="F196" s="28">
        <v>1.0</v>
      </c>
    </row>
    <row r="197" ht="36.0" customHeight="1">
      <c r="A197" s="24" t="s">
        <v>121</v>
      </c>
      <c r="B197" s="25" t="s">
        <v>510</v>
      </c>
      <c r="C197" s="26"/>
      <c r="E197" s="27" t="s">
        <v>511</v>
      </c>
      <c r="F197" s="28">
        <v>2.0</v>
      </c>
    </row>
    <row r="198" ht="36.0" customHeight="1">
      <c r="A198" s="24" t="s">
        <v>121</v>
      </c>
      <c r="B198" s="25" t="s">
        <v>512</v>
      </c>
      <c r="C198" s="26"/>
      <c r="E198" s="27" t="s">
        <v>513</v>
      </c>
      <c r="F198" s="28">
        <v>1.0</v>
      </c>
    </row>
    <row r="199" ht="36.0" customHeight="1">
      <c r="A199" s="24" t="s">
        <v>121</v>
      </c>
      <c r="B199" s="25" t="s">
        <v>514</v>
      </c>
      <c r="C199" s="26"/>
      <c r="E199" s="27" t="s">
        <v>515</v>
      </c>
      <c r="F199" s="28">
        <v>10.0</v>
      </c>
    </row>
    <row r="200" ht="36.0" customHeight="1">
      <c r="A200" s="24" t="s">
        <v>121</v>
      </c>
      <c r="B200" s="25" t="s">
        <v>516</v>
      </c>
      <c r="C200" s="26"/>
      <c r="E200" s="27" t="s">
        <v>517</v>
      </c>
      <c r="F200" s="28">
        <v>1.0</v>
      </c>
    </row>
    <row r="201" ht="36.0" customHeight="1">
      <c r="A201" s="24" t="s">
        <v>121</v>
      </c>
      <c r="B201" s="25" t="s">
        <v>518</v>
      </c>
      <c r="C201" s="26"/>
      <c r="E201" s="27" t="s">
        <v>519</v>
      </c>
      <c r="F201" s="28">
        <v>2.0</v>
      </c>
    </row>
    <row r="202" ht="36.0" customHeight="1">
      <c r="A202" s="24" t="s">
        <v>121</v>
      </c>
      <c r="B202" s="25" t="s">
        <v>520</v>
      </c>
      <c r="C202" s="26"/>
      <c r="E202" s="27" t="s">
        <v>521</v>
      </c>
      <c r="F202" s="28">
        <v>60.0</v>
      </c>
    </row>
    <row r="203" ht="36.0" customHeight="1">
      <c r="A203" s="24" t="s">
        <v>121</v>
      </c>
      <c r="B203" s="25" t="s">
        <v>522</v>
      </c>
      <c r="C203" s="26"/>
      <c r="E203" s="27" t="s">
        <v>523</v>
      </c>
      <c r="F203" s="28">
        <v>30.0</v>
      </c>
    </row>
    <row r="204" ht="36.0" customHeight="1">
      <c r="A204" s="24" t="s">
        <v>121</v>
      </c>
      <c r="B204" s="25" t="s">
        <v>524</v>
      </c>
      <c r="C204" s="26"/>
      <c r="E204" s="27" t="s">
        <v>525</v>
      </c>
      <c r="F204" s="28">
        <v>18.0</v>
      </c>
    </row>
    <row r="205" ht="36.0" customHeight="1">
      <c r="A205" s="24" t="s">
        <v>121</v>
      </c>
      <c r="B205" s="25" t="s">
        <v>526</v>
      </c>
      <c r="C205" s="26"/>
      <c r="E205" s="27" t="s">
        <v>527</v>
      </c>
      <c r="F205" s="28">
        <v>64.0</v>
      </c>
    </row>
    <row r="206" ht="36.0" customHeight="1">
      <c r="A206" s="24" t="s">
        <v>121</v>
      </c>
      <c r="B206" s="25" t="s">
        <v>528</v>
      </c>
      <c r="C206" s="26"/>
      <c r="E206" s="27" t="s">
        <v>529</v>
      </c>
      <c r="F206" s="28">
        <v>68.0</v>
      </c>
    </row>
    <row r="207" ht="36.0" customHeight="1">
      <c r="A207" s="24" t="s">
        <v>121</v>
      </c>
      <c r="B207" s="25" t="s">
        <v>530</v>
      </c>
      <c r="C207" s="26"/>
      <c r="E207" s="27" t="s">
        <v>530</v>
      </c>
      <c r="F207" s="28">
        <v>30.0</v>
      </c>
    </row>
    <row r="208" ht="36.0" customHeight="1">
      <c r="A208" s="24" t="s">
        <v>121</v>
      </c>
      <c r="B208" s="25" t="s">
        <v>529</v>
      </c>
      <c r="C208" s="26"/>
      <c r="E208" s="27" t="s">
        <v>528</v>
      </c>
      <c r="F208" s="28">
        <v>20.0</v>
      </c>
    </row>
    <row r="209" ht="36.0" customHeight="1">
      <c r="A209" s="24" t="s">
        <v>121</v>
      </c>
      <c r="B209" s="25" t="s">
        <v>527</v>
      </c>
      <c r="C209" s="26"/>
      <c r="E209" s="27" t="s">
        <v>526</v>
      </c>
      <c r="F209" s="28">
        <v>30.0</v>
      </c>
    </row>
    <row r="210" ht="36.0" customHeight="1">
      <c r="A210" s="24" t="s">
        <v>121</v>
      </c>
      <c r="B210" s="25" t="s">
        <v>525</v>
      </c>
      <c r="C210" s="26"/>
      <c r="E210" s="27" t="s">
        <v>524</v>
      </c>
      <c r="F210" s="28">
        <v>100.0</v>
      </c>
    </row>
    <row r="211" ht="36.0" customHeight="1">
      <c r="A211" s="24" t="s">
        <v>121</v>
      </c>
      <c r="B211" s="25" t="s">
        <v>523</v>
      </c>
      <c r="C211" s="26"/>
      <c r="E211" s="27" t="s">
        <v>522</v>
      </c>
      <c r="F211" s="28">
        <v>3.0</v>
      </c>
    </row>
    <row r="212" ht="36.0" customHeight="1">
      <c r="A212" s="24" t="s">
        <v>121</v>
      </c>
      <c r="B212" s="25" t="s">
        <v>521</v>
      </c>
      <c r="C212" s="26"/>
      <c r="E212" s="27" t="s">
        <v>520</v>
      </c>
      <c r="F212" s="28">
        <v>1.0</v>
      </c>
    </row>
    <row r="213" ht="36.0" customHeight="1">
      <c r="A213" s="24" t="s">
        <v>121</v>
      </c>
      <c r="B213" s="25" t="s">
        <v>519</v>
      </c>
      <c r="C213" s="26"/>
      <c r="E213" s="27" t="s">
        <v>518</v>
      </c>
      <c r="F213" s="28">
        <v>176.0</v>
      </c>
    </row>
    <row r="214" ht="36.0" customHeight="1">
      <c r="A214" s="24" t="s">
        <v>121</v>
      </c>
      <c r="B214" s="25" t="s">
        <v>517</v>
      </c>
      <c r="C214" s="26"/>
      <c r="E214" s="27" t="s">
        <v>516</v>
      </c>
      <c r="F214" s="28">
        <v>96.0</v>
      </c>
    </row>
    <row r="215" ht="36.0" customHeight="1">
      <c r="A215" s="24" t="s">
        <v>121</v>
      </c>
      <c r="B215" s="25" t="s">
        <v>515</v>
      </c>
      <c r="C215" s="26"/>
      <c r="E215" s="27" t="s">
        <v>514</v>
      </c>
      <c r="F215" s="28">
        <v>36.0</v>
      </c>
    </row>
    <row r="216" ht="36.0" customHeight="1">
      <c r="A216" s="24" t="s">
        <v>121</v>
      </c>
      <c r="B216" s="25" t="s">
        <v>513</v>
      </c>
      <c r="C216" s="26"/>
      <c r="E216" s="27" t="s">
        <v>512</v>
      </c>
      <c r="F216" s="28">
        <v>5.0</v>
      </c>
    </row>
    <row r="217" ht="36.0" customHeight="1">
      <c r="A217" s="24" t="s">
        <v>121</v>
      </c>
      <c r="B217" s="25" t="s">
        <v>511</v>
      </c>
      <c r="C217" s="26"/>
      <c r="E217" s="27" t="s">
        <v>510</v>
      </c>
      <c r="F217" s="28">
        <v>6.0</v>
      </c>
    </row>
    <row r="218" ht="36.0" customHeight="1">
      <c r="A218" s="24" t="s">
        <v>121</v>
      </c>
      <c r="B218" s="25" t="s">
        <v>509</v>
      </c>
      <c r="C218" s="26"/>
      <c r="E218" s="27" t="s">
        <v>508</v>
      </c>
      <c r="F218" s="28">
        <v>120.0</v>
      </c>
    </row>
    <row r="219" ht="36.0" customHeight="1">
      <c r="A219" s="24" t="s">
        <v>121</v>
      </c>
      <c r="B219" s="25" t="s">
        <v>507</v>
      </c>
      <c r="C219" s="26"/>
      <c r="E219" s="27" t="s">
        <v>506</v>
      </c>
      <c r="F219" s="28">
        <v>1.0</v>
      </c>
    </row>
    <row r="220" ht="36.0" customHeight="1">
      <c r="A220" s="24" t="s">
        <v>121</v>
      </c>
      <c r="B220" s="25" t="s">
        <v>505</v>
      </c>
      <c r="C220" s="26"/>
      <c r="E220" s="27" t="s">
        <v>504</v>
      </c>
      <c r="F220" s="28">
        <v>1.0</v>
      </c>
    </row>
    <row r="221" ht="36.0" customHeight="1">
      <c r="A221" s="24" t="s">
        <v>121</v>
      </c>
      <c r="B221" s="25" t="s">
        <v>503</v>
      </c>
      <c r="C221" s="26"/>
      <c r="E221" s="27" t="s">
        <v>502</v>
      </c>
      <c r="F221" s="28">
        <v>3.0</v>
      </c>
    </row>
    <row r="222" ht="36.0" customHeight="1">
      <c r="A222" s="24" t="s">
        <v>121</v>
      </c>
      <c r="B222" s="25" t="s">
        <v>501</v>
      </c>
      <c r="C222" s="26"/>
      <c r="E222" s="27" t="s">
        <v>500</v>
      </c>
      <c r="F222" s="28">
        <v>2.0</v>
      </c>
    </row>
    <row r="223" ht="36.0" customHeight="1">
      <c r="A223" s="24" t="s">
        <v>121</v>
      </c>
      <c r="B223" s="25" t="s">
        <v>499</v>
      </c>
      <c r="C223" s="26"/>
      <c r="E223" s="27" t="s">
        <v>498</v>
      </c>
      <c r="F223" s="28">
        <v>1.0</v>
      </c>
    </row>
    <row r="224" ht="36.0" customHeight="1">
      <c r="A224" s="24" t="s">
        <v>121</v>
      </c>
      <c r="B224" s="25" t="s">
        <v>497</v>
      </c>
      <c r="C224" s="26"/>
      <c r="E224" s="27" t="s">
        <v>496</v>
      </c>
      <c r="F224" s="28">
        <v>1.0</v>
      </c>
    </row>
    <row r="225" ht="36.0" customHeight="1">
      <c r="A225" s="24" t="s">
        <v>121</v>
      </c>
      <c r="B225" s="25" t="s">
        <v>495</v>
      </c>
      <c r="C225" s="26"/>
      <c r="E225" s="27" t="s">
        <v>494</v>
      </c>
      <c r="F225" s="28">
        <v>3.0</v>
      </c>
    </row>
    <row r="226" ht="36.0" customHeight="1">
      <c r="A226" s="24" t="s">
        <v>121</v>
      </c>
      <c r="B226" s="25" t="s">
        <v>493</v>
      </c>
      <c r="C226" s="26"/>
      <c r="E226" s="27" t="s">
        <v>492</v>
      </c>
      <c r="F226" s="28">
        <v>1.0</v>
      </c>
    </row>
    <row r="227" ht="36.0" customHeight="1">
      <c r="A227" s="24" t="s">
        <v>121</v>
      </c>
      <c r="B227" s="25" t="s">
        <v>491</v>
      </c>
      <c r="C227" s="26"/>
      <c r="E227" s="27" t="s">
        <v>490</v>
      </c>
      <c r="F227" s="28">
        <v>5.0</v>
      </c>
    </row>
    <row r="228" ht="36.0" customHeight="1">
      <c r="A228" s="24" t="s">
        <v>121</v>
      </c>
      <c r="B228" s="25" t="s">
        <v>489</v>
      </c>
      <c r="C228" s="26"/>
      <c r="E228" s="27" t="s">
        <v>488</v>
      </c>
      <c r="F228" s="28">
        <v>1.0</v>
      </c>
    </row>
    <row r="229" ht="36.0" customHeight="1">
      <c r="A229" s="24" t="s">
        <v>121</v>
      </c>
      <c r="B229" s="25" t="s">
        <v>487</v>
      </c>
      <c r="C229" s="26"/>
      <c r="E229" s="27" t="s">
        <v>486</v>
      </c>
      <c r="F229" s="28">
        <v>3.0</v>
      </c>
    </row>
    <row r="230" ht="36.0" customHeight="1">
      <c r="A230" s="24" t="s">
        <v>121</v>
      </c>
      <c r="B230" s="25" t="s">
        <v>485</v>
      </c>
      <c r="C230" s="26"/>
      <c r="E230" s="27" t="s">
        <v>484</v>
      </c>
      <c r="F230" s="28">
        <v>3.0</v>
      </c>
    </row>
    <row r="231" ht="36.0" customHeight="1">
      <c r="A231" s="24" t="s">
        <v>121</v>
      </c>
      <c r="B231" s="25" t="s">
        <v>483</v>
      </c>
      <c r="C231" s="26"/>
      <c r="E231" s="27" t="s">
        <v>482</v>
      </c>
      <c r="F231" s="28">
        <v>2.0</v>
      </c>
    </row>
    <row r="232" ht="36.0" customHeight="1">
      <c r="A232" s="24" t="s">
        <v>121</v>
      </c>
      <c r="B232" s="25" t="s">
        <v>481</v>
      </c>
      <c r="C232" s="26"/>
      <c r="E232" s="27" t="s">
        <v>480</v>
      </c>
      <c r="F232" s="28">
        <v>2.0</v>
      </c>
    </row>
    <row r="233" ht="36.0" customHeight="1">
      <c r="A233" s="24" t="s">
        <v>121</v>
      </c>
      <c r="B233" s="25" t="s">
        <v>479</v>
      </c>
      <c r="C233" s="26"/>
      <c r="E233" s="27" t="s">
        <v>478</v>
      </c>
      <c r="F233" s="28">
        <v>3.0</v>
      </c>
    </row>
    <row r="234" ht="36.0" customHeight="1">
      <c r="A234" s="24" t="s">
        <v>121</v>
      </c>
      <c r="B234" s="25" t="s">
        <v>477</v>
      </c>
      <c r="C234" s="26"/>
      <c r="E234" s="27" t="s">
        <v>476</v>
      </c>
      <c r="F234" s="28">
        <v>66.0</v>
      </c>
    </row>
    <row r="235" ht="36.0" customHeight="1">
      <c r="A235" s="24" t="s">
        <v>121</v>
      </c>
      <c r="B235" s="25" t="s">
        <v>475</v>
      </c>
      <c r="C235" s="26"/>
      <c r="E235" s="27" t="s">
        <v>474</v>
      </c>
      <c r="F235" s="28">
        <v>208.0</v>
      </c>
    </row>
    <row r="236" ht="36.0" customHeight="1">
      <c r="A236" s="24" t="s">
        <v>121</v>
      </c>
      <c r="B236" s="25" t="s">
        <v>473</v>
      </c>
      <c r="C236" s="26"/>
      <c r="E236" s="27" t="s">
        <v>472</v>
      </c>
      <c r="F236" s="28">
        <v>1.0</v>
      </c>
    </row>
    <row r="237" ht="36.0" customHeight="1">
      <c r="A237" s="24" t="s">
        <v>121</v>
      </c>
      <c r="B237" s="25" t="s">
        <v>471</v>
      </c>
      <c r="C237" s="26"/>
      <c r="E237" s="27" t="s">
        <v>470</v>
      </c>
      <c r="F237" s="28">
        <v>1.0</v>
      </c>
    </row>
    <row r="238" ht="36.0" customHeight="1">
      <c r="A238" s="24" t="s">
        <v>121</v>
      </c>
      <c r="B238" s="25" t="s">
        <v>469</v>
      </c>
      <c r="C238" s="26"/>
      <c r="E238" s="27" t="s">
        <v>468</v>
      </c>
      <c r="F238" s="28">
        <v>5.0</v>
      </c>
    </row>
    <row r="239" ht="36.0" customHeight="1">
      <c r="A239" s="24" t="s">
        <v>121</v>
      </c>
      <c r="B239" s="25" t="s">
        <v>467</v>
      </c>
      <c r="C239" s="26"/>
      <c r="E239" s="27" t="s">
        <v>466</v>
      </c>
      <c r="F239" s="28">
        <v>156.0</v>
      </c>
    </row>
    <row r="240" ht="36.0" customHeight="1">
      <c r="A240" s="24" t="s">
        <v>121</v>
      </c>
      <c r="B240" s="25" t="s">
        <v>465</v>
      </c>
      <c r="C240" s="26"/>
      <c r="E240" s="27" t="s">
        <v>464</v>
      </c>
      <c r="F240" s="28">
        <v>3.0</v>
      </c>
    </row>
    <row r="241" ht="36.0" customHeight="1">
      <c r="A241" s="24" t="s">
        <v>121</v>
      </c>
      <c r="B241" s="25" t="s">
        <v>463</v>
      </c>
      <c r="C241" s="26"/>
      <c r="E241" s="27" t="s">
        <v>462</v>
      </c>
      <c r="F241" s="28">
        <v>15.0</v>
      </c>
    </row>
    <row r="242" ht="36.0" customHeight="1">
      <c r="A242" s="24" t="s">
        <v>121</v>
      </c>
      <c r="B242" s="25" t="s">
        <v>461</v>
      </c>
      <c r="C242" s="26"/>
      <c r="E242" s="27" t="s">
        <v>460</v>
      </c>
      <c r="F242" s="28">
        <v>10.0</v>
      </c>
    </row>
    <row r="243" ht="36.0" customHeight="1">
      <c r="A243" s="24" t="s">
        <v>121</v>
      </c>
      <c r="B243" s="25" t="s">
        <v>459</v>
      </c>
      <c r="C243" s="26"/>
      <c r="E243" s="27" t="s">
        <v>458</v>
      </c>
      <c r="F243" s="28">
        <v>10.0</v>
      </c>
    </row>
    <row r="244" ht="36.0" customHeight="1">
      <c r="A244" s="24" t="s">
        <v>121</v>
      </c>
      <c r="B244" s="25" t="s">
        <v>457</v>
      </c>
      <c r="C244" s="26"/>
      <c r="E244" s="27" t="s">
        <v>456</v>
      </c>
      <c r="F244" s="28">
        <v>5.0</v>
      </c>
    </row>
    <row r="245" ht="36.0" customHeight="1">
      <c r="A245" s="24" t="s">
        <v>121</v>
      </c>
      <c r="B245" s="25" t="s">
        <v>455</v>
      </c>
      <c r="C245" s="26"/>
      <c r="E245" s="27" t="s">
        <v>454</v>
      </c>
      <c r="F245" s="28">
        <v>1.0</v>
      </c>
    </row>
    <row r="246" ht="36.0" customHeight="1">
      <c r="A246" s="24" t="s">
        <v>121</v>
      </c>
      <c r="B246" s="25" t="s">
        <v>453</v>
      </c>
      <c r="C246" s="26"/>
      <c r="E246" s="27" t="s">
        <v>452</v>
      </c>
      <c r="F246" s="28">
        <v>0.008</v>
      </c>
    </row>
    <row r="247" ht="36.0" customHeight="1">
      <c r="A247" s="24" t="s">
        <v>121</v>
      </c>
      <c r="B247" s="25" t="s">
        <v>451</v>
      </c>
      <c r="C247" s="26"/>
      <c r="E247" s="27" t="s">
        <v>450</v>
      </c>
      <c r="F247" s="28">
        <v>1.0</v>
      </c>
    </row>
    <row r="248" ht="36.0" customHeight="1">
      <c r="A248" s="24" t="s">
        <v>121</v>
      </c>
      <c r="B248" s="25" t="s">
        <v>449</v>
      </c>
      <c r="C248" s="26"/>
      <c r="E248" s="27" t="s">
        <v>448</v>
      </c>
      <c r="F248" s="28">
        <v>20.0</v>
      </c>
    </row>
    <row r="249" ht="36.0" customHeight="1">
      <c r="A249" s="24" t="s">
        <v>121</v>
      </c>
      <c r="B249" s="25" t="s">
        <v>447</v>
      </c>
      <c r="C249" s="26"/>
      <c r="E249" s="27" t="s">
        <v>446</v>
      </c>
      <c r="F249" s="28">
        <v>8.0</v>
      </c>
    </row>
    <row r="250" ht="36.0" customHeight="1">
      <c r="A250" s="24" t="s">
        <v>121</v>
      </c>
      <c r="B250" s="25" t="s">
        <v>445</v>
      </c>
      <c r="C250" s="26"/>
      <c r="E250" s="27" t="s">
        <v>444</v>
      </c>
      <c r="F250" s="28">
        <v>5.0</v>
      </c>
    </row>
    <row r="251" ht="36.0" customHeight="1">
      <c r="A251" s="24" t="s">
        <v>121</v>
      </c>
      <c r="B251" s="25" t="s">
        <v>443</v>
      </c>
      <c r="C251" s="26"/>
      <c r="E251" s="27" t="s">
        <v>442</v>
      </c>
      <c r="F251" s="28">
        <v>2.0</v>
      </c>
    </row>
    <row r="252" ht="36.0" customHeight="1">
      <c r="A252" s="24" t="s">
        <v>121</v>
      </c>
      <c r="B252" s="25" t="s">
        <v>441</v>
      </c>
      <c r="C252" s="26"/>
      <c r="E252" s="27" t="s">
        <v>440</v>
      </c>
      <c r="F252" s="28">
        <v>1.0</v>
      </c>
    </row>
    <row r="253" ht="36.0" customHeight="1">
      <c r="A253" s="24" t="s">
        <v>121</v>
      </c>
      <c r="B253" s="25" t="s">
        <v>439</v>
      </c>
      <c r="C253" s="26"/>
      <c r="E253" s="27" t="s">
        <v>438</v>
      </c>
      <c r="F253" s="28">
        <v>1.0</v>
      </c>
    </row>
    <row r="254" ht="36.0" customHeight="1">
      <c r="A254" s="24" t="s">
        <v>121</v>
      </c>
      <c r="B254" s="25" t="s">
        <v>437</v>
      </c>
      <c r="C254" s="26"/>
      <c r="E254" s="27" t="s">
        <v>436</v>
      </c>
      <c r="F254" s="28">
        <v>4.0</v>
      </c>
    </row>
    <row r="255" ht="36.0" customHeight="1">
      <c r="A255" s="24" t="s">
        <v>121</v>
      </c>
      <c r="B255" s="25" t="s">
        <v>435</v>
      </c>
      <c r="C255" s="26"/>
      <c r="E255" s="27" t="s">
        <v>434</v>
      </c>
      <c r="F255" s="28">
        <v>4.0</v>
      </c>
    </row>
    <row r="256" ht="36.0" customHeight="1">
      <c r="A256" s="24" t="s">
        <v>121</v>
      </c>
      <c r="B256" s="25" t="s">
        <v>433</v>
      </c>
      <c r="C256" s="26"/>
      <c r="E256" s="27" t="s">
        <v>432</v>
      </c>
      <c r="F256" s="28">
        <v>30.0</v>
      </c>
    </row>
    <row r="257" ht="36.0" customHeight="1">
      <c r="A257" s="24" t="s">
        <v>121</v>
      </c>
      <c r="B257" s="25" t="s">
        <v>431</v>
      </c>
      <c r="C257" s="26"/>
      <c r="E257" s="27" t="s">
        <v>430</v>
      </c>
      <c r="F257" s="28">
        <v>1.0</v>
      </c>
    </row>
    <row r="258" ht="36.0" customHeight="1">
      <c r="A258" s="24" t="s">
        <v>121</v>
      </c>
      <c r="B258" s="25" t="s">
        <v>429</v>
      </c>
      <c r="C258" s="26"/>
      <c r="E258" s="27" t="s">
        <v>428</v>
      </c>
      <c r="F258" s="28">
        <v>100.0</v>
      </c>
    </row>
    <row r="259" ht="36.0" customHeight="1">
      <c r="A259" s="24" t="s">
        <v>121</v>
      </c>
      <c r="B259" s="25" t="s">
        <v>427</v>
      </c>
      <c r="C259" s="26"/>
      <c r="E259" s="27" t="s">
        <v>426</v>
      </c>
      <c r="F259" s="28">
        <v>305.0</v>
      </c>
    </row>
    <row r="260" ht="36.0" customHeight="1">
      <c r="A260" s="24" t="s">
        <v>121</v>
      </c>
      <c r="B260" s="25" t="s">
        <v>425</v>
      </c>
      <c r="C260" s="26"/>
      <c r="E260" s="27" t="s">
        <v>424</v>
      </c>
      <c r="F260" s="28">
        <v>50.0</v>
      </c>
    </row>
    <row r="261" ht="36.0" customHeight="1">
      <c r="A261" s="24" t="s">
        <v>121</v>
      </c>
      <c r="B261" s="25" t="s">
        <v>423</v>
      </c>
      <c r="C261" s="26"/>
      <c r="E261" s="27" t="s">
        <v>422</v>
      </c>
      <c r="F261" s="28">
        <v>700.0</v>
      </c>
    </row>
    <row r="262" ht="36.0" customHeight="1">
      <c r="A262" s="24" t="s">
        <v>121</v>
      </c>
      <c r="B262" s="25" t="s">
        <v>421</v>
      </c>
      <c r="C262" s="26"/>
      <c r="E262" s="27" t="s">
        <v>420</v>
      </c>
      <c r="F262" s="28">
        <v>30.0</v>
      </c>
    </row>
    <row r="263" ht="36.0" customHeight="1">
      <c r="A263" s="24" t="s">
        <v>121</v>
      </c>
      <c r="B263" s="25" t="s">
        <v>419</v>
      </c>
      <c r="C263" s="26"/>
      <c r="E263" s="27" t="s">
        <v>418</v>
      </c>
      <c r="F263" s="28">
        <v>100.0</v>
      </c>
    </row>
    <row r="264" ht="36.0" customHeight="1">
      <c r="A264" s="24" t="s">
        <v>121</v>
      </c>
      <c r="B264" s="25" t="s">
        <v>417</v>
      </c>
      <c r="C264" s="26"/>
      <c r="E264" s="27" t="s">
        <v>416</v>
      </c>
      <c r="F264" s="28">
        <v>1.0</v>
      </c>
    </row>
    <row r="265" ht="36.0" customHeight="1">
      <c r="A265" s="24" t="s">
        <v>121</v>
      </c>
      <c r="B265" s="25" t="s">
        <v>415</v>
      </c>
      <c r="C265" s="26"/>
      <c r="E265" s="27" t="s">
        <v>414</v>
      </c>
      <c r="F265" s="28">
        <v>2.0</v>
      </c>
    </row>
    <row r="266" ht="36.0" customHeight="1">
      <c r="A266" s="24" t="s">
        <v>121</v>
      </c>
      <c r="B266" s="25" t="s">
        <v>413</v>
      </c>
      <c r="C266" s="26"/>
      <c r="E266" s="27" t="s">
        <v>412</v>
      </c>
      <c r="F266" s="28">
        <v>10.0</v>
      </c>
    </row>
    <row r="267" ht="36.0" customHeight="1">
      <c r="A267" s="24" t="s">
        <v>121</v>
      </c>
      <c r="B267" s="25" t="s">
        <v>411</v>
      </c>
      <c r="C267" s="26"/>
      <c r="E267" s="27" t="s">
        <v>410</v>
      </c>
      <c r="F267" s="28">
        <v>1.0</v>
      </c>
    </row>
    <row r="268" ht="36.0" customHeight="1">
      <c r="A268" s="24" t="s">
        <v>121</v>
      </c>
      <c r="B268" s="25" t="s">
        <v>409</v>
      </c>
      <c r="C268" s="26"/>
      <c r="E268" s="27" t="s">
        <v>408</v>
      </c>
      <c r="F268" s="28">
        <v>1.0</v>
      </c>
    </row>
    <row r="269" ht="36.0" customHeight="1">
      <c r="A269" s="24" t="s">
        <v>121</v>
      </c>
      <c r="B269" s="25" t="s">
        <v>407</v>
      </c>
      <c r="C269" s="26"/>
      <c r="E269" s="27" t="s">
        <v>406</v>
      </c>
      <c r="F269" s="28">
        <v>90.0</v>
      </c>
    </row>
    <row r="270" ht="36.0" customHeight="1">
      <c r="A270" s="24" t="s">
        <v>121</v>
      </c>
      <c r="B270" s="25" t="s">
        <v>405</v>
      </c>
      <c r="C270" s="26"/>
      <c r="E270" s="27" t="s">
        <v>404</v>
      </c>
      <c r="F270" s="28">
        <v>74.0</v>
      </c>
    </row>
    <row r="271" ht="36.0" customHeight="1">
      <c r="A271" s="24" t="s">
        <v>121</v>
      </c>
      <c r="B271" s="25" t="s">
        <v>403</v>
      </c>
      <c r="C271" s="26"/>
      <c r="E271" s="27" t="s">
        <v>402</v>
      </c>
      <c r="F271" s="28">
        <v>8.0</v>
      </c>
    </row>
    <row r="272" ht="36.0" customHeight="1">
      <c r="A272" s="24" t="s">
        <v>121</v>
      </c>
      <c r="B272" s="25" t="s">
        <v>401</v>
      </c>
      <c r="C272" s="26"/>
      <c r="E272" s="27" t="s">
        <v>400</v>
      </c>
      <c r="F272" s="28">
        <v>49.0</v>
      </c>
    </row>
    <row r="273" ht="36.0" customHeight="1">
      <c r="A273" s="24" t="s">
        <v>121</v>
      </c>
      <c r="B273" s="25" t="s">
        <v>399</v>
      </c>
      <c r="C273" s="26"/>
      <c r="E273" s="27" t="s">
        <v>398</v>
      </c>
      <c r="F273" s="28">
        <v>2.0</v>
      </c>
    </row>
    <row r="274" ht="36.0" customHeight="1">
      <c r="A274" s="24" t="s">
        <v>121</v>
      </c>
      <c r="B274" s="25" t="s">
        <v>397</v>
      </c>
      <c r="C274" s="26"/>
      <c r="E274" s="27" t="s">
        <v>396</v>
      </c>
      <c r="F274" s="28">
        <v>1.0</v>
      </c>
    </row>
    <row r="275" ht="36.0" customHeight="1">
      <c r="A275" s="24" t="s">
        <v>121</v>
      </c>
      <c r="B275" s="25" t="s">
        <v>395</v>
      </c>
      <c r="C275" s="26"/>
      <c r="E275" s="27" t="s">
        <v>394</v>
      </c>
      <c r="F275" s="28">
        <v>25.0</v>
      </c>
    </row>
    <row r="276" ht="36.0" customHeight="1">
      <c r="A276" s="24" t="s">
        <v>121</v>
      </c>
      <c r="B276" s="25" t="s">
        <v>393</v>
      </c>
      <c r="C276" s="26"/>
      <c r="E276" s="27" t="s">
        <v>392</v>
      </c>
      <c r="F276" s="28">
        <v>2.0</v>
      </c>
    </row>
    <row r="277" ht="36.0" customHeight="1">
      <c r="A277" s="24" t="s">
        <v>121</v>
      </c>
      <c r="B277" s="25" t="s">
        <v>391</v>
      </c>
      <c r="C277" s="26"/>
      <c r="E277" s="27" t="s">
        <v>390</v>
      </c>
      <c r="F277" s="28">
        <v>2.0</v>
      </c>
    </row>
    <row r="278" ht="36.0" customHeight="1">
      <c r="A278" s="24" t="s">
        <v>121</v>
      </c>
      <c r="B278" s="25" t="s">
        <v>389</v>
      </c>
      <c r="C278" s="26"/>
      <c r="E278" s="27" t="s">
        <v>388</v>
      </c>
      <c r="F278" s="28">
        <v>2.0</v>
      </c>
    </row>
    <row r="279" ht="36.0" customHeight="1">
      <c r="A279" s="24" t="s">
        <v>121</v>
      </c>
      <c r="B279" s="25" t="s">
        <v>387</v>
      </c>
      <c r="C279" s="26"/>
      <c r="E279" s="27" t="s">
        <v>386</v>
      </c>
      <c r="F279" s="28">
        <v>7.0</v>
      </c>
    </row>
    <row r="280" ht="36.0" customHeight="1">
      <c r="A280" s="24" t="s">
        <v>121</v>
      </c>
      <c r="B280" s="25" t="s">
        <v>385</v>
      </c>
      <c r="C280" s="26"/>
      <c r="E280" s="27" t="s">
        <v>384</v>
      </c>
      <c r="F280" s="28">
        <v>1.0</v>
      </c>
    </row>
    <row r="281" ht="36.0" customHeight="1">
      <c r="A281" s="24" t="s">
        <v>121</v>
      </c>
      <c r="B281" s="25" t="s">
        <v>383</v>
      </c>
      <c r="C281" s="26"/>
      <c r="E281" s="27" t="s">
        <v>382</v>
      </c>
      <c r="F281" s="28">
        <v>4.0</v>
      </c>
    </row>
    <row r="282" ht="36.0" customHeight="1">
      <c r="A282" s="24" t="s">
        <v>121</v>
      </c>
      <c r="B282" s="25" t="s">
        <v>381</v>
      </c>
      <c r="C282" s="26"/>
      <c r="E282" s="27" t="s">
        <v>380</v>
      </c>
      <c r="F282" s="28">
        <v>10.0</v>
      </c>
    </row>
    <row r="283" ht="36.0" customHeight="1">
      <c r="A283" s="24" t="s">
        <v>121</v>
      </c>
      <c r="B283" s="25" t="s">
        <v>379</v>
      </c>
      <c r="C283" s="26"/>
      <c r="E283" s="27" t="s">
        <v>376</v>
      </c>
      <c r="F283" s="28">
        <v>4.0</v>
      </c>
    </row>
    <row r="284" ht="36.0" customHeight="1">
      <c r="A284" s="24" t="s">
        <v>121</v>
      </c>
      <c r="B284" s="25" t="s">
        <v>377</v>
      </c>
      <c r="C284" s="26"/>
      <c r="E284" s="27" t="s">
        <v>374</v>
      </c>
      <c r="F284" s="28">
        <v>23.0</v>
      </c>
    </row>
    <row r="285" ht="36.0" customHeight="1">
      <c r="A285" s="24" t="s">
        <v>121</v>
      </c>
      <c r="B285" s="25" t="s">
        <v>375</v>
      </c>
      <c r="C285" s="26"/>
      <c r="E285" s="27" t="s">
        <v>372</v>
      </c>
      <c r="F285" s="28">
        <v>2.0</v>
      </c>
    </row>
    <row r="286" ht="36.0" customHeight="1">
      <c r="A286" s="24" t="s">
        <v>121</v>
      </c>
      <c r="B286" s="25" t="s">
        <v>373</v>
      </c>
      <c r="C286" s="26"/>
      <c r="E286" s="27" t="s">
        <v>370</v>
      </c>
      <c r="F286" s="28">
        <v>200.0</v>
      </c>
    </row>
    <row r="287" ht="36.0" customHeight="1">
      <c r="A287" s="24" t="s">
        <v>121</v>
      </c>
      <c r="B287" s="25" t="s">
        <v>371</v>
      </c>
      <c r="C287" s="26"/>
      <c r="E287" s="27" t="s">
        <v>368</v>
      </c>
      <c r="F287" s="28">
        <v>16.0</v>
      </c>
    </row>
    <row r="288" ht="36.0" customHeight="1">
      <c r="A288" s="24" t="s">
        <v>121</v>
      </c>
      <c r="B288" s="25" t="s">
        <v>369</v>
      </c>
      <c r="C288" s="26"/>
      <c r="E288" s="27" t="s">
        <v>366</v>
      </c>
      <c r="F288" s="28">
        <v>10.0</v>
      </c>
    </row>
    <row r="289" ht="36.0" customHeight="1">
      <c r="A289" s="24" t="s">
        <v>121</v>
      </c>
      <c r="B289" s="25" t="s">
        <v>367</v>
      </c>
      <c r="C289" s="26"/>
      <c r="E289" s="27" t="s">
        <v>364</v>
      </c>
      <c r="F289" s="28">
        <v>30.0</v>
      </c>
    </row>
    <row r="290" ht="36.0" customHeight="1">
      <c r="A290" s="24" t="s">
        <v>121</v>
      </c>
      <c r="B290" s="25" t="s">
        <v>365</v>
      </c>
      <c r="C290" s="26"/>
      <c r="E290" s="27" t="s">
        <v>361</v>
      </c>
      <c r="F290" s="28">
        <v>1.0</v>
      </c>
    </row>
    <row r="291" ht="36.0" customHeight="1">
      <c r="A291" s="24" t="s">
        <v>121</v>
      </c>
      <c r="B291" s="25" t="s">
        <v>363</v>
      </c>
      <c r="C291" s="26"/>
      <c r="E291" s="27" t="s">
        <v>359</v>
      </c>
      <c r="F291" s="28">
        <v>76.0</v>
      </c>
    </row>
    <row r="292" ht="36.0" customHeight="1">
      <c r="A292" s="24" t="s">
        <v>121</v>
      </c>
      <c r="B292" s="25" t="s">
        <v>362</v>
      </c>
      <c r="C292" s="26"/>
      <c r="E292" s="27" t="s">
        <v>357</v>
      </c>
      <c r="F292" s="28">
        <v>10.0</v>
      </c>
    </row>
    <row r="293" ht="36.0" customHeight="1">
      <c r="A293" s="24" t="s">
        <v>121</v>
      </c>
      <c r="B293" s="25" t="s">
        <v>360</v>
      </c>
      <c r="C293" s="26"/>
      <c r="E293" s="27" t="s">
        <v>355</v>
      </c>
      <c r="F293" s="28">
        <v>1.0</v>
      </c>
    </row>
    <row r="294" ht="36.0" customHeight="1">
      <c r="A294" s="24" t="s">
        <v>121</v>
      </c>
      <c r="B294" s="25" t="s">
        <v>358</v>
      </c>
      <c r="C294" s="26"/>
      <c r="E294" s="27" t="s">
        <v>353</v>
      </c>
      <c r="F294" s="28">
        <v>1.0</v>
      </c>
    </row>
    <row r="295" ht="36.0" customHeight="1">
      <c r="A295" s="24" t="s">
        <v>121</v>
      </c>
      <c r="B295" s="25" t="s">
        <v>356</v>
      </c>
      <c r="C295" s="26"/>
      <c r="E295" s="27" t="s">
        <v>351</v>
      </c>
      <c r="F295" s="28">
        <v>1.0</v>
      </c>
    </row>
    <row r="296" ht="36.0" customHeight="1">
      <c r="A296" s="24" t="s">
        <v>121</v>
      </c>
      <c r="B296" s="25" t="s">
        <v>354</v>
      </c>
      <c r="C296" s="26"/>
      <c r="E296" s="27" t="s">
        <v>349</v>
      </c>
      <c r="F296" s="28">
        <v>10.0</v>
      </c>
    </row>
    <row r="297" ht="36.0" customHeight="1">
      <c r="A297" s="24" t="s">
        <v>121</v>
      </c>
      <c r="B297" s="25" t="s">
        <v>352</v>
      </c>
      <c r="C297" s="26"/>
      <c r="E297" s="27" t="s">
        <v>347</v>
      </c>
      <c r="F297" s="28">
        <v>25.0</v>
      </c>
    </row>
    <row r="298" ht="36.0" customHeight="1">
      <c r="A298" s="24" t="s">
        <v>121</v>
      </c>
      <c r="B298" s="25" t="s">
        <v>350</v>
      </c>
      <c r="C298" s="26"/>
      <c r="E298" s="27" t="s">
        <v>345</v>
      </c>
      <c r="F298" s="28">
        <v>50.0</v>
      </c>
    </row>
    <row r="299" ht="36.0" customHeight="1">
      <c r="A299" s="24" t="s">
        <v>121</v>
      </c>
      <c r="B299" s="25" t="s">
        <v>348</v>
      </c>
      <c r="C299" s="26"/>
      <c r="E299" s="27" t="s">
        <v>343</v>
      </c>
      <c r="F299" s="28">
        <v>1.0</v>
      </c>
    </row>
    <row r="300" ht="36.0" customHeight="1">
      <c r="A300" s="24" t="s">
        <v>121</v>
      </c>
      <c r="B300" s="25" t="s">
        <v>346</v>
      </c>
      <c r="C300" s="26"/>
      <c r="E300" s="27" t="s">
        <v>341</v>
      </c>
      <c r="F300" s="28">
        <v>190.0</v>
      </c>
    </row>
    <row r="301" ht="36.0" customHeight="1">
      <c r="A301" s="24" t="s">
        <v>121</v>
      </c>
      <c r="B301" s="25" t="s">
        <v>344</v>
      </c>
      <c r="C301" s="26"/>
      <c r="E301" s="27" t="s">
        <v>339</v>
      </c>
      <c r="F301" s="28">
        <v>10.0</v>
      </c>
    </row>
    <row r="302" ht="36.0" customHeight="1">
      <c r="A302" s="24" t="s">
        <v>121</v>
      </c>
      <c r="B302" s="25" t="s">
        <v>342</v>
      </c>
      <c r="C302" s="26"/>
      <c r="E302" s="27" t="s">
        <v>337</v>
      </c>
      <c r="F302" s="28">
        <v>2.0</v>
      </c>
    </row>
    <row r="303" ht="36.0" customHeight="1">
      <c r="A303" s="24" t="s">
        <v>121</v>
      </c>
      <c r="B303" s="25" t="s">
        <v>340</v>
      </c>
      <c r="C303" s="26"/>
      <c r="E303" s="27" t="s">
        <v>335</v>
      </c>
      <c r="F303" s="28">
        <v>1.0</v>
      </c>
    </row>
    <row r="304" ht="36.0" customHeight="1">
      <c r="A304" s="24" t="s">
        <v>121</v>
      </c>
      <c r="B304" s="25" t="s">
        <v>338</v>
      </c>
      <c r="C304" s="26"/>
      <c r="E304" s="27" t="s">
        <v>333</v>
      </c>
      <c r="F304" s="28">
        <v>33.0</v>
      </c>
    </row>
    <row r="305" ht="36.0" customHeight="1">
      <c r="A305" s="24" t="s">
        <v>121</v>
      </c>
      <c r="B305" s="25" t="s">
        <v>336</v>
      </c>
      <c r="C305" s="26"/>
      <c r="E305" s="27" t="s">
        <v>331</v>
      </c>
      <c r="F305" s="28">
        <v>4.0</v>
      </c>
    </row>
    <row r="306" ht="36.0" customHeight="1">
      <c r="A306" s="24" t="s">
        <v>121</v>
      </c>
      <c r="B306" s="25" t="s">
        <v>334</v>
      </c>
      <c r="C306" s="26"/>
      <c r="E306" s="27" t="s">
        <v>329</v>
      </c>
      <c r="F306" s="28">
        <v>1.0</v>
      </c>
    </row>
    <row r="307" ht="36.0" customHeight="1">
      <c r="A307" s="24" t="s">
        <v>121</v>
      </c>
      <c r="B307" s="25" t="s">
        <v>332</v>
      </c>
      <c r="C307" s="26"/>
      <c r="E307" s="27" t="s">
        <v>327</v>
      </c>
      <c r="F307" s="28">
        <v>1.0</v>
      </c>
    </row>
    <row r="308" ht="36.0" customHeight="1">
      <c r="A308" s="24" t="s">
        <v>258</v>
      </c>
      <c r="B308" s="25" t="s">
        <v>531</v>
      </c>
      <c r="C308" s="26"/>
      <c r="E308" s="27" t="s">
        <v>325</v>
      </c>
      <c r="F308" s="28">
        <v>3.0</v>
      </c>
    </row>
    <row r="309" ht="36.0" customHeight="1">
      <c r="A309" s="24" t="s">
        <v>258</v>
      </c>
      <c r="B309" s="25" t="s">
        <v>532</v>
      </c>
      <c r="C309" s="26"/>
      <c r="E309" s="27" t="s">
        <v>323</v>
      </c>
      <c r="F309" s="28">
        <v>1.0</v>
      </c>
    </row>
    <row r="310" ht="36.0" customHeight="1">
      <c r="A310" s="24" t="s">
        <v>121</v>
      </c>
      <c r="B310" s="25" t="s">
        <v>330</v>
      </c>
      <c r="C310" s="26"/>
      <c r="E310" s="27" t="s">
        <v>321</v>
      </c>
      <c r="F310" s="28">
        <v>20.0</v>
      </c>
    </row>
    <row r="311" ht="36.0" customHeight="1">
      <c r="A311" s="24" t="s">
        <v>121</v>
      </c>
      <c r="B311" s="25" t="s">
        <v>328</v>
      </c>
      <c r="C311" s="26"/>
      <c r="E311" s="27" t="s">
        <v>319</v>
      </c>
      <c r="F311" s="28">
        <v>20.0</v>
      </c>
    </row>
    <row r="312" ht="36.0" customHeight="1">
      <c r="A312" s="24" t="s">
        <v>121</v>
      </c>
      <c r="B312" s="25" t="s">
        <v>326</v>
      </c>
      <c r="C312" s="26"/>
      <c r="E312" s="27" t="s">
        <v>317</v>
      </c>
      <c r="F312" s="28">
        <v>100.0</v>
      </c>
    </row>
    <row r="313" ht="36.0" customHeight="1">
      <c r="A313" s="24" t="s">
        <v>121</v>
      </c>
      <c r="B313" s="25" t="s">
        <v>324</v>
      </c>
      <c r="C313" s="26"/>
      <c r="E313" s="27" t="s">
        <v>315</v>
      </c>
      <c r="F313" s="28">
        <v>5.0</v>
      </c>
    </row>
    <row r="314" ht="36.0" customHeight="1">
      <c r="A314" s="24" t="s">
        <v>121</v>
      </c>
      <c r="B314" s="25" t="s">
        <v>322</v>
      </c>
      <c r="C314" s="26"/>
      <c r="E314" s="27" t="s">
        <v>313</v>
      </c>
      <c r="F314" s="28">
        <v>25.0</v>
      </c>
    </row>
    <row r="315" ht="36.0" customHeight="1">
      <c r="A315" s="24" t="s">
        <v>121</v>
      </c>
      <c r="B315" s="25" t="s">
        <v>320</v>
      </c>
      <c r="C315" s="26"/>
      <c r="E315" s="27" t="s">
        <v>311</v>
      </c>
      <c r="F315" s="28">
        <v>2.0</v>
      </c>
    </row>
    <row r="316" ht="36.0" customHeight="1">
      <c r="A316" s="24" t="s">
        <v>121</v>
      </c>
      <c r="B316" s="25" t="s">
        <v>318</v>
      </c>
      <c r="C316" s="26"/>
      <c r="E316" s="27" t="s">
        <v>309</v>
      </c>
      <c r="F316" s="28">
        <v>1.0</v>
      </c>
    </row>
    <row r="317" ht="36.0" customHeight="1">
      <c r="A317" s="24" t="s">
        <v>258</v>
      </c>
      <c r="B317" s="25" t="s">
        <v>533</v>
      </c>
      <c r="C317" s="26"/>
      <c r="E317" s="27" t="s">
        <v>307</v>
      </c>
      <c r="F317" s="28">
        <v>1.0</v>
      </c>
    </row>
    <row r="318" ht="36.0" customHeight="1">
      <c r="A318" s="24" t="s">
        <v>121</v>
      </c>
      <c r="B318" s="25" t="s">
        <v>316</v>
      </c>
      <c r="C318" s="26"/>
      <c r="E318" s="27" t="s">
        <v>305</v>
      </c>
      <c r="F318" s="28">
        <v>1.0</v>
      </c>
    </row>
    <row r="319" ht="36.0" customHeight="1">
      <c r="A319" s="24" t="s">
        <v>121</v>
      </c>
      <c r="B319" s="25" t="s">
        <v>314</v>
      </c>
      <c r="C319" s="26"/>
      <c r="E319" s="27" t="s">
        <v>303</v>
      </c>
      <c r="F319" s="28">
        <v>40.0</v>
      </c>
    </row>
    <row r="320" ht="36.0" customHeight="1">
      <c r="A320" s="24" t="s">
        <v>258</v>
      </c>
      <c r="B320" s="25" t="s">
        <v>534</v>
      </c>
      <c r="C320" s="26"/>
      <c r="E320" s="27" t="s">
        <v>301</v>
      </c>
      <c r="F320" s="28">
        <v>4.0</v>
      </c>
    </row>
    <row r="321" ht="36.0" customHeight="1">
      <c r="A321" s="24" t="s">
        <v>258</v>
      </c>
      <c r="B321" s="25" t="s">
        <v>535</v>
      </c>
      <c r="C321" s="26"/>
      <c r="E321" s="27" t="s">
        <v>299</v>
      </c>
      <c r="F321" s="28">
        <v>10.0</v>
      </c>
    </row>
    <row r="322" ht="36.0" customHeight="1">
      <c r="A322" s="24" t="s">
        <v>121</v>
      </c>
      <c r="B322" s="25" t="s">
        <v>312</v>
      </c>
      <c r="C322" s="26"/>
      <c r="E322" s="27" t="s">
        <v>297</v>
      </c>
      <c r="F322" s="28">
        <v>7.0</v>
      </c>
    </row>
    <row r="323" ht="36.0" customHeight="1">
      <c r="A323" s="24" t="s">
        <v>121</v>
      </c>
      <c r="B323" s="25" t="s">
        <v>310</v>
      </c>
      <c r="C323" s="26"/>
      <c r="E323" s="27" t="s">
        <v>295</v>
      </c>
      <c r="F323" s="28">
        <v>4.0</v>
      </c>
    </row>
    <row r="324" ht="36.0" customHeight="1">
      <c r="A324" s="24" t="s">
        <v>121</v>
      </c>
      <c r="B324" s="25" t="s">
        <v>308</v>
      </c>
      <c r="C324" s="26"/>
      <c r="E324" s="27" t="s">
        <v>293</v>
      </c>
      <c r="F324" s="28">
        <v>150.0</v>
      </c>
    </row>
    <row r="325" ht="36.0" customHeight="1">
      <c r="A325" s="24" t="s">
        <v>121</v>
      </c>
      <c r="B325" s="25" t="s">
        <v>306</v>
      </c>
      <c r="C325" s="26"/>
      <c r="E325" s="27" t="s">
        <v>291</v>
      </c>
      <c r="F325" s="28">
        <v>17.0</v>
      </c>
    </row>
    <row r="326" ht="36.0" customHeight="1">
      <c r="A326" s="24" t="s">
        <v>121</v>
      </c>
      <c r="B326" s="25" t="s">
        <v>304</v>
      </c>
      <c r="C326" s="26"/>
      <c r="E326" s="27" t="s">
        <v>289</v>
      </c>
      <c r="F326" s="28">
        <v>15.0</v>
      </c>
    </row>
    <row r="327" ht="36.0" customHeight="1">
      <c r="A327" s="24" t="s">
        <v>121</v>
      </c>
      <c r="B327" s="25" t="s">
        <v>302</v>
      </c>
      <c r="C327" s="26"/>
      <c r="E327" s="27" t="s">
        <v>287</v>
      </c>
      <c r="F327" s="28">
        <v>1.0</v>
      </c>
    </row>
    <row r="328" ht="36.0" customHeight="1">
      <c r="A328" s="24" t="s">
        <v>121</v>
      </c>
      <c r="B328" s="25" t="s">
        <v>300</v>
      </c>
      <c r="C328" s="26"/>
      <c r="E328" s="27" t="s">
        <v>285</v>
      </c>
      <c r="F328" s="28">
        <v>5.0</v>
      </c>
    </row>
    <row r="329" ht="36.0" customHeight="1">
      <c r="A329" s="24" t="s">
        <v>121</v>
      </c>
      <c r="B329" s="25" t="s">
        <v>298</v>
      </c>
      <c r="C329" s="26"/>
      <c r="E329" s="27" t="s">
        <v>283</v>
      </c>
      <c r="F329" s="28">
        <v>2.0</v>
      </c>
    </row>
    <row r="330" ht="36.0" customHeight="1">
      <c r="A330" s="24" t="s">
        <v>121</v>
      </c>
      <c r="B330" s="25" t="s">
        <v>296</v>
      </c>
      <c r="C330" s="26"/>
      <c r="E330" s="27" t="s">
        <v>281</v>
      </c>
      <c r="F330" s="28">
        <v>30.0</v>
      </c>
    </row>
    <row r="331" ht="36.0" customHeight="1">
      <c r="A331" s="24" t="s">
        <v>121</v>
      </c>
      <c r="B331" s="25" t="s">
        <v>294</v>
      </c>
      <c r="C331" s="26"/>
      <c r="E331" s="27" t="s">
        <v>279</v>
      </c>
      <c r="F331" s="28">
        <v>2.0</v>
      </c>
    </row>
    <row r="332" ht="36.0" customHeight="1">
      <c r="A332" s="24" t="s">
        <v>121</v>
      </c>
      <c r="B332" s="25" t="s">
        <v>292</v>
      </c>
      <c r="C332" s="26"/>
      <c r="E332" s="27" t="s">
        <v>277</v>
      </c>
      <c r="F332" s="28">
        <v>12.0</v>
      </c>
    </row>
    <row r="333" ht="36.0" customHeight="1">
      <c r="A333" s="24" t="s">
        <v>121</v>
      </c>
      <c r="B333" s="25" t="s">
        <v>290</v>
      </c>
      <c r="C333" s="26"/>
      <c r="E333" s="27" t="s">
        <v>275</v>
      </c>
      <c r="F333" s="28">
        <v>1.0</v>
      </c>
    </row>
    <row r="334" ht="36.0" customHeight="1">
      <c r="A334" s="24" t="s">
        <v>121</v>
      </c>
      <c r="B334" s="25" t="s">
        <v>288</v>
      </c>
      <c r="C334" s="26"/>
      <c r="E334" s="27" t="s">
        <v>273</v>
      </c>
      <c r="F334" s="28">
        <v>2.241</v>
      </c>
    </row>
    <row r="335" ht="36.0" customHeight="1">
      <c r="A335" s="24" t="s">
        <v>121</v>
      </c>
      <c r="B335" s="25" t="s">
        <v>286</v>
      </c>
      <c r="C335" s="26"/>
      <c r="E335" s="27" t="s">
        <v>271</v>
      </c>
      <c r="F335" s="28">
        <v>0.002</v>
      </c>
    </row>
    <row r="336" ht="36.0" customHeight="1">
      <c r="A336" s="24" t="s">
        <v>121</v>
      </c>
      <c r="B336" s="25" t="s">
        <v>284</v>
      </c>
      <c r="C336" s="26"/>
      <c r="E336" s="27" t="s">
        <v>269</v>
      </c>
      <c r="F336" s="28">
        <v>0.004</v>
      </c>
    </row>
    <row r="337" ht="36.0" customHeight="1">
      <c r="A337" s="24" t="s">
        <v>121</v>
      </c>
      <c r="B337" s="25" t="s">
        <v>282</v>
      </c>
      <c r="C337" s="26"/>
      <c r="E337" s="27" t="s">
        <v>267</v>
      </c>
      <c r="F337" s="28">
        <v>2.0</v>
      </c>
    </row>
    <row r="338" ht="36.0" customHeight="1">
      <c r="A338" s="24" t="s">
        <v>121</v>
      </c>
      <c r="B338" s="25" t="s">
        <v>280</v>
      </c>
      <c r="C338" s="26"/>
      <c r="E338" s="27" t="s">
        <v>265</v>
      </c>
      <c r="F338" s="28">
        <v>4.0</v>
      </c>
    </row>
    <row r="339" ht="36.0" customHeight="1">
      <c r="A339" s="24" t="s">
        <v>121</v>
      </c>
      <c r="B339" s="25" t="s">
        <v>278</v>
      </c>
      <c r="C339" s="26"/>
      <c r="E339" s="27" t="s">
        <v>263</v>
      </c>
      <c r="F339" s="28">
        <v>1.0</v>
      </c>
    </row>
    <row r="340" ht="36.0" customHeight="1">
      <c r="A340" s="24" t="s">
        <v>121</v>
      </c>
      <c r="B340" s="25" t="s">
        <v>276</v>
      </c>
      <c r="C340" s="26"/>
      <c r="E340" s="27" t="s">
        <v>261</v>
      </c>
      <c r="F340" s="28">
        <v>6.0</v>
      </c>
    </row>
    <row r="341" ht="36.0" customHeight="1">
      <c r="A341" s="24" t="s">
        <v>121</v>
      </c>
      <c r="B341" s="25" t="s">
        <v>274</v>
      </c>
      <c r="C341" s="26"/>
      <c r="E341" s="27" t="s">
        <v>259</v>
      </c>
      <c r="F341" s="28">
        <v>6.0</v>
      </c>
    </row>
    <row r="342" ht="36.0" customHeight="1">
      <c r="A342" s="24" t="s">
        <v>121</v>
      </c>
      <c r="B342" s="25" t="s">
        <v>272</v>
      </c>
      <c r="C342" s="26"/>
      <c r="E342" s="27" t="s">
        <v>256</v>
      </c>
      <c r="F342" s="28">
        <v>3.0</v>
      </c>
    </row>
    <row r="343" ht="36.0" customHeight="1">
      <c r="A343" s="24" t="s">
        <v>121</v>
      </c>
      <c r="B343" s="25" t="s">
        <v>270</v>
      </c>
      <c r="C343" s="26"/>
      <c r="E343" s="27" t="s">
        <v>254</v>
      </c>
      <c r="F343" s="28">
        <v>1.0</v>
      </c>
    </row>
    <row r="344" ht="36.0" customHeight="1">
      <c r="A344" s="24" t="s">
        <v>258</v>
      </c>
      <c r="B344" s="25" t="s">
        <v>536</v>
      </c>
      <c r="C344" s="26"/>
      <c r="E344" s="27" t="s">
        <v>252</v>
      </c>
      <c r="F344" s="28">
        <v>1.0</v>
      </c>
    </row>
    <row r="345" ht="36.0" customHeight="1">
      <c r="A345" s="24" t="s">
        <v>258</v>
      </c>
      <c r="B345" s="25" t="s">
        <v>537</v>
      </c>
      <c r="C345" s="26"/>
      <c r="E345" s="27" t="s">
        <v>250</v>
      </c>
      <c r="F345" s="28">
        <v>2.0</v>
      </c>
    </row>
    <row r="346" ht="36.0" customHeight="1">
      <c r="A346" s="24" t="s">
        <v>258</v>
      </c>
      <c r="B346" s="25" t="s">
        <v>538</v>
      </c>
      <c r="C346" s="26"/>
      <c r="E346" s="27" t="s">
        <v>248</v>
      </c>
      <c r="F346" s="28">
        <v>11.0</v>
      </c>
    </row>
    <row r="347" ht="36.0" customHeight="1">
      <c r="A347" s="24" t="s">
        <v>121</v>
      </c>
      <c r="B347" s="25" t="s">
        <v>268</v>
      </c>
      <c r="C347" s="26"/>
      <c r="E347" s="27" t="s">
        <v>246</v>
      </c>
      <c r="F347" s="28">
        <v>0.006</v>
      </c>
    </row>
    <row r="348" ht="36.0" customHeight="1">
      <c r="A348" s="24" t="s">
        <v>121</v>
      </c>
      <c r="B348" s="25" t="s">
        <v>266</v>
      </c>
      <c r="C348" s="26"/>
      <c r="E348" s="27" t="s">
        <v>244</v>
      </c>
      <c r="F348" s="28">
        <v>1.0</v>
      </c>
    </row>
    <row r="349" ht="36.0" customHeight="1">
      <c r="A349" s="24" t="s">
        <v>258</v>
      </c>
      <c r="B349" s="25" t="s">
        <v>266</v>
      </c>
      <c r="C349" s="26"/>
      <c r="E349" s="27" t="s">
        <v>242</v>
      </c>
      <c r="F349" s="28">
        <v>250.0</v>
      </c>
    </row>
    <row r="350" ht="36.0" customHeight="1">
      <c r="A350" s="24" t="s">
        <v>121</v>
      </c>
      <c r="B350" s="25" t="s">
        <v>264</v>
      </c>
      <c r="C350" s="26"/>
      <c r="E350" s="27" t="s">
        <v>240</v>
      </c>
      <c r="F350" s="28">
        <v>500.0</v>
      </c>
    </row>
    <row r="351" ht="36.0" customHeight="1">
      <c r="A351" s="24" t="s">
        <v>121</v>
      </c>
      <c r="B351" s="25" t="s">
        <v>262</v>
      </c>
      <c r="C351" s="26"/>
      <c r="E351" s="27" t="s">
        <v>238</v>
      </c>
      <c r="F351" s="28">
        <v>1000.0</v>
      </c>
    </row>
    <row r="352" ht="36.0" customHeight="1">
      <c r="A352" s="24" t="s">
        <v>121</v>
      </c>
      <c r="B352" s="25" t="s">
        <v>260</v>
      </c>
      <c r="C352" s="26"/>
      <c r="E352" s="27" t="s">
        <v>236</v>
      </c>
      <c r="F352" s="28">
        <v>200.0</v>
      </c>
    </row>
    <row r="353" ht="36.0" customHeight="1">
      <c r="A353" s="24" t="s">
        <v>121</v>
      </c>
      <c r="B353" s="25" t="s">
        <v>257</v>
      </c>
      <c r="C353" s="26"/>
      <c r="E353" s="27" t="s">
        <v>234</v>
      </c>
      <c r="F353" s="28">
        <v>4.0</v>
      </c>
    </row>
    <row r="354" ht="36.0" customHeight="1">
      <c r="A354" s="24" t="s">
        <v>121</v>
      </c>
      <c r="B354" s="25" t="s">
        <v>255</v>
      </c>
      <c r="C354" s="26"/>
      <c r="E354" s="27" t="s">
        <v>232</v>
      </c>
      <c r="F354" s="28">
        <v>17.0</v>
      </c>
    </row>
    <row r="355" ht="36.0" customHeight="1">
      <c r="A355" s="24" t="s">
        <v>121</v>
      </c>
      <c r="B355" s="25" t="s">
        <v>253</v>
      </c>
      <c r="C355" s="26"/>
      <c r="E355" s="27" t="s">
        <v>230</v>
      </c>
      <c r="F355" s="28">
        <v>27.5</v>
      </c>
    </row>
    <row r="356" ht="36.0" customHeight="1">
      <c r="A356" s="24" t="s">
        <v>121</v>
      </c>
      <c r="B356" s="25" t="s">
        <v>251</v>
      </c>
      <c r="C356" s="26"/>
      <c r="E356" s="27" t="s">
        <v>228</v>
      </c>
      <c r="F356" s="28">
        <v>165.0</v>
      </c>
    </row>
    <row r="357" ht="36.0" customHeight="1">
      <c r="A357" s="24" t="s">
        <v>121</v>
      </c>
      <c r="B357" s="25" t="s">
        <v>249</v>
      </c>
      <c r="C357" s="26"/>
      <c r="E357" s="27" t="s">
        <v>226</v>
      </c>
      <c r="F357" s="28">
        <v>4550.0</v>
      </c>
    </row>
    <row r="358" ht="36.0" customHeight="1">
      <c r="A358" s="24" t="s">
        <v>121</v>
      </c>
      <c r="B358" s="25" t="s">
        <v>247</v>
      </c>
      <c r="C358" s="26"/>
      <c r="E358" s="27" t="s">
        <v>224</v>
      </c>
      <c r="F358" s="28">
        <v>3.0</v>
      </c>
    </row>
    <row r="359" ht="36.0" customHeight="1">
      <c r="A359" s="24" t="s">
        <v>121</v>
      </c>
      <c r="B359" s="25" t="s">
        <v>245</v>
      </c>
      <c r="C359" s="26"/>
      <c r="E359" s="27" t="s">
        <v>222</v>
      </c>
      <c r="F359" s="28">
        <v>5.0</v>
      </c>
    </row>
    <row r="360" ht="36.0" customHeight="1">
      <c r="A360" s="24" t="s">
        <v>121</v>
      </c>
      <c r="B360" s="25" t="s">
        <v>243</v>
      </c>
      <c r="C360" s="26"/>
      <c r="E360" s="27" t="s">
        <v>220</v>
      </c>
      <c r="F360" s="28">
        <v>6.0</v>
      </c>
    </row>
    <row r="361" ht="36.0" customHeight="1">
      <c r="A361" s="24" t="s">
        <v>121</v>
      </c>
      <c r="B361" s="25" t="s">
        <v>241</v>
      </c>
      <c r="C361" s="26"/>
      <c r="E361" s="27" t="s">
        <v>218</v>
      </c>
      <c r="F361" s="28">
        <v>4.0</v>
      </c>
    </row>
    <row r="362" ht="36.0" customHeight="1">
      <c r="A362" s="24" t="s">
        <v>121</v>
      </c>
      <c r="B362" s="25" t="s">
        <v>239</v>
      </c>
      <c r="C362" s="26"/>
      <c r="E362" s="27" t="s">
        <v>216</v>
      </c>
      <c r="F362" s="28">
        <v>2.0</v>
      </c>
    </row>
    <row r="363" ht="36.0" customHeight="1">
      <c r="A363" s="24" t="s">
        <v>121</v>
      </c>
      <c r="B363" s="25" t="s">
        <v>237</v>
      </c>
      <c r="C363" s="26"/>
      <c r="E363" s="27" t="s">
        <v>214</v>
      </c>
      <c r="F363" s="28">
        <v>3.0</v>
      </c>
    </row>
    <row r="364" ht="36.0" customHeight="1">
      <c r="A364" s="24" t="s">
        <v>121</v>
      </c>
      <c r="B364" s="25" t="s">
        <v>235</v>
      </c>
      <c r="C364" s="26"/>
      <c r="E364" s="27" t="s">
        <v>212</v>
      </c>
      <c r="F364" s="28">
        <v>1.0</v>
      </c>
    </row>
    <row r="365" ht="36.0" customHeight="1">
      <c r="A365" s="24" t="s">
        <v>121</v>
      </c>
      <c r="B365" s="25" t="s">
        <v>233</v>
      </c>
      <c r="C365" s="26"/>
      <c r="E365" s="27" t="s">
        <v>210</v>
      </c>
      <c r="F365" s="28">
        <v>2.0</v>
      </c>
    </row>
    <row r="366" ht="36.0" customHeight="1">
      <c r="A366" s="24" t="s">
        <v>121</v>
      </c>
      <c r="B366" s="25" t="s">
        <v>231</v>
      </c>
      <c r="C366" s="26"/>
      <c r="E366" s="27" t="s">
        <v>208</v>
      </c>
      <c r="F366" s="28">
        <v>1.0</v>
      </c>
    </row>
    <row r="367" ht="36.0" customHeight="1">
      <c r="A367" s="24" t="s">
        <v>121</v>
      </c>
      <c r="B367" s="25" t="s">
        <v>229</v>
      </c>
      <c r="C367" s="26"/>
      <c r="E367" s="27" t="s">
        <v>206</v>
      </c>
      <c r="F367" s="28">
        <v>1.0</v>
      </c>
    </row>
    <row r="368" ht="36.0" customHeight="1">
      <c r="A368" s="24" t="s">
        <v>121</v>
      </c>
      <c r="B368" s="25" t="s">
        <v>227</v>
      </c>
      <c r="C368" s="26"/>
      <c r="E368" s="27" t="s">
        <v>204</v>
      </c>
      <c r="F368" s="28">
        <v>1.0</v>
      </c>
    </row>
    <row r="369" ht="36.0" customHeight="1">
      <c r="A369" s="24" t="s">
        <v>121</v>
      </c>
      <c r="B369" s="25" t="s">
        <v>225</v>
      </c>
      <c r="C369" s="26"/>
      <c r="E369" s="27" t="s">
        <v>202</v>
      </c>
      <c r="F369" s="28">
        <v>18.0</v>
      </c>
    </row>
    <row r="370" ht="36.0" customHeight="1">
      <c r="A370" s="24" t="s">
        <v>121</v>
      </c>
      <c r="B370" s="25" t="s">
        <v>223</v>
      </c>
      <c r="C370" s="26"/>
      <c r="E370" s="27" t="s">
        <v>200</v>
      </c>
      <c r="F370" s="28">
        <v>1.0</v>
      </c>
    </row>
    <row r="371" ht="36.0" customHeight="1">
      <c r="A371" s="24" t="s">
        <v>121</v>
      </c>
      <c r="B371" s="25" t="s">
        <v>221</v>
      </c>
      <c r="C371" s="26"/>
      <c r="E371" s="27" t="s">
        <v>198</v>
      </c>
      <c r="F371" s="28">
        <v>3.0</v>
      </c>
    </row>
    <row r="372" ht="36.0" customHeight="1">
      <c r="A372" s="24" t="s">
        <v>121</v>
      </c>
      <c r="B372" s="25" t="s">
        <v>219</v>
      </c>
      <c r="C372" s="26"/>
      <c r="E372" s="27" t="s">
        <v>196</v>
      </c>
      <c r="F372" s="28">
        <v>4.0</v>
      </c>
    </row>
    <row r="373" ht="36.0" customHeight="1">
      <c r="A373" s="24" t="s">
        <v>121</v>
      </c>
      <c r="B373" s="25" t="s">
        <v>217</v>
      </c>
      <c r="C373" s="26"/>
      <c r="E373" s="27" t="s">
        <v>194</v>
      </c>
      <c r="F373" s="28">
        <v>2.0</v>
      </c>
    </row>
    <row r="374" ht="36.0" customHeight="1">
      <c r="A374" s="24" t="s">
        <v>121</v>
      </c>
      <c r="B374" s="25" t="s">
        <v>215</v>
      </c>
      <c r="C374" s="26"/>
      <c r="E374" s="27" t="s">
        <v>192</v>
      </c>
      <c r="F374" s="28">
        <v>1.0</v>
      </c>
    </row>
    <row r="375" ht="36.0" customHeight="1">
      <c r="A375" s="24" t="s">
        <v>121</v>
      </c>
      <c r="B375" s="25" t="s">
        <v>213</v>
      </c>
      <c r="C375" s="26"/>
      <c r="E375" s="27" t="s">
        <v>190</v>
      </c>
      <c r="F375" s="28">
        <v>9.0</v>
      </c>
    </row>
    <row r="376" ht="36.0" customHeight="1">
      <c r="A376" s="24" t="s">
        <v>121</v>
      </c>
      <c r="B376" s="25" t="s">
        <v>211</v>
      </c>
      <c r="C376" s="26"/>
      <c r="E376" s="27" t="s">
        <v>188</v>
      </c>
      <c r="F376" s="28">
        <v>2.0</v>
      </c>
    </row>
    <row r="377" ht="36.0" customHeight="1">
      <c r="A377" s="24" t="s">
        <v>121</v>
      </c>
      <c r="B377" s="25" t="s">
        <v>209</v>
      </c>
      <c r="C377" s="26"/>
      <c r="E377" s="27" t="s">
        <v>186</v>
      </c>
      <c r="F377" s="28">
        <v>2.0</v>
      </c>
    </row>
    <row r="378" ht="36.0" customHeight="1">
      <c r="A378" s="24" t="s">
        <v>121</v>
      </c>
      <c r="B378" s="25" t="s">
        <v>207</v>
      </c>
      <c r="C378" s="26"/>
      <c r="E378" s="27" t="s">
        <v>184</v>
      </c>
      <c r="F378" s="28">
        <v>2.0</v>
      </c>
    </row>
    <row r="379" ht="36.0" customHeight="1">
      <c r="A379" s="24" t="s">
        <v>121</v>
      </c>
      <c r="B379" s="25" t="s">
        <v>205</v>
      </c>
      <c r="C379" s="26"/>
      <c r="E379" s="27" t="s">
        <v>182</v>
      </c>
      <c r="F379" s="28">
        <v>51.4</v>
      </c>
    </row>
    <row r="380" ht="36.0" customHeight="1">
      <c r="A380" s="24" t="s">
        <v>121</v>
      </c>
      <c r="B380" s="25" t="s">
        <v>203</v>
      </c>
      <c r="C380" s="26"/>
      <c r="E380" s="27" t="s">
        <v>180</v>
      </c>
      <c r="F380" s="28">
        <v>4.0</v>
      </c>
    </row>
    <row r="381" ht="36.0" customHeight="1">
      <c r="A381" s="24" t="s">
        <v>121</v>
      </c>
      <c r="B381" s="25" t="s">
        <v>201</v>
      </c>
      <c r="C381" s="26"/>
      <c r="E381" s="27" t="s">
        <v>178</v>
      </c>
      <c r="F381" s="28">
        <v>20.0</v>
      </c>
    </row>
    <row r="382" ht="36.0" customHeight="1">
      <c r="A382" s="24" t="s">
        <v>121</v>
      </c>
      <c r="B382" s="25" t="s">
        <v>199</v>
      </c>
      <c r="C382" s="26"/>
      <c r="E382" s="27" t="s">
        <v>176</v>
      </c>
      <c r="F382" s="28">
        <v>25.2</v>
      </c>
    </row>
    <row r="383" ht="36.0" customHeight="1">
      <c r="A383" s="24" t="s">
        <v>121</v>
      </c>
      <c r="B383" s="25" t="s">
        <v>197</v>
      </c>
      <c r="C383" s="26"/>
      <c r="E383" s="27" t="s">
        <v>174</v>
      </c>
      <c r="F383" s="28">
        <v>18.0</v>
      </c>
    </row>
    <row r="384" ht="36.0" customHeight="1">
      <c r="A384" s="24" t="s">
        <v>121</v>
      </c>
      <c r="B384" s="25" t="s">
        <v>195</v>
      </c>
      <c r="C384" s="26"/>
      <c r="E384" s="27" t="s">
        <v>172</v>
      </c>
      <c r="F384" s="28">
        <v>1.0</v>
      </c>
    </row>
    <row r="385" ht="36.0" customHeight="1">
      <c r="A385" s="24" t="s">
        <v>121</v>
      </c>
      <c r="B385" s="25" t="s">
        <v>193</v>
      </c>
      <c r="C385" s="26"/>
      <c r="E385" s="27" t="s">
        <v>170</v>
      </c>
      <c r="F385" s="28">
        <v>3.0</v>
      </c>
    </row>
    <row r="386" ht="36.0" customHeight="1">
      <c r="A386" s="24" t="s">
        <v>121</v>
      </c>
      <c r="B386" s="25" t="s">
        <v>191</v>
      </c>
      <c r="C386" s="26"/>
      <c r="E386" s="27" t="s">
        <v>168</v>
      </c>
      <c r="F386" s="28">
        <v>3.0</v>
      </c>
    </row>
    <row r="387" ht="36.0" customHeight="1">
      <c r="A387" s="24" t="s">
        <v>121</v>
      </c>
      <c r="B387" s="25" t="s">
        <v>189</v>
      </c>
      <c r="C387" s="26"/>
      <c r="E387" s="27" t="s">
        <v>166</v>
      </c>
      <c r="F387" s="28">
        <v>68.0</v>
      </c>
    </row>
    <row r="388" ht="36.0" customHeight="1">
      <c r="A388" s="24" t="s">
        <v>121</v>
      </c>
      <c r="B388" s="25" t="s">
        <v>187</v>
      </c>
      <c r="C388" s="26"/>
      <c r="E388" s="27" t="s">
        <v>164</v>
      </c>
      <c r="F388" s="28">
        <v>2.0</v>
      </c>
    </row>
    <row r="389" ht="36.0" customHeight="1">
      <c r="A389" s="24" t="s">
        <v>121</v>
      </c>
      <c r="B389" s="25" t="s">
        <v>185</v>
      </c>
      <c r="C389" s="26"/>
      <c r="E389" s="27" t="s">
        <v>162</v>
      </c>
      <c r="F389" s="28">
        <v>2.0</v>
      </c>
    </row>
    <row r="390" ht="36.0" customHeight="1">
      <c r="A390" s="24" t="s">
        <v>121</v>
      </c>
      <c r="B390" s="25" t="s">
        <v>183</v>
      </c>
      <c r="C390" s="26"/>
      <c r="E390" s="27" t="s">
        <v>160</v>
      </c>
      <c r="F390" s="28">
        <v>5.0</v>
      </c>
    </row>
    <row r="391" ht="36.0" customHeight="1">
      <c r="A391" s="24" t="s">
        <v>121</v>
      </c>
      <c r="B391" s="25" t="s">
        <v>181</v>
      </c>
      <c r="C391" s="26"/>
      <c r="E391" s="27" t="s">
        <v>158</v>
      </c>
      <c r="F391" s="28">
        <v>3.0</v>
      </c>
    </row>
    <row r="392" ht="36.0" customHeight="1">
      <c r="A392" s="24" t="s">
        <v>121</v>
      </c>
      <c r="B392" s="25" t="s">
        <v>179</v>
      </c>
      <c r="C392" s="26"/>
      <c r="E392" s="27" t="s">
        <v>156</v>
      </c>
      <c r="F392" s="28">
        <v>1.0</v>
      </c>
    </row>
    <row r="393" ht="36.0" customHeight="1">
      <c r="A393" s="24" t="s">
        <v>121</v>
      </c>
      <c r="B393" s="25" t="s">
        <v>177</v>
      </c>
      <c r="C393" s="26"/>
      <c r="E393" s="27" t="s">
        <v>154</v>
      </c>
      <c r="F393" s="28">
        <v>7.2</v>
      </c>
    </row>
    <row r="394" ht="36.0" customHeight="1">
      <c r="A394" s="24" t="s">
        <v>121</v>
      </c>
      <c r="B394" s="25" t="s">
        <v>175</v>
      </c>
      <c r="C394" s="26"/>
      <c r="E394" s="27" t="s">
        <v>152</v>
      </c>
      <c r="F394" s="28">
        <v>1.0</v>
      </c>
    </row>
    <row r="395" ht="36.0" customHeight="1">
      <c r="A395" s="24" t="s">
        <v>121</v>
      </c>
      <c r="B395" s="25" t="s">
        <v>173</v>
      </c>
      <c r="C395" s="26"/>
      <c r="E395" s="27" t="s">
        <v>150</v>
      </c>
      <c r="F395" s="28">
        <v>1.0</v>
      </c>
    </row>
    <row r="396" ht="36.0" customHeight="1">
      <c r="A396" s="24" t="s">
        <v>121</v>
      </c>
      <c r="B396" s="25" t="s">
        <v>171</v>
      </c>
      <c r="C396" s="26"/>
      <c r="E396" s="27" t="s">
        <v>148</v>
      </c>
      <c r="F396" s="28">
        <v>4.0</v>
      </c>
    </row>
    <row r="397" ht="36.0" customHeight="1">
      <c r="A397" s="24" t="s">
        <v>121</v>
      </c>
      <c r="B397" s="25" t="s">
        <v>169</v>
      </c>
      <c r="C397" s="26"/>
      <c r="E397" s="27" t="s">
        <v>146</v>
      </c>
      <c r="F397" s="28">
        <v>2.0</v>
      </c>
    </row>
    <row r="398" ht="36.0" customHeight="1">
      <c r="A398" s="24" t="s">
        <v>121</v>
      </c>
      <c r="B398" s="25" t="s">
        <v>167</v>
      </c>
      <c r="C398" s="26"/>
      <c r="E398" s="27" t="s">
        <v>144</v>
      </c>
      <c r="F398" s="28">
        <v>50.0</v>
      </c>
    </row>
    <row r="399" ht="36.0" customHeight="1">
      <c r="A399" s="24" t="s">
        <v>121</v>
      </c>
      <c r="B399" s="25" t="s">
        <v>165</v>
      </c>
      <c r="C399" s="26"/>
      <c r="E399" s="27" t="s">
        <v>142</v>
      </c>
      <c r="F399" s="28">
        <v>30.0</v>
      </c>
    </row>
    <row r="400" ht="36.0" customHeight="1">
      <c r="A400" s="24" t="s">
        <v>121</v>
      </c>
      <c r="B400" s="25" t="s">
        <v>163</v>
      </c>
      <c r="C400" s="26"/>
      <c r="E400" s="27" t="s">
        <v>140</v>
      </c>
      <c r="F400" s="28">
        <v>6.0</v>
      </c>
    </row>
    <row r="401" ht="36.0" customHeight="1">
      <c r="A401" s="24" t="s">
        <v>121</v>
      </c>
      <c r="B401" s="25" t="s">
        <v>161</v>
      </c>
      <c r="C401" s="26"/>
      <c r="E401" s="27" t="s">
        <v>138</v>
      </c>
      <c r="F401" s="28">
        <v>1.0</v>
      </c>
    </row>
    <row r="402" ht="36.0" customHeight="1">
      <c r="A402" s="24" t="s">
        <v>121</v>
      </c>
      <c r="B402" s="25" t="s">
        <v>159</v>
      </c>
      <c r="C402" s="26"/>
      <c r="E402" s="27" t="s">
        <v>136</v>
      </c>
      <c r="F402" s="28">
        <v>1.0</v>
      </c>
    </row>
    <row r="403" ht="36.0" customHeight="1">
      <c r="A403" s="24" t="s">
        <v>121</v>
      </c>
      <c r="B403" s="25" t="s">
        <v>157</v>
      </c>
      <c r="C403" s="26"/>
      <c r="E403" s="27" t="s">
        <v>134</v>
      </c>
      <c r="F403" s="28">
        <v>37.0</v>
      </c>
    </row>
    <row r="404" ht="36.0" customHeight="1">
      <c r="A404" s="24" t="s">
        <v>121</v>
      </c>
      <c r="B404" s="25" t="s">
        <v>155</v>
      </c>
      <c r="C404" s="26"/>
      <c r="E404" s="27" t="s">
        <v>132</v>
      </c>
      <c r="F404" s="28">
        <v>1.0</v>
      </c>
    </row>
    <row r="405" ht="36.0" customHeight="1">
      <c r="A405" s="24" t="s">
        <v>121</v>
      </c>
      <c r="B405" s="25" t="s">
        <v>153</v>
      </c>
      <c r="C405" s="26"/>
      <c r="E405" s="27" t="s">
        <v>130</v>
      </c>
      <c r="F405" s="28">
        <v>1.0</v>
      </c>
    </row>
    <row r="406" ht="36.0" customHeight="1">
      <c r="A406" s="24" t="s">
        <v>121</v>
      </c>
      <c r="B406" s="25" t="s">
        <v>151</v>
      </c>
      <c r="C406" s="26"/>
      <c r="E406" s="27" t="s">
        <v>128</v>
      </c>
      <c r="F406" s="28">
        <v>1.0</v>
      </c>
    </row>
    <row r="407" ht="36.0" customHeight="1">
      <c r="A407" s="24" t="s">
        <v>121</v>
      </c>
      <c r="B407" s="25" t="s">
        <v>149</v>
      </c>
      <c r="C407" s="26"/>
      <c r="E407" s="27" t="s">
        <v>126</v>
      </c>
      <c r="F407" s="28">
        <v>4.0</v>
      </c>
    </row>
    <row r="408" ht="36.0" customHeight="1">
      <c r="A408" s="24" t="s">
        <v>121</v>
      </c>
      <c r="B408" s="25" t="s">
        <v>147</v>
      </c>
      <c r="C408" s="26"/>
      <c r="E408" s="27" t="s">
        <v>124</v>
      </c>
      <c r="F408" s="28">
        <v>3.0</v>
      </c>
    </row>
    <row r="409" ht="36.0" customHeight="1">
      <c r="A409" s="24" t="s">
        <v>121</v>
      </c>
      <c r="B409" s="25" t="s">
        <v>145</v>
      </c>
      <c r="C409" s="26"/>
      <c r="E409" s="27" t="s">
        <v>122</v>
      </c>
      <c r="F409" s="28">
        <v>3.0</v>
      </c>
    </row>
    <row r="410" ht="36.0" customHeight="1">
      <c r="A410" s="24" t="s">
        <v>121</v>
      </c>
      <c r="B410" s="25" t="s">
        <v>143</v>
      </c>
      <c r="C410" s="26"/>
      <c r="D410" s="27"/>
      <c r="E410" s="27" t="s">
        <v>266</v>
      </c>
      <c r="F410" s="28">
        <v>1.0</v>
      </c>
      <c r="G410" s="27"/>
      <c r="H410" s="27"/>
      <c r="I410" s="27"/>
    </row>
    <row r="411" ht="36.0" customHeight="1">
      <c r="A411" s="24" t="s">
        <v>121</v>
      </c>
      <c r="B411" s="25" t="s">
        <v>141</v>
      </c>
      <c r="C411" s="26"/>
      <c r="D411" s="27"/>
      <c r="E411" s="27" t="s">
        <v>538</v>
      </c>
      <c r="F411" s="28">
        <v>1.0</v>
      </c>
      <c r="G411" s="27"/>
      <c r="H411" s="27"/>
      <c r="I411" s="27"/>
    </row>
    <row r="412" ht="36.0" customHeight="1">
      <c r="A412" s="24" t="s">
        <v>121</v>
      </c>
      <c r="B412" s="25" t="s">
        <v>139</v>
      </c>
      <c r="C412" s="26"/>
      <c r="D412" s="27"/>
      <c r="E412" s="27" t="s">
        <v>537</v>
      </c>
      <c r="F412" s="28">
        <v>1.0</v>
      </c>
      <c r="G412" s="27"/>
      <c r="H412" s="27"/>
      <c r="I412" s="27"/>
    </row>
    <row r="413" ht="36.0" customHeight="1">
      <c r="A413" s="24" t="s">
        <v>121</v>
      </c>
      <c r="B413" s="25" t="s">
        <v>137</v>
      </c>
      <c r="C413" s="26"/>
      <c r="D413" s="27"/>
      <c r="E413" s="27" t="s">
        <v>536</v>
      </c>
      <c r="F413" s="28">
        <v>31.0</v>
      </c>
      <c r="G413" s="27"/>
      <c r="H413" s="27"/>
      <c r="I413" s="27"/>
    </row>
    <row r="414" ht="36.0" customHeight="1">
      <c r="A414" s="24" t="s">
        <v>121</v>
      </c>
      <c r="B414" s="25" t="s">
        <v>135</v>
      </c>
      <c r="C414" s="26"/>
      <c r="D414" s="27"/>
      <c r="E414" s="27" t="s">
        <v>535</v>
      </c>
      <c r="F414" s="28">
        <v>3.0</v>
      </c>
      <c r="G414" s="27"/>
      <c r="H414" s="27"/>
      <c r="I414" s="27"/>
    </row>
    <row r="415" ht="36.0" customHeight="1">
      <c r="A415" s="24" t="s">
        <v>121</v>
      </c>
      <c r="B415" s="25" t="s">
        <v>133</v>
      </c>
      <c r="C415" s="26"/>
      <c r="D415" s="27"/>
      <c r="E415" s="27" t="s">
        <v>534</v>
      </c>
      <c r="F415" s="28">
        <v>7.0</v>
      </c>
      <c r="G415" s="27"/>
      <c r="H415" s="27"/>
      <c r="I415" s="27"/>
    </row>
    <row r="416" ht="36.0" customHeight="1">
      <c r="A416" s="24" t="s">
        <v>121</v>
      </c>
      <c r="B416" s="25" t="s">
        <v>131</v>
      </c>
      <c r="C416" s="26"/>
      <c r="D416" s="27"/>
      <c r="E416" s="27" t="s">
        <v>533</v>
      </c>
      <c r="F416" s="28">
        <v>12.0</v>
      </c>
      <c r="G416" s="27"/>
      <c r="H416" s="27"/>
      <c r="I416" s="27"/>
    </row>
    <row r="417" ht="36.0" customHeight="1">
      <c r="A417" s="24" t="s">
        <v>121</v>
      </c>
      <c r="B417" s="25" t="s">
        <v>129</v>
      </c>
      <c r="C417" s="26"/>
      <c r="D417" s="27"/>
      <c r="E417" s="27" t="s">
        <v>532</v>
      </c>
      <c r="F417" s="28">
        <v>2.0</v>
      </c>
      <c r="G417" s="27"/>
      <c r="H417" s="27"/>
      <c r="I417" s="27"/>
    </row>
    <row r="418" ht="36.0" customHeight="1">
      <c r="A418" s="24" t="s">
        <v>121</v>
      </c>
      <c r="B418" s="25" t="s">
        <v>127</v>
      </c>
      <c r="C418" s="26"/>
      <c r="D418" s="27"/>
      <c r="E418" s="27" t="s">
        <v>531</v>
      </c>
      <c r="F418" s="28">
        <v>4.0</v>
      </c>
      <c r="G418" s="27"/>
      <c r="H418" s="27"/>
      <c r="I418" s="27"/>
    </row>
    <row r="419" ht="36.0" customHeight="1">
      <c r="A419" s="24" t="s">
        <v>121</v>
      </c>
      <c r="B419" s="25" t="s">
        <v>125</v>
      </c>
      <c r="C419" s="26"/>
      <c r="D419" s="27"/>
      <c r="E419" s="27" t="s">
        <v>378</v>
      </c>
      <c r="F419" s="28">
        <v>5.0</v>
      </c>
      <c r="G419" s="27"/>
      <c r="H419" s="27"/>
      <c r="I419" s="27"/>
    </row>
    <row r="420" ht="36.0" customHeight="1">
      <c r="A420" s="24" t="s">
        <v>121</v>
      </c>
      <c r="B420" s="25" t="s">
        <v>123</v>
      </c>
      <c r="C420" s="26"/>
      <c r="D420" s="27"/>
      <c r="E420" s="27" t="s">
        <v>361</v>
      </c>
      <c r="F420" s="28">
        <v>1.0</v>
      </c>
      <c r="G420" s="27"/>
      <c r="H420" s="27"/>
      <c r="I420" s="27"/>
    </row>
    <row r="421">
      <c r="A421" s="29"/>
      <c r="B421" s="29"/>
      <c r="C421" s="30"/>
      <c r="D421" s="27"/>
      <c r="E421" s="27" t="s">
        <v>259</v>
      </c>
      <c r="F421" s="28">
        <v>5.0</v>
      </c>
      <c r="G421" s="27"/>
      <c r="H421" s="27"/>
      <c r="I421" s="27"/>
    </row>
    <row r="422">
      <c r="A422" s="29"/>
      <c r="B422" s="29"/>
      <c r="C422" s="30"/>
    </row>
    <row r="423">
      <c r="A423" s="29"/>
      <c r="B423" s="29"/>
      <c r="C423" s="30"/>
    </row>
    <row r="424">
      <c r="A424" s="29"/>
      <c r="B424" s="29"/>
      <c r="C424" s="30"/>
    </row>
    <row r="425">
      <c r="A425" s="29"/>
      <c r="B425" s="29"/>
      <c r="C425" s="30"/>
    </row>
    <row r="426">
      <c r="A426" s="29"/>
      <c r="B426" s="29"/>
      <c r="C426" s="30"/>
    </row>
    <row r="427">
      <c r="A427" s="29"/>
      <c r="B427" s="29"/>
      <c r="C427" s="30"/>
    </row>
    <row r="428">
      <c r="A428" s="29"/>
      <c r="B428" s="29"/>
      <c r="C428" s="30"/>
    </row>
    <row r="429">
      <c r="A429" s="29"/>
      <c r="B429" s="29"/>
      <c r="C429" s="30"/>
    </row>
    <row r="430">
      <c r="A430" s="29"/>
      <c r="B430" s="29"/>
      <c r="C430" s="30"/>
    </row>
    <row r="431">
      <c r="A431" s="29"/>
      <c r="B431" s="29"/>
      <c r="C431" s="30"/>
    </row>
    <row r="432">
      <c r="A432" s="29"/>
      <c r="B432" s="29"/>
      <c r="C432" s="30"/>
    </row>
    <row r="433">
      <c r="A433" s="29"/>
      <c r="B433" s="29"/>
      <c r="C433" s="30"/>
    </row>
    <row r="434">
      <c r="A434" s="29"/>
      <c r="B434" s="29"/>
      <c r="C434" s="30"/>
    </row>
    <row r="435">
      <c r="A435" s="29"/>
      <c r="B435" s="29"/>
      <c r="C435" s="30"/>
    </row>
    <row r="436">
      <c r="A436" s="29"/>
      <c r="B436" s="29"/>
      <c r="C436" s="30"/>
    </row>
    <row r="437">
      <c r="A437" s="29"/>
      <c r="B437" s="29"/>
      <c r="C437" s="30"/>
    </row>
    <row r="438">
      <c r="A438" s="29"/>
      <c r="B438" s="29"/>
      <c r="C438" s="30"/>
    </row>
    <row r="439">
      <c r="A439" s="29"/>
      <c r="B439" s="29"/>
      <c r="C439" s="30"/>
    </row>
    <row r="440">
      <c r="A440" s="29"/>
      <c r="B440" s="29"/>
      <c r="C440" s="30"/>
    </row>
    <row r="441">
      <c r="A441" s="29"/>
      <c r="B441" s="29"/>
      <c r="C441" s="30"/>
    </row>
    <row r="442">
      <c r="A442" s="29"/>
      <c r="B442" s="29"/>
      <c r="C442" s="30"/>
    </row>
    <row r="443">
      <c r="A443" s="29"/>
      <c r="B443" s="29"/>
      <c r="C443" s="30"/>
    </row>
    <row r="444">
      <c r="A444" s="29"/>
      <c r="B444" s="29"/>
      <c r="C444" s="30"/>
    </row>
    <row r="445">
      <c r="A445" s="29"/>
      <c r="B445" s="29"/>
      <c r="C445" s="30"/>
    </row>
    <row r="446">
      <c r="A446" s="29"/>
      <c r="B446" s="29"/>
      <c r="C446" s="30"/>
    </row>
    <row r="447">
      <c r="A447" s="29"/>
      <c r="B447" s="29"/>
      <c r="C447" s="30"/>
    </row>
    <row r="448">
      <c r="A448" s="29"/>
      <c r="B448" s="29"/>
      <c r="C448" s="30"/>
    </row>
    <row r="449">
      <c r="A449" s="29"/>
      <c r="B449" s="29"/>
      <c r="C449" s="30"/>
    </row>
    <row r="450">
      <c r="A450" s="29"/>
      <c r="B450" s="29"/>
      <c r="C450" s="30"/>
    </row>
    <row r="451">
      <c r="A451" s="29"/>
      <c r="B451" s="29"/>
      <c r="C451" s="30"/>
    </row>
    <row r="452">
      <c r="A452" s="29"/>
      <c r="B452" s="29"/>
      <c r="C452" s="30"/>
    </row>
    <row r="453">
      <c r="A453" s="29"/>
      <c r="B453" s="29"/>
      <c r="C453" s="30"/>
    </row>
    <row r="454">
      <c r="A454" s="29"/>
      <c r="B454" s="29"/>
      <c r="C454" s="30"/>
    </row>
    <row r="455">
      <c r="A455" s="29"/>
      <c r="B455" s="29"/>
      <c r="C455" s="30"/>
    </row>
    <row r="456">
      <c r="A456" s="29"/>
      <c r="B456" s="29"/>
      <c r="C456" s="30"/>
    </row>
    <row r="457">
      <c r="A457" s="29"/>
      <c r="B457" s="29"/>
      <c r="C457" s="30"/>
    </row>
    <row r="458">
      <c r="A458" s="29"/>
      <c r="B458" s="29"/>
      <c r="C458" s="30"/>
    </row>
    <row r="459">
      <c r="A459" s="29"/>
      <c r="B459" s="29"/>
      <c r="C459" s="30"/>
    </row>
    <row r="460">
      <c r="A460" s="29"/>
      <c r="B460" s="29"/>
      <c r="C460" s="30"/>
    </row>
    <row r="461">
      <c r="A461" s="29"/>
      <c r="B461" s="29"/>
      <c r="C461" s="30"/>
    </row>
    <row r="462">
      <c r="A462" s="29"/>
      <c r="B462" s="29"/>
      <c r="C462" s="30"/>
    </row>
    <row r="463">
      <c r="A463" s="29"/>
      <c r="B463" s="29"/>
      <c r="C463" s="30"/>
    </row>
    <row r="464">
      <c r="A464" s="29"/>
      <c r="B464" s="29"/>
      <c r="C464" s="30"/>
    </row>
    <row r="465">
      <c r="A465" s="29"/>
      <c r="B465" s="29"/>
      <c r="C465" s="30"/>
    </row>
    <row r="466">
      <c r="A466" s="29"/>
      <c r="B466" s="29"/>
      <c r="C466" s="30"/>
    </row>
    <row r="467">
      <c r="A467" s="29"/>
      <c r="B467" s="29"/>
      <c r="C467" s="30"/>
    </row>
    <row r="468">
      <c r="A468" s="29"/>
      <c r="B468" s="29"/>
      <c r="C468" s="30"/>
    </row>
    <row r="469">
      <c r="A469" s="29"/>
      <c r="B469" s="29"/>
      <c r="C469" s="30"/>
    </row>
    <row r="470">
      <c r="A470" s="29"/>
      <c r="B470" s="29"/>
      <c r="C470" s="30"/>
    </row>
    <row r="471">
      <c r="A471" s="29"/>
      <c r="B471" s="29"/>
      <c r="C471" s="30"/>
    </row>
    <row r="472">
      <c r="A472" s="29"/>
      <c r="B472" s="29"/>
      <c r="C472" s="30"/>
    </row>
    <row r="473">
      <c r="A473" s="29"/>
      <c r="B473" s="29"/>
      <c r="C473" s="30"/>
    </row>
    <row r="474">
      <c r="A474" s="29"/>
      <c r="B474" s="29"/>
      <c r="C474" s="30"/>
    </row>
    <row r="475">
      <c r="A475" s="29"/>
      <c r="B475" s="29"/>
      <c r="C475" s="30"/>
    </row>
    <row r="476">
      <c r="A476" s="29"/>
      <c r="B476" s="29"/>
      <c r="C476" s="30"/>
    </row>
    <row r="477">
      <c r="A477" s="29"/>
      <c r="B477" s="29"/>
      <c r="C477" s="30"/>
    </row>
    <row r="478">
      <c r="A478" s="29"/>
      <c r="B478" s="29"/>
      <c r="C478" s="30"/>
    </row>
    <row r="479">
      <c r="A479" s="29"/>
      <c r="B479" s="29"/>
      <c r="C479" s="30"/>
    </row>
    <row r="480">
      <c r="A480" s="29"/>
      <c r="B480" s="29"/>
      <c r="C480" s="30"/>
    </row>
    <row r="481">
      <c r="A481" s="29"/>
      <c r="B481" s="29"/>
      <c r="C481" s="30"/>
    </row>
    <row r="482">
      <c r="A482" s="29"/>
      <c r="B482" s="29"/>
      <c r="C482" s="30"/>
    </row>
    <row r="483">
      <c r="A483" s="29"/>
      <c r="B483" s="29"/>
      <c r="C483" s="30"/>
    </row>
    <row r="484">
      <c r="A484" s="29"/>
      <c r="B484" s="29"/>
      <c r="C484" s="30"/>
    </row>
    <row r="485">
      <c r="A485" s="29"/>
      <c r="B485" s="29"/>
      <c r="C485" s="30"/>
    </row>
    <row r="486">
      <c r="A486" s="29"/>
      <c r="B486" s="29"/>
      <c r="C486" s="30"/>
    </row>
    <row r="487">
      <c r="A487" s="29"/>
      <c r="B487" s="29"/>
      <c r="C487" s="30"/>
    </row>
    <row r="488">
      <c r="A488" s="29"/>
      <c r="B488" s="29"/>
      <c r="C488" s="30"/>
    </row>
    <row r="489">
      <c r="A489" s="29"/>
      <c r="B489" s="29"/>
      <c r="C489" s="30"/>
    </row>
    <row r="490">
      <c r="A490" s="29"/>
      <c r="B490" s="29"/>
      <c r="C490" s="30"/>
    </row>
    <row r="491">
      <c r="A491" s="29"/>
      <c r="B491" s="29"/>
      <c r="C491" s="30"/>
    </row>
    <row r="492">
      <c r="A492" s="29"/>
      <c r="B492" s="29"/>
      <c r="C492" s="30"/>
    </row>
    <row r="493">
      <c r="A493" s="29"/>
      <c r="B493" s="29"/>
      <c r="C493" s="30"/>
    </row>
    <row r="494">
      <c r="A494" s="29"/>
      <c r="B494" s="29"/>
      <c r="C494" s="30"/>
    </row>
    <row r="495">
      <c r="A495" s="29"/>
      <c r="B495" s="29"/>
      <c r="C495" s="30"/>
    </row>
    <row r="496">
      <c r="A496" s="29"/>
      <c r="B496" s="29"/>
      <c r="C496" s="30"/>
    </row>
    <row r="497">
      <c r="A497" s="29"/>
      <c r="B497" s="29"/>
      <c r="C497" s="30"/>
    </row>
    <row r="498">
      <c r="A498" s="29"/>
      <c r="B498" s="29"/>
      <c r="C498" s="30"/>
    </row>
    <row r="499">
      <c r="A499" s="29"/>
      <c r="B499" s="29"/>
      <c r="C499" s="30"/>
    </row>
    <row r="500">
      <c r="A500" s="29"/>
      <c r="B500" s="29"/>
      <c r="C500" s="30"/>
    </row>
    <row r="501">
      <c r="A501" s="29"/>
      <c r="B501" s="29"/>
      <c r="C501" s="30"/>
    </row>
    <row r="502">
      <c r="A502" s="29"/>
      <c r="B502" s="29"/>
      <c r="C502" s="30"/>
    </row>
    <row r="503">
      <c r="A503" s="29"/>
      <c r="B503" s="29"/>
      <c r="C503" s="30"/>
    </row>
    <row r="504">
      <c r="A504" s="29"/>
      <c r="B504" s="29"/>
      <c r="C504" s="30"/>
    </row>
    <row r="505">
      <c r="A505" s="29"/>
      <c r="B505" s="29"/>
      <c r="C505" s="30"/>
    </row>
    <row r="506">
      <c r="A506" s="29"/>
      <c r="B506" s="29"/>
      <c r="C506" s="30"/>
    </row>
    <row r="507">
      <c r="A507" s="29"/>
      <c r="B507" s="29"/>
      <c r="C507" s="30"/>
    </row>
    <row r="508">
      <c r="A508" s="29"/>
      <c r="B508" s="29"/>
      <c r="C508" s="30"/>
    </row>
    <row r="509">
      <c r="A509" s="29"/>
      <c r="B509" s="29"/>
      <c r="C509" s="30"/>
    </row>
    <row r="510">
      <c r="A510" s="29"/>
      <c r="B510" s="29"/>
      <c r="C510" s="30"/>
    </row>
    <row r="511">
      <c r="A511" s="29"/>
      <c r="B511" s="29"/>
      <c r="C511" s="30"/>
    </row>
    <row r="512">
      <c r="A512" s="29"/>
      <c r="B512" s="29"/>
      <c r="C512" s="30"/>
    </row>
    <row r="513">
      <c r="A513" s="29"/>
      <c r="B513" s="29"/>
      <c r="C513" s="30"/>
    </row>
    <row r="514">
      <c r="A514" s="29"/>
      <c r="B514" s="29"/>
      <c r="C514" s="30"/>
    </row>
    <row r="515">
      <c r="A515" s="29"/>
      <c r="B515" s="29"/>
      <c r="C515" s="30"/>
    </row>
    <row r="516">
      <c r="A516" s="29"/>
      <c r="B516" s="29"/>
      <c r="C516" s="30"/>
    </row>
    <row r="517">
      <c r="A517" s="29"/>
      <c r="B517" s="29"/>
      <c r="C517" s="30"/>
    </row>
    <row r="518">
      <c r="A518" s="29"/>
      <c r="B518" s="29"/>
      <c r="C518" s="30"/>
    </row>
    <row r="519">
      <c r="A519" s="29"/>
      <c r="B519" s="29"/>
      <c r="C519" s="30"/>
    </row>
    <row r="520">
      <c r="A520" s="29"/>
      <c r="B520" s="29"/>
      <c r="C520" s="30"/>
    </row>
    <row r="521">
      <c r="A521" s="29"/>
      <c r="B521" s="29"/>
      <c r="C521" s="30"/>
    </row>
    <row r="522">
      <c r="A522" s="29"/>
      <c r="B522" s="29"/>
      <c r="C522" s="30"/>
    </row>
    <row r="523">
      <c r="A523" s="29"/>
      <c r="B523" s="29"/>
      <c r="C523" s="30"/>
    </row>
    <row r="524">
      <c r="A524" s="29"/>
      <c r="B524" s="29"/>
      <c r="C524" s="30"/>
    </row>
    <row r="525">
      <c r="A525" s="29"/>
      <c r="B525" s="29"/>
      <c r="C525" s="30"/>
    </row>
    <row r="526">
      <c r="A526" s="29"/>
      <c r="B526" s="29"/>
      <c r="C526" s="30"/>
    </row>
    <row r="527">
      <c r="A527" s="29"/>
      <c r="B527" s="29"/>
      <c r="C527" s="30"/>
    </row>
    <row r="528">
      <c r="A528" s="29"/>
      <c r="B528" s="29"/>
      <c r="C528" s="30"/>
    </row>
    <row r="529">
      <c r="A529" s="29"/>
      <c r="B529" s="29"/>
      <c r="C529" s="30"/>
    </row>
    <row r="530">
      <c r="A530" s="29"/>
      <c r="B530" s="29"/>
      <c r="C530" s="30"/>
    </row>
    <row r="531">
      <c r="A531" s="29"/>
      <c r="B531" s="29"/>
      <c r="C531" s="30"/>
    </row>
    <row r="532">
      <c r="A532" s="29"/>
      <c r="B532" s="29"/>
      <c r="C532" s="30"/>
    </row>
    <row r="533">
      <c r="A533" s="29"/>
      <c r="B533" s="29"/>
      <c r="C533" s="30"/>
    </row>
    <row r="534">
      <c r="A534" s="29"/>
      <c r="B534" s="29"/>
      <c r="C534" s="30"/>
    </row>
    <row r="535">
      <c r="A535" s="29"/>
      <c r="B535" s="29"/>
      <c r="C535" s="30"/>
    </row>
    <row r="536">
      <c r="A536" s="29"/>
      <c r="B536" s="29"/>
      <c r="C536" s="30"/>
    </row>
    <row r="537">
      <c r="A537" s="29"/>
      <c r="B537" s="29"/>
      <c r="C537" s="30"/>
    </row>
    <row r="538">
      <c r="A538" s="29"/>
      <c r="B538" s="29"/>
      <c r="C538" s="30"/>
    </row>
    <row r="539">
      <c r="A539" s="29"/>
      <c r="B539" s="29"/>
      <c r="C539" s="30"/>
    </row>
    <row r="540">
      <c r="A540" s="29"/>
      <c r="B540" s="29"/>
      <c r="C540" s="30"/>
    </row>
    <row r="541">
      <c r="A541" s="29"/>
      <c r="B541" s="29"/>
      <c r="C541" s="30"/>
    </row>
    <row r="542">
      <c r="A542" s="29"/>
      <c r="B542" s="29"/>
      <c r="C542" s="30"/>
    </row>
    <row r="543">
      <c r="A543" s="29"/>
      <c r="B543" s="29"/>
      <c r="C543" s="30"/>
    </row>
    <row r="544">
      <c r="A544" s="29"/>
      <c r="B544" s="29"/>
      <c r="C544" s="30"/>
    </row>
    <row r="545">
      <c r="A545" s="29"/>
      <c r="B545" s="29"/>
      <c r="C545" s="30"/>
    </row>
    <row r="546">
      <c r="A546" s="29"/>
      <c r="B546" s="29"/>
      <c r="C546" s="30"/>
    </row>
    <row r="547">
      <c r="A547" s="29"/>
      <c r="B547" s="29"/>
      <c r="C547" s="30"/>
    </row>
    <row r="548">
      <c r="A548" s="29"/>
      <c r="B548" s="29"/>
      <c r="C548" s="30"/>
    </row>
    <row r="549">
      <c r="A549" s="29"/>
      <c r="B549" s="29"/>
      <c r="C549" s="30"/>
    </row>
    <row r="550">
      <c r="A550" s="29"/>
      <c r="B550" s="29"/>
      <c r="C550" s="30"/>
    </row>
    <row r="551">
      <c r="A551" s="29"/>
      <c r="B551" s="29"/>
      <c r="C551" s="30"/>
    </row>
    <row r="552">
      <c r="A552" s="29"/>
      <c r="B552" s="29"/>
      <c r="C552" s="30"/>
    </row>
    <row r="553">
      <c r="A553" s="29"/>
      <c r="B553" s="29"/>
      <c r="C553" s="30"/>
    </row>
    <row r="554">
      <c r="A554" s="29"/>
      <c r="B554" s="29"/>
      <c r="C554" s="30"/>
    </row>
    <row r="555">
      <c r="A555" s="29"/>
      <c r="B555" s="29"/>
      <c r="C555" s="30"/>
    </row>
    <row r="556">
      <c r="A556" s="29"/>
      <c r="B556" s="29"/>
      <c r="C556" s="30"/>
    </row>
    <row r="557">
      <c r="A557" s="29"/>
      <c r="B557" s="29"/>
      <c r="C557" s="30"/>
    </row>
    <row r="558">
      <c r="A558" s="29"/>
      <c r="B558" s="29"/>
      <c r="C558" s="30"/>
    </row>
    <row r="559">
      <c r="A559" s="29"/>
      <c r="B559" s="29"/>
      <c r="C559" s="30"/>
    </row>
    <row r="560">
      <c r="A560" s="29"/>
      <c r="B560" s="29"/>
      <c r="C560" s="30"/>
    </row>
    <row r="561">
      <c r="A561" s="29"/>
      <c r="B561" s="29"/>
      <c r="C561" s="30"/>
    </row>
    <row r="562">
      <c r="A562" s="29"/>
      <c r="B562" s="29"/>
      <c r="C562" s="30"/>
    </row>
    <row r="563">
      <c r="A563" s="29"/>
      <c r="B563" s="29"/>
      <c r="C563" s="30"/>
    </row>
    <row r="564">
      <c r="A564" s="29"/>
      <c r="B564" s="29"/>
      <c r="C564" s="30"/>
    </row>
    <row r="565">
      <c r="A565" s="29"/>
      <c r="B565" s="29"/>
      <c r="C565" s="30"/>
    </row>
    <row r="566">
      <c r="A566" s="29"/>
      <c r="B566" s="29"/>
      <c r="C566" s="30"/>
    </row>
    <row r="567">
      <c r="A567" s="29"/>
      <c r="B567" s="29"/>
      <c r="C567" s="30"/>
    </row>
    <row r="568">
      <c r="A568" s="29"/>
      <c r="B568" s="29"/>
      <c r="C568" s="30"/>
    </row>
    <row r="569">
      <c r="A569" s="29"/>
      <c r="B569" s="29"/>
      <c r="C569" s="30"/>
    </row>
    <row r="570">
      <c r="A570" s="29"/>
      <c r="B570" s="29"/>
      <c r="C570" s="30"/>
    </row>
    <row r="571">
      <c r="A571" s="29"/>
      <c r="B571" s="29"/>
      <c r="C571" s="30"/>
    </row>
    <row r="572">
      <c r="A572" s="29"/>
      <c r="B572" s="29"/>
      <c r="C572" s="30"/>
    </row>
    <row r="573">
      <c r="A573" s="29"/>
      <c r="B573" s="29"/>
      <c r="C573" s="30"/>
    </row>
    <row r="574">
      <c r="A574" s="29"/>
      <c r="B574" s="29"/>
      <c r="C574" s="30"/>
    </row>
    <row r="575">
      <c r="A575" s="29"/>
      <c r="B575" s="29"/>
      <c r="C575" s="30"/>
    </row>
    <row r="576">
      <c r="A576" s="29"/>
      <c r="B576" s="29"/>
      <c r="C576" s="30"/>
    </row>
    <row r="577">
      <c r="A577" s="29"/>
      <c r="B577" s="29"/>
      <c r="C577" s="30"/>
    </row>
    <row r="578">
      <c r="A578" s="29"/>
      <c r="B578" s="29"/>
      <c r="C578" s="30"/>
    </row>
    <row r="579">
      <c r="A579" s="29"/>
      <c r="B579" s="29"/>
      <c r="C579" s="30"/>
    </row>
    <row r="580">
      <c r="A580" s="29"/>
      <c r="B580" s="29"/>
      <c r="C580" s="30"/>
    </row>
    <row r="581">
      <c r="A581" s="29"/>
      <c r="B581" s="29"/>
      <c r="C581" s="30"/>
    </row>
    <row r="582">
      <c r="A582" s="29"/>
      <c r="B582" s="29"/>
      <c r="C582" s="30"/>
    </row>
    <row r="583">
      <c r="A583" s="29"/>
      <c r="B583" s="29"/>
      <c r="C583" s="30"/>
    </row>
    <row r="584">
      <c r="A584" s="29"/>
      <c r="B584" s="29"/>
      <c r="C584" s="30"/>
    </row>
    <row r="585">
      <c r="A585" s="29"/>
      <c r="B585" s="29"/>
      <c r="C585" s="30"/>
    </row>
    <row r="586">
      <c r="A586" s="29"/>
      <c r="B586" s="29"/>
      <c r="C586" s="30"/>
    </row>
    <row r="587">
      <c r="A587" s="29"/>
      <c r="B587" s="29"/>
      <c r="C587" s="30"/>
    </row>
    <row r="588">
      <c r="A588" s="29"/>
      <c r="B588" s="29"/>
      <c r="C588" s="30"/>
    </row>
    <row r="589">
      <c r="A589" s="29"/>
      <c r="B589" s="29"/>
      <c r="C589" s="30"/>
    </row>
    <row r="590">
      <c r="A590" s="29"/>
      <c r="B590" s="29"/>
      <c r="C590" s="30"/>
    </row>
    <row r="591">
      <c r="A591" s="29"/>
      <c r="B591" s="29"/>
      <c r="C591" s="30"/>
    </row>
    <row r="592">
      <c r="A592" s="29"/>
      <c r="B592" s="29"/>
      <c r="C592" s="30"/>
    </row>
    <row r="593">
      <c r="A593" s="29"/>
      <c r="B593" s="29"/>
      <c r="C593" s="30"/>
    </row>
    <row r="594">
      <c r="A594" s="29"/>
      <c r="B594" s="29"/>
      <c r="C594" s="30"/>
    </row>
    <row r="595">
      <c r="A595" s="29"/>
      <c r="B595" s="29"/>
      <c r="C595" s="30"/>
    </row>
    <row r="596">
      <c r="A596" s="29"/>
      <c r="B596" s="29"/>
      <c r="C596" s="30"/>
    </row>
    <row r="597">
      <c r="A597" s="29"/>
      <c r="B597" s="29"/>
      <c r="C597" s="30"/>
    </row>
    <row r="598">
      <c r="A598" s="29"/>
      <c r="B598" s="29"/>
      <c r="C598" s="30"/>
    </row>
    <row r="599">
      <c r="A599" s="29"/>
      <c r="B599" s="29"/>
      <c r="C599" s="30"/>
    </row>
    <row r="600">
      <c r="A600" s="29"/>
      <c r="B600" s="29"/>
      <c r="C600" s="30"/>
    </row>
    <row r="601">
      <c r="A601" s="29"/>
      <c r="B601" s="29"/>
      <c r="C601" s="30"/>
    </row>
    <row r="602">
      <c r="A602" s="29"/>
      <c r="B602" s="29"/>
      <c r="C602" s="30"/>
    </row>
    <row r="603">
      <c r="A603" s="29"/>
      <c r="B603" s="29"/>
      <c r="C603" s="30"/>
    </row>
    <row r="604">
      <c r="A604" s="29"/>
      <c r="B604" s="29"/>
      <c r="C604" s="30"/>
    </row>
    <row r="605">
      <c r="A605" s="29"/>
      <c r="B605" s="29"/>
      <c r="C605" s="30"/>
    </row>
    <row r="606">
      <c r="A606" s="29"/>
      <c r="B606" s="29"/>
      <c r="C606" s="30"/>
    </row>
    <row r="607">
      <c r="A607" s="29"/>
      <c r="B607" s="29"/>
      <c r="C607" s="30"/>
    </row>
    <row r="608">
      <c r="A608" s="29"/>
      <c r="B608" s="29"/>
      <c r="C608" s="30"/>
    </row>
    <row r="609">
      <c r="A609" s="29"/>
      <c r="B609" s="29"/>
      <c r="C609" s="30"/>
    </row>
    <row r="610">
      <c r="A610" s="29"/>
      <c r="B610" s="29"/>
      <c r="C610" s="30"/>
    </row>
    <row r="611">
      <c r="A611" s="29"/>
      <c r="B611" s="29"/>
      <c r="C611" s="30"/>
    </row>
    <row r="612">
      <c r="A612" s="29"/>
      <c r="B612" s="29"/>
      <c r="C612" s="30"/>
    </row>
    <row r="613">
      <c r="A613" s="29"/>
      <c r="B613" s="29"/>
      <c r="C613" s="30"/>
    </row>
    <row r="614">
      <c r="A614" s="29"/>
      <c r="B614" s="29"/>
      <c r="C614" s="30"/>
    </row>
    <row r="615">
      <c r="A615" s="29"/>
      <c r="B615" s="29"/>
      <c r="C615" s="30"/>
    </row>
    <row r="616">
      <c r="A616" s="29"/>
      <c r="B616" s="29"/>
      <c r="C616" s="30"/>
    </row>
    <row r="617">
      <c r="A617" s="29"/>
      <c r="B617" s="29"/>
      <c r="C617" s="30"/>
    </row>
    <row r="618">
      <c r="A618" s="29"/>
      <c r="B618" s="29"/>
      <c r="C618" s="30"/>
    </row>
    <row r="619">
      <c r="A619" s="29"/>
      <c r="B619" s="29"/>
      <c r="C619" s="30"/>
    </row>
    <row r="620">
      <c r="A620" s="29"/>
      <c r="B620" s="29"/>
      <c r="C620" s="30"/>
    </row>
    <row r="621">
      <c r="A621" s="29"/>
      <c r="B621" s="29"/>
      <c r="C621" s="30"/>
    </row>
    <row r="622">
      <c r="A622" s="29"/>
      <c r="B622" s="29"/>
      <c r="C622" s="30"/>
    </row>
    <row r="623">
      <c r="A623" s="29"/>
      <c r="B623" s="29"/>
      <c r="C623" s="30"/>
    </row>
    <row r="624">
      <c r="A624" s="29"/>
      <c r="B624" s="29"/>
      <c r="C624" s="30"/>
    </row>
    <row r="625">
      <c r="A625" s="29"/>
      <c r="B625" s="29"/>
      <c r="C625" s="30"/>
    </row>
    <row r="626">
      <c r="A626" s="29"/>
      <c r="B626" s="29"/>
      <c r="C626" s="30"/>
    </row>
    <row r="627">
      <c r="A627" s="29"/>
      <c r="B627" s="29"/>
      <c r="C627" s="30"/>
    </row>
    <row r="628">
      <c r="A628" s="29"/>
      <c r="B628" s="29"/>
      <c r="C628" s="30"/>
    </row>
    <row r="629">
      <c r="A629" s="29"/>
      <c r="B629" s="29"/>
      <c r="C629" s="30"/>
    </row>
    <row r="630">
      <c r="A630" s="29"/>
      <c r="B630" s="29"/>
      <c r="C630" s="30"/>
    </row>
    <row r="631">
      <c r="A631" s="29"/>
      <c r="B631" s="29"/>
      <c r="C631" s="30"/>
    </row>
    <row r="632">
      <c r="A632" s="29"/>
      <c r="B632" s="29"/>
      <c r="C632" s="30"/>
    </row>
    <row r="633">
      <c r="A633" s="29"/>
      <c r="B633" s="29"/>
      <c r="C633" s="30"/>
    </row>
    <row r="634">
      <c r="A634" s="29"/>
      <c r="B634" s="29"/>
      <c r="C634" s="30"/>
    </row>
    <row r="635">
      <c r="A635" s="29"/>
      <c r="B635" s="29"/>
      <c r="C635" s="30"/>
    </row>
    <row r="636">
      <c r="A636" s="29"/>
      <c r="B636" s="29"/>
      <c r="C636" s="30"/>
    </row>
    <row r="637">
      <c r="A637" s="29"/>
      <c r="B637" s="29"/>
      <c r="C637" s="30"/>
    </row>
    <row r="638">
      <c r="A638" s="29"/>
      <c r="B638" s="29"/>
      <c r="C638" s="30"/>
    </row>
    <row r="639">
      <c r="A639" s="29"/>
      <c r="B639" s="29"/>
      <c r="C639" s="30"/>
    </row>
    <row r="640">
      <c r="A640" s="29"/>
      <c r="B640" s="29"/>
      <c r="C640" s="30"/>
    </row>
    <row r="641">
      <c r="A641" s="29"/>
      <c r="B641" s="29"/>
      <c r="C641" s="30"/>
    </row>
    <row r="642">
      <c r="A642" s="29"/>
      <c r="B642" s="29"/>
      <c r="C642" s="30"/>
    </row>
    <row r="643">
      <c r="A643" s="29"/>
      <c r="B643" s="29"/>
      <c r="C643" s="30"/>
    </row>
    <row r="644">
      <c r="A644" s="29"/>
      <c r="B644" s="29"/>
      <c r="C644" s="30"/>
    </row>
    <row r="645">
      <c r="A645" s="29"/>
      <c r="B645" s="29"/>
      <c r="C645" s="30"/>
    </row>
    <row r="646">
      <c r="A646" s="29"/>
      <c r="B646" s="29"/>
      <c r="C646" s="30"/>
    </row>
    <row r="647">
      <c r="A647" s="29"/>
      <c r="B647" s="29"/>
      <c r="C647" s="30"/>
    </row>
    <row r="648">
      <c r="A648" s="29"/>
      <c r="B648" s="29"/>
      <c r="C648" s="30"/>
    </row>
    <row r="649">
      <c r="A649" s="29"/>
      <c r="B649" s="29"/>
      <c r="C649" s="30"/>
    </row>
    <row r="650">
      <c r="A650" s="29"/>
      <c r="B650" s="29"/>
      <c r="C650" s="30"/>
    </row>
    <row r="651">
      <c r="A651" s="29"/>
      <c r="B651" s="29"/>
      <c r="C651" s="30"/>
    </row>
    <row r="652">
      <c r="A652" s="29"/>
      <c r="B652" s="29"/>
      <c r="C652" s="30"/>
    </row>
    <row r="653">
      <c r="A653" s="29"/>
      <c r="B653" s="29"/>
      <c r="C653" s="30"/>
    </row>
    <row r="654">
      <c r="A654" s="29"/>
      <c r="B654" s="29"/>
      <c r="C654" s="30"/>
    </row>
    <row r="655">
      <c r="A655" s="29"/>
      <c r="B655" s="29"/>
      <c r="C655" s="30"/>
    </row>
    <row r="656">
      <c r="A656" s="29"/>
      <c r="B656" s="29"/>
      <c r="C656" s="30"/>
    </row>
    <row r="657">
      <c r="A657" s="29"/>
      <c r="B657" s="29"/>
      <c r="C657" s="30"/>
    </row>
    <row r="658">
      <c r="A658" s="29"/>
      <c r="B658" s="29"/>
      <c r="C658" s="30"/>
    </row>
    <row r="659">
      <c r="A659" s="29"/>
      <c r="B659" s="29"/>
      <c r="C659" s="30"/>
    </row>
    <row r="660">
      <c r="A660" s="29"/>
      <c r="B660" s="29"/>
      <c r="C660" s="30"/>
    </row>
    <row r="661">
      <c r="A661" s="29"/>
      <c r="B661" s="29"/>
      <c r="C661" s="30"/>
    </row>
    <row r="662">
      <c r="A662" s="29"/>
      <c r="B662" s="29"/>
      <c r="C662" s="30"/>
    </row>
    <row r="663">
      <c r="A663" s="29"/>
      <c r="B663" s="29"/>
      <c r="C663" s="30"/>
    </row>
    <row r="664">
      <c r="A664" s="29"/>
      <c r="B664" s="29"/>
      <c r="C664" s="30"/>
    </row>
    <row r="665">
      <c r="A665" s="29"/>
      <c r="B665" s="29"/>
      <c r="C665" s="30"/>
    </row>
    <row r="666">
      <c r="A666" s="29"/>
      <c r="B666" s="29"/>
      <c r="C666" s="30"/>
    </row>
    <row r="667">
      <c r="A667" s="29"/>
      <c r="B667" s="29"/>
      <c r="C667" s="30"/>
    </row>
    <row r="668">
      <c r="A668" s="29"/>
      <c r="B668" s="29"/>
      <c r="C668" s="30"/>
    </row>
    <row r="669">
      <c r="A669" s="29"/>
      <c r="B669" s="29"/>
      <c r="C669" s="30"/>
    </row>
    <row r="670">
      <c r="A670" s="29"/>
      <c r="B670" s="29"/>
      <c r="C670" s="30"/>
    </row>
    <row r="671">
      <c r="A671" s="29"/>
      <c r="B671" s="29"/>
      <c r="C671" s="30"/>
    </row>
    <row r="672">
      <c r="A672" s="29"/>
      <c r="B672" s="29"/>
      <c r="C672" s="30"/>
    </row>
    <row r="673">
      <c r="A673" s="29"/>
      <c r="B673" s="29"/>
      <c r="C673" s="30"/>
    </row>
    <row r="674">
      <c r="A674" s="29"/>
      <c r="B674" s="29"/>
      <c r="C674" s="30"/>
    </row>
    <row r="675">
      <c r="A675" s="29"/>
      <c r="B675" s="29"/>
      <c r="C675" s="30"/>
    </row>
    <row r="676">
      <c r="A676" s="29"/>
      <c r="B676" s="29"/>
      <c r="C676" s="30"/>
    </row>
    <row r="677">
      <c r="A677" s="29"/>
      <c r="B677" s="29"/>
      <c r="C677" s="30"/>
    </row>
    <row r="678">
      <c r="A678" s="29"/>
      <c r="B678" s="29"/>
      <c r="C678" s="30"/>
    </row>
    <row r="679">
      <c r="A679" s="29"/>
      <c r="B679" s="29"/>
      <c r="C679" s="30"/>
    </row>
    <row r="680">
      <c r="A680" s="29"/>
      <c r="B680" s="29"/>
      <c r="C680" s="30"/>
    </row>
    <row r="681">
      <c r="A681" s="29"/>
      <c r="B681" s="29"/>
      <c r="C681" s="30"/>
    </row>
    <row r="682">
      <c r="A682" s="29"/>
      <c r="B682" s="29"/>
      <c r="C682" s="30"/>
    </row>
    <row r="683">
      <c r="A683" s="29"/>
      <c r="B683" s="29"/>
      <c r="C683" s="30"/>
    </row>
    <row r="684">
      <c r="A684" s="29"/>
      <c r="B684" s="29"/>
      <c r="C684" s="30"/>
    </row>
    <row r="685">
      <c r="A685" s="29"/>
      <c r="B685" s="29"/>
      <c r="C685" s="30"/>
    </row>
    <row r="686">
      <c r="A686" s="29"/>
      <c r="B686" s="29"/>
      <c r="C686" s="30"/>
    </row>
    <row r="687">
      <c r="A687" s="29"/>
      <c r="B687" s="29"/>
      <c r="C687" s="30"/>
    </row>
    <row r="688">
      <c r="A688" s="29"/>
      <c r="B688" s="29"/>
      <c r="C688" s="30"/>
    </row>
    <row r="689">
      <c r="A689" s="29"/>
      <c r="B689" s="29"/>
      <c r="C689" s="30"/>
    </row>
    <row r="690">
      <c r="A690" s="29"/>
      <c r="B690" s="29"/>
      <c r="C690" s="30"/>
    </row>
    <row r="691">
      <c r="A691" s="29"/>
      <c r="B691" s="29"/>
      <c r="C691" s="30"/>
    </row>
    <row r="692">
      <c r="A692" s="29"/>
      <c r="B692" s="29"/>
      <c r="C692" s="30"/>
    </row>
    <row r="693">
      <c r="A693" s="29"/>
      <c r="B693" s="29"/>
      <c r="C693" s="30"/>
    </row>
    <row r="694">
      <c r="A694" s="29"/>
      <c r="B694" s="29"/>
      <c r="C694" s="30"/>
    </row>
    <row r="695">
      <c r="A695" s="29"/>
      <c r="B695" s="29"/>
      <c r="C695" s="30"/>
    </row>
    <row r="696">
      <c r="A696" s="29"/>
      <c r="B696" s="29"/>
      <c r="C696" s="30"/>
    </row>
    <row r="697">
      <c r="A697" s="29"/>
      <c r="B697" s="29"/>
      <c r="C697" s="30"/>
    </row>
    <row r="698">
      <c r="A698" s="29"/>
      <c r="B698" s="29"/>
      <c r="C698" s="30"/>
    </row>
    <row r="699">
      <c r="A699" s="29"/>
      <c r="B699" s="29"/>
      <c r="C699" s="30"/>
    </row>
    <row r="700">
      <c r="A700" s="29"/>
      <c r="B700" s="29"/>
      <c r="C700" s="30"/>
    </row>
    <row r="701">
      <c r="A701" s="29"/>
      <c r="B701" s="29"/>
      <c r="C701" s="30"/>
    </row>
    <row r="702">
      <c r="A702" s="29"/>
      <c r="B702" s="29"/>
      <c r="C702" s="30"/>
    </row>
    <row r="703">
      <c r="A703" s="29"/>
      <c r="B703" s="29"/>
      <c r="C703" s="30"/>
    </row>
    <row r="704">
      <c r="A704" s="29"/>
      <c r="B704" s="29"/>
      <c r="C704" s="30"/>
    </row>
    <row r="705">
      <c r="A705" s="29"/>
      <c r="B705" s="29"/>
      <c r="C705" s="30"/>
    </row>
    <row r="706">
      <c r="A706" s="29"/>
      <c r="B706" s="29"/>
      <c r="C706" s="30"/>
    </row>
    <row r="707">
      <c r="A707" s="29"/>
      <c r="B707" s="29"/>
      <c r="C707" s="30"/>
    </row>
    <row r="708">
      <c r="A708" s="29"/>
      <c r="B708" s="29"/>
      <c r="C708" s="30"/>
    </row>
    <row r="709">
      <c r="A709" s="29"/>
      <c r="B709" s="29"/>
      <c r="C709" s="30"/>
    </row>
    <row r="710">
      <c r="A710" s="29"/>
      <c r="B710" s="29"/>
      <c r="C710" s="30"/>
    </row>
    <row r="711">
      <c r="A711" s="29"/>
      <c r="B711" s="29"/>
      <c r="C711" s="30"/>
    </row>
    <row r="712">
      <c r="A712" s="29"/>
      <c r="B712" s="29"/>
      <c r="C712" s="30"/>
    </row>
    <row r="713">
      <c r="A713" s="29"/>
      <c r="B713" s="29"/>
      <c r="C713" s="30"/>
    </row>
    <row r="714">
      <c r="A714" s="29"/>
      <c r="B714" s="29"/>
      <c r="C714" s="30"/>
    </row>
    <row r="715">
      <c r="A715" s="29"/>
      <c r="B715" s="29"/>
      <c r="C715" s="30"/>
    </row>
    <row r="716">
      <c r="A716" s="29"/>
      <c r="B716" s="29"/>
      <c r="C716" s="30"/>
    </row>
    <row r="717">
      <c r="A717" s="29"/>
      <c r="B717" s="29"/>
      <c r="C717" s="30"/>
    </row>
    <row r="718">
      <c r="A718" s="29"/>
      <c r="B718" s="29"/>
      <c r="C718" s="30"/>
    </row>
    <row r="719">
      <c r="A719" s="29"/>
      <c r="B719" s="29"/>
      <c r="C719" s="30"/>
    </row>
    <row r="720">
      <c r="A720" s="29"/>
      <c r="B720" s="29"/>
      <c r="C720" s="30"/>
    </row>
    <row r="721">
      <c r="A721" s="29"/>
      <c r="B721" s="29"/>
      <c r="C721" s="30"/>
    </row>
    <row r="722">
      <c r="A722" s="29"/>
      <c r="B722" s="29"/>
      <c r="C722" s="30"/>
    </row>
    <row r="723">
      <c r="A723" s="29"/>
      <c r="B723" s="29"/>
      <c r="C723" s="30"/>
    </row>
    <row r="724">
      <c r="A724" s="29"/>
      <c r="B724" s="29"/>
      <c r="C724" s="30"/>
    </row>
    <row r="725">
      <c r="A725" s="29"/>
      <c r="B725" s="29"/>
      <c r="C725" s="30"/>
    </row>
    <row r="726">
      <c r="A726" s="29"/>
      <c r="B726" s="29"/>
      <c r="C726" s="30"/>
    </row>
    <row r="727">
      <c r="A727" s="29"/>
      <c r="B727" s="29"/>
      <c r="C727" s="30"/>
    </row>
    <row r="728">
      <c r="A728" s="29"/>
      <c r="B728" s="29"/>
      <c r="C728" s="30"/>
    </row>
    <row r="729">
      <c r="A729" s="29"/>
      <c r="B729" s="29"/>
      <c r="C729" s="30"/>
    </row>
    <row r="730">
      <c r="A730" s="29"/>
      <c r="B730" s="29"/>
      <c r="C730" s="30"/>
    </row>
    <row r="731">
      <c r="A731" s="29"/>
      <c r="B731" s="29"/>
      <c r="C731" s="30"/>
    </row>
    <row r="732">
      <c r="A732" s="29"/>
      <c r="B732" s="29"/>
      <c r="C732" s="30"/>
    </row>
    <row r="733">
      <c r="A733" s="29"/>
      <c r="B733" s="29"/>
      <c r="C733" s="30"/>
    </row>
    <row r="734">
      <c r="A734" s="29"/>
      <c r="B734" s="29"/>
      <c r="C734" s="30"/>
    </row>
    <row r="735">
      <c r="A735" s="29"/>
      <c r="B735" s="29"/>
      <c r="C735" s="30"/>
    </row>
    <row r="736">
      <c r="A736" s="29"/>
      <c r="B736" s="29"/>
      <c r="C736" s="30"/>
    </row>
    <row r="737">
      <c r="A737" s="29"/>
      <c r="B737" s="29"/>
      <c r="C737" s="30"/>
    </row>
    <row r="738">
      <c r="A738" s="29"/>
      <c r="B738" s="29"/>
      <c r="C738" s="30"/>
    </row>
    <row r="739">
      <c r="A739" s="29"/>
      <c r="B739" s="29"/>
      <c r="C739" s="30"/>
    </row>
    <row r="740">
      <c r="A740" s="29"/>
      <c r="B740" s="29"/>
      <c r="C740" s="30"/>
    </row>
    <row r="741">
      <c r="A741" s="29"/>
      <c r="B741" s="29"/>
      <c r="C741" s="30"/>
    </row>
    <row r="742">
      <c r="A742" s="29"/>
      <c r="B742" s="29"/>
      <c r="C742" s="30"/>
    </row>
    <row r="743">
      <c r="A743" s="29"/>
      <c r="B743" s="29"/>
      <c r="C743" s="30"/>
    </row>
    <row r="744">
      <c r="A744" s="29"/>
      <c r="B744" s="29"/>
      <c r="C744" s="30"/>
    </row>
    <row r="745">
      <c r="A745" s="29"/>
      <c r="B745" s="29"/>
      <c r="C745" s="30"/>
    </row>
    <row r="746">
      <c r="A746" s="29"/>
      <c r="B746" s="29"/>
      <c r="C746" s="30"/>
    </row>
    <row r="747">
      <c r="A747" s="29"/>
      <c r="B747" s="29"/>
      <c r="C747" s="30"/>
    </row>
    <row r="748">
      <c r="A748" s="29"/>
      <c r="B748" s="29"/>
      <c r="C748" s="30"/>
    </row>
    <row r="749">
      <c r="A749" s="29"/>
      <c r="B749" s="29"/>
      <c r="C749" s="30"/>
    </row>
    <row r="750">
      <c r="A750" s="29"/>
      <c r="B750" s="29"/>
      <c r="C750" s="30"/>
    </row>
    <row r="751">
      <c r="A751" s="29"/>
      <c r="B751" s="29"/>
      <c r="C751" s="30"/>
    </row>
    <row r="752">
      <c r="A752" s="29"/>
      <c r="B752" s="29"/>
      <c r="C752" s="30"/>
    </row>
    <row r="753">
      <c r="A753" s="29"/>
      <c r="B753" s="29"/>
      <c r="C753" s="30"/>
    </row>
    <row r="754">
      <c r="A754" s="29"/>
      <c r="B754" s="29"/>
      <c r="C754" s="30"/>
    </row>
    <row r="755">
      <c r="A755" s="29"/>
      <c r="B755" s="29"/>
      <c r="C755" s="30"/>
    </row>
    <row r="756">
      <c r="A756" s="29"/>
      <c r="B756" s="29"/>
      <c r="C756" s="30"/>
    </row>
    <row r="757">
      <c r="A757" s="29"/>
      <c r="B757" s="29"/>
      <c r="C757" s="30"/>
    </row>
    <row r="758">
      <c r="A758" s="29"/>
      <c r="B758" s="29"/>
      <c r="C758" s="30"/>
    </row>
    <row r="759">
      <c r="A759" s="29"/>
      <c r="B759" s="29"/>
      <c r="C759" s="30"/>
    </row>
    <row r="760">
      <c r="A760" s="29"/>
      <c r="B760" s="29"/>
      <c r="C760" s="30"/>
    </row>
    <row r="761">
      <c r="A761" s="29"/>
      <c r="B761" s="29"/>
      <c r="C761" s="30"/>
    </row>
    <row r="762">
      <c r="A762" s="29"/>
      <c r="B762" s="29"/>
      <c r="C762" s="30"/>
    </row>
    <row r="763">
      <c r="A763" s="29"/>
      <c r="B763" s="29"/>
      <c r="C763" s="30"/>
    </row>
    <row r="764">
      <c r="A764" s="29"/>
      <c r="B764" s="29"/>
      <c r="C764" s="30"/>
    </row>
    <row r="765">
      <c r="A765" s="29"/>
      <c r="B765" s="29"/>
      <c r="C765" s="30"/>
    </row>
    <row r="766">
      <c r="A766" s="29"/>
      <c r="B766" s="29"/>
      <c r="C766" s="30"/>
    </row>
    <row r="767">
      <c r="A767" s="29"/>
      <c r="B767" s="29"/>
      <c r="C767" s="30"/>
    </row>
    <row r="768">
      <c r="A768" s="29"/>
      <c r="B768" s="29"/>
      <c r="C768" s="30"/>
    </row>
    <row r="769">
      <c r="A769" s="29"/>
      <c r="B769" s="29"/>
      <c r="C769" s="30"/>
    </row>
    <row r="770">
      <c r="A770" s="29"/>
      <c r="B770" s="29"/>
      <c r="C770" s="30"/>
    </row>
    <row r="771">
      <c r="A771" s="29"/>
      <c r="B771" s="29"/>
      <c r="C771" s="30"/>
    </row>
    <row r="772">
      <c r="A772" s="29"/>
      <c r="B772" s="29"/>
      <c r="C772" s="30"/>
    </row>
    <row r="773">
      <c r="A773" s="29"/>
      <c r="B773" s="29"/>
      <c r="C773" s="30"/>
    </row>
    <row r="774">
      <c r="A774" s="29"/>
      <c r="B774" s="29"/>
      <c r="C774" s="30"/>
    </row>
    <row r="775">
      <c r="A775" s="29"/>
      <c r="B775" s="29"/>
      <c r="C775" s="30"/>
    </row>
    <row r="776">
      <c r="A776" s="29"/>
      <c r="B776" s="29"/>
      <c r="C776" s="30"/>
    </row>
    <row r="777">
      <c r="A777" s="29"/>
      <c r="B777" s="29"/>
      <c r="C777" s="30"/>
    </row>
    <row r="778">
      <c r="A778" s="29"/>
      <c r="B778" s="29"/>
      <c r="C778" s="30"/>
    </row>
    <row r="779">
      <c r="A779" s="29"/>
      <c r="B779" s="29"/>
      <c r="C779" s="30"/>
    </row>
    <row r="780">
      <c r="A780" s="29"/>
      <c r="B780" s="29"/>
      <c r="C780" s="30"/>
    </row>
    <row r="781">
      <c r="A781" s="29"/>
      <c r="B781" s="29"/>
      <c r="C781" s="30"/>
    </row>
    <row r="782">
      <c r="A782" s="29"/>
      <c r="B782" s="29"/>
      <c r="C782" s="30"/>
    </row>
    <row r="783">
      <c r="A783" s="29"/>
      <c r="B783" s="29"/>
      <c r="C783" s="30"/>
    </row>
    <row r="784">
      <c r="A784" s="29"/>
      <c r="B784" s="29"/>
      <c r="C784" s="30"/>
    </row>
    <row r="785">
      <c r="A785" s="29"/>
      <c r="B785" s="29"/>
      <c r="C785" s="30"/>
    </row>
    <row r="786">
      <c r="A786" s="29"/>
      <c r="B786" s="29"/>
      <c r="C786" s="30"/>
    </row>
    <row r="787">
      <c r="A787" s="29"/>
      <c r="B787" s="29"/>
      <c r="C787" s="30"/>
    </row>
    <row r="788">
      <c r="A788" s="29"/>
      <c r="B788" s="29"/>
      <c r="C788" s="30"/>
    </row>
    <row r="789">
      <c r="A789" s="29"/>
      <c r="B789" s="29"/>
      <c r="C789" s="30"/>
    </row>
    <row r="790">
      <c r="A790" s="29"/>
      <c r="B790" s="29"/>
      <c r="C790" s="30"/>
    </row>
    <row r="791">
      <c r="A791" s="29"/>
      <c r="B791" s="29"/>
      <c r="C791" s="30"/>
    </row>
    <row r="792">
      <c r="A792" s="29"/>
      <c r="B792" s="29"/>
      <c r="C792" s="30"/>
    </row>
    <row r="793">
      <c r="A793" s="29"/>
      <c r="B793" s="29"/>
      <c r="C793" s="30"/>
    </row>
    <row r="794">
      <c r="A794" s="29"/>
      <c r="B794" s="29"/>
      <c r="C794" s="30"/>
    </row>
    <row r="795">
      <c r="A795" s="29"/>
      <c r="B795" s="29"/>
      <c r="C795" s="30"/>
    </row>
    <row r="796">
      <c r="A796" s="29"/>
      <c r="B796" s="29"/>
      <c r="C796" s="30"/>
    </row>
    <row r="797">
      <c r="A797" s="29"/>
      <c r="B797" s="29"/>
      <c r="C797" s="30"/>
    </row>
    <row r="798">
      <c r="A798" s="29"/>
      <c r="B798" s="29"/>
      <c r="C798" s="30"/>
    </row>
    <row r="799">
      <c r="A799" s="29"/>
      <c r="B799" s="29"/>
      <c r="C799" s="30"/>
    </row>
    <row r="800">
      <c r="A800" s="29"/>
      <c r="B800" s="29"/>
      <c r="C800" s="30"/>
    </row>
    <row r="801">
      <c r="A801" s="29"/>
      <c r="B801" s="29"/>
      <c r="C801" s="30"/>
    </row>
    <row r="802">
      <c r="A802" s="29"/>
      <c r="B802" s="29"/>
      <c r="C802" s="30"/>
    </row>
    <row r="803">
      <c r="A803" s="29"/>
      <c r="B803" s="29"/>
      <c r="C803" s="30"/>
    </row>
    <row r="804">
      <c r="A804" s="29"/>
      <c r="B804" s="29"/>
      <c r="C804" s="30"/>
    </row>
    <row r="805">
      <c r="A805" s="29"/>
      <c r="B805" s="29"/>
      <c r="C805" s="30"/>
    </row>
    <row r="806">
      <c r="A806" s="29"/>
      <c r="B806" s="29"/>
      <c r="C806" s="30"/>
    </row>
    <row r="807">
      <c r="A807" s="29"/>
      <c r="B807" s="29"/>
      <c r="C807" s="30"/>
    </row>
    <row r="808">
      <c r="A808" s="29"/>
      <c r="B808" s="29"/>
      <c r="C808" s="30"/>
    </row>
    <row r="809">
      <c r="A809" s="29"/>
      <c r="B809" s="29"/>
      <c r="C809" s="30"/>
    </row>
    <row r="810">
      <c r="A810" s="29"/>
      <c r="B810" s="29"/>
      <c r="C810" s="30"/>
    </row>
    <row r="811">
      <c r="A811" s="29"/>
      <c r="B811" s="29"/>
      <c r="C811" s="30"/>
    </row>
    <row r="812">
      <c r="A812" s="29"/>
      <c r="B812" s="29"/>
      <c r="C812" s="30"/>
    </row>
    <row r="813">
      <c r="A813" s="29"/>
      <c r="B813" s="29"/>
      <c r="C813" s="30"/>
    </row>
    <row r="814">
      <c r="A814" s="29"/>
      <c r="B814" s="29"/>
      <c r="C814" s="30"/>
    </row>
    <row r="815">
      <c r="A815" s="29"/>
      <c r="B815" s="29"/>
      <c r="C815" s="30"/>
    </row>
    <row r="816">
      <c r="A816" s="29"/>
      <c r="B816" s="29"/>
      <c r="C816" s="30"/>
    </row>
    <row r="817">
      <c r="A817" s="29"/>
      <c r="B817" s="29"/>
      <c r="C817" s="30"/>
    </row>
    <row r="818">
      <c r="A818" s="29"/>
      <c r="B818" s="29"/>
      <c r="C818" s="30"/>
    </row>
    <row r="819">
      <c r="A819" s="29"/>
      <c r="B819" s="29"/>
      <c r="C819" s="30"/>
    </row>
    <row r="820">
      <c r="A820" s="29"/>
      <c r="B820" s="29"/>
      <c r="C820" s="30"/>
    </row>
    <row r="821">
      <c r="A821" s="29"/>
      <c r="B821" s="29"/>
      <c r="C821" s="30"/>
    </row>
    <row r="822">
      <c r="A822" s="29"/>
      <c r="B822" s="29"/>
      <c r="C822" s="30"/>
    </row>
    <row r="823">
      <c r="A823" s="29"/>
      <c r="B823" s="29"/>
      <c r="C823" s="30"/>
    </row>
    <row r="824">
      <c r="A824" s="29"/>
      <c r="B824" s="29"/>
      <c r="C824" s="30"/>
    </row>
    <row r="825">
      <c r="A825" s="29"/>
      <c r="B825" s="29"/>
      <c r="C825" s="30"/>
    </row>
    <row r="826">
      <c r="A826" s="29"/>
      <c r="B826" s="29"/>
      <c r="C826" s="30"/>
    </row>
    <row r="827">
      <c r="A827" s="29"/>
      <c r="B827" s="29"/>
      <c r="C827" s="30"/>
    </row>
    <row r="828">
      <c r="A828" s="29"/>
      <c r="B828" s="29"/>
      <c r="C828" s="30"/>
    </row>
    <row r="829">
      <c r="A829" s="29"/>
      <c r="B829" s="29"/>
      <c r="C829" s="30"/>
    </row>
    <row r="830">
      <c r="A830" s="29"/>
      <c r="B830" s="29"/>
      <c r="C830" s="30"/>
    </row>
    <row r="831">
      <c r="A831" s="29"/>
      <c r="B831" s="29"/>
      <c r="C831" s="30"/>
    </row>
    <row r="832">
      <c r="A832" s="29"/>
      <c r="B832" s="29"/>
      <c r="C832" s="30"/>
    </row>
    <row r="833">
      <c r="A833" s="29"/>
      <c r="B833" s="29"/>
      <c r="C833" s="30"/>
    </row>
    <row r="834">
      <c r="A834" s="29"/>
      <c r="B834" s="29"/>
      <c r="C834" s="30"/>
    </row>
    <row r="835">
      <c r="A835" s="29"/>
      <c r="B835" s="29"/>
      <c r="C835" s="30"/>
    </row>
    <row r="836">
      <c r="A836" s="29"/>
      <c r="B836" s="29"/>
      <c r="C836" s="30"/>
    </row>
    <row r="837">
      <c r="A837" s="29"/>
      <c r="B837" s="29"/>
      <c r="C837" s="30"/>
    </row>
    <row r="838">
      <c r="A838" s="29"/>
      <c r="B838" s="29"/>
      <c r="C838" s="30"/>
    </row>
    <row r="839">
      <c r="A839" s="29"/>
      <c r="B839" s="29"/>
      <c r="C839" s="30"/>
    </row>
    <row r="840">
      <c r="A840" s="29"/>
      <c r="B840" s="29"/>
      <c r="C840" s="30"/>
    </row>
    <row r="841">
      <c r="A841" s="29"/>
      <c r="B841" s="29"/>
      <c r="C841" s="30"/>
    </row>
    <row r="842">
      <c r="A842" s="29"/>
      <c r="B842" s="29"/>
      <c r="C842" s="30"/>
    </row>
    <row r="843">
      <c r="A843" s="29"/>
      <c r="B843" s="29"/>
      <c r="C843" s="30"/>
    </row>
    <row r="844">
      <c r="A844" s="29"/>
      <c r="B844" s="29"/>
      <c r="C844" s="30"/>
    </row>
    <row r="845">
      <c r="A845" s="29"/>
      <c r="B845" s="29"/>
      <c r="C845" s="30"/>
    </row>
    <row r="846">
      <c r="A846" s="29"/>
      <c r="B846" s="29"/>
      <c r="C846" s="30"/>
    </row>
    <row r="847">
      <c r="A847" s="29"/>
      <c r="B847" s="29"/>
      <c r="C847" s="30"/>
    </row>
    <row r="848">
      <c r="A848" s="29"/>
      <c r="B848" s="29"/>
      <c r="C848" s="30"/>
    </row>
    <row r="849">
      <c r="A849" s="29"/>
      <c r="B849" s="29"/>
      <c r="C849" s="30"/>
    </row>
    <row r="850">
      <c r="A850" s="29"/>
      <c r="B850" s="29"/>
      <c r="C850" s="30"/>
    </row>
    <row r="851">
      <c r="A851" s="29"/>
      <c r="B851" s="29"/>
      <c r="C851" s="30"/>
    </row>
    <row r="852">
      <c r="A852" s="29"/>
      <c r="B852" s="29"/>
      <c r="C852" s="30"/>
    </row>
    <row r="853">
      <c r="A853" s="29"/>
      <c r="B853" s="29"/>
      <c r="C853" s="30"/>
    </row>
    <row r="854">
      <c r="A854" s="29"/>
      <c r="B854" s="29"/>
      <c r="C854" s="30"/>
    </row>
    <row r="855">
      <c r="A855" s="29"/>
      <c r="B855" s="29"/>
      <c r="C855" s="30"/>
    </row>
    <row r="856">
      <c r="A856" s="29"/>
      <c r="B856" s="29"/>
      <c r="C856" s="30"/>
    </row>
    <row r="857">
      <c r="A857" s="29"/>
      <c r="B857" s="29"/>
      <c r="C857" s="30"/>
    </row>
    <row r="858">
      <c r="A858" s="29"/>
      <c r="B858" s="29"/>
      <c r="C858" s="30"/>
    </row>
    <row r="859">
      <c r="A859" s="29"/>
      <c r="B859" s="29"/>
      <c r="C859" s="30"/>
    </row>
    <row r="860">
      <c r="A860" s="29"/>
      <c r="B860" s="29"/>
      <c r="C860" s="30"/>
    </row>
    <row r="861">
      <c r="A861" s="29"/>
      <c r="B861" s="29"/>
      <c r="C861" s="30"/>
    </row>
    <row r="862">
      <c r="A862" s="29"/>
      <c r="B862" s="29"/>
      <c r="C862" s="30"/>
    </row>
    <row r="863">
      <c r="A863" s="29"/>
      <c r="B863" s="29"/>
      <c r="C863" s="30"/>
    </row>
    <row r="864">
      <c r="A864" s="29"/>
      <c r="B864" s="29"/>
      <c r="C864" s="30"/>
    </row>
    <row r="865">
      <c r="A865" s="29"/>
      <c r="B865" s="29"/>
      <c r="C865" s="30"/>
    </row>
    <row r="866">
      <c r="A866" s="29"/>
      <c r="B866" s="29"/>
      <c r="C866" s="30"/>
    </row>
    <row r="867">
      <c r="A867" s="29"/>
      <c r="B867" s="29"/>
      <c r="C867" s="30"/>
    </row>
    <row r="868">
      <c r="A868" s="29"/>
      <c r="B868" s="29"/>
      <c r="C868" s="30"/>
    </row>
    <row r="869">
      <c r="A869" s="29"/>
      <c r="B869" s="29"/>
      <c r="C869" s="30"/>
    </row>
    <row r="870">
      <c r="A870" s="29"/>
      <c r="B870" s="29"/>
      <c r="C870" s="30"/>
    </row>
    <row r="871">
      <c r="A871" s="29"/>
      <c r="B871" s="29"/>
      <c r="C871" s="30"/>
    </row>
    <row r="872">
      <c r="A872" s="29"/>
      <c r="B872" s="29"/>
      <c r="C872" s="30"/>
    </row>
    <row r="873">
      <c r="A873" s="29"/>
      <c r="B873" s="29"/>
      <c r="C873" s="30"/>
    </row>
    <row r="874">
      <c r="A874" s="29"/>
      <c r="B874" s="29"/>
      <c r="C874" s="30"/>
    </row>
    <row r="875">
      <c r="A875" s="29"/>
      <c r="B875" s="29"/>
      <c r="C875" s="30"/>
    </row>
    <row r="876">
      <c r="A876" s="29"/>
      <c r="B876" s="29"/>
      <c r="C876" s="30"/>
    </row>
    <row r="877">
      <c r="A877" s="29"/>
      <c r="B877" s="29"/>
      <c r="C877" s="30"/>
    </row>
    <row r="878">
      <c r="A878" s="29"/>
      <c r="B878" s="29"/>
      <c r="C878" s="30"/>
    </row>
    <row r="879">
      <c r="A879" s="29"/>
      <c r="B879" s="29"/>
      <c r="C879" s="30"/>
    </row>
    <row r="880">
      <c r="A880" s="29"/>
      <c r="B880" s="29"/>
      <c r="C880" s="30"/>
    </row>
    <row r="881">
      <c r="A881" s="29"/>
      <c r="B881" s="29"/>
      <c r="C881" s="30"/>
    </row>
    <row r="882">
      <c r="A882" s="29"/>
      <c r="B882" s="29"/>
      <c r="C882" s="30"/>
    </row>
    <row r="883">
      <c r="A883" s="29"/>
      <c r="B883" s="29"/>
      <c r="C883" s="30"/>
    </row>
    <row r="884">
      <c r="A884" s="29"/>
      <c r="B884" s="29"/>
      <c r="C884" s="30"/>
    </row>
    <row r="885">
      <c r="A885" s="29"/>
      <c r="B885" s="29"/>
      <c r="C885" s="30"/>
    </row>
    <row r="886">
      <c r="A886" s="29"/>
      <c r="B886" s="29"/>
      <c r="C886" s="30"/>
    </row>
    <row r="887">
      <c r="A887" s="29"/>
      <c r="B887" s="29"/>
      <c r="C887" s="30"/>
    </row>
    <row r="888">
      <c r="A888" s="29"/>
      <c r="B888" s="29"/>
      <c r="C888" s="30"/>
    </row>
    <row r="889">
      <c r="A889" s="29"/>
      <c r="B889" s="29"/>
      <c r="C889" s="30"/>
    </row>
    <row r="890">
      <c r="A890" s="29"/>
      <c r="B890" s="29"/>
      <c r="C890" s="30"/>
    </row>
    <row r="891">
      <c r="A891" s="29"/>
      <c r="B891" s="29"/>
      <c r="C891" s="30"/>
    </row>
    <row r="892">
      <c r="A892" s="29"/>
      <c r="B892" s="29"/>
      <c r="C892" s="30"/>
    </row>
    <row r="893">
      <c r="A893" s="29"/>
      <c r="B893" s="29"/>
      <c r="C893" s="30"/>
    </row>
    <row r="894">
      <c r="A894" s="29"/>
      <c r="B894" s="29"/>
      <c r="C894" s="30"/>
    </row>
    <row r="895">
      <c r="A895" s="29"/>
      <c r="B895" s="29"/>
      <c r="C895" s="30"/>
    </row>
    <row r="896">
      <c r="A896" s="29"/>
      <c r="B896" s="29"/>
      <c r="C896" s="30"/>
    </row>
    <row r="897">
      <c r="A897" s="29"/>
      <c r="B897" s="29"/>
      <c r="C897" s="30"/>
    </row>
    <row r="898">
      <c r="A898" s="29"/>
      <c r="B898" s="29"/>
      <c r="C898" s="30"/>
    </row>
    <row r="899">
      <c r="A899" s="29"/>
      <c r="B899" s="29"/>
      <c r="C899" s="30"/>
    </row>
    <row r="900">
      <c r="A900" s="29"/>
      <c r="B900" s="29"/>
      <c r="C900" s="30"/>
    </row>
    <row r="901">
      <c r="A901" s="29"/>
      <c r="B901" s="29"/>
      <c r="C901" s="30"/>
    </row>
    <row r="902">
      <c r="A902" s="29"/>
      <c r="B902" s="29"/>
      <c r="C902" s="30"/>
    </row>
    <row r="903">
      <c r="A903" s="29"/>
      <c r="B903" s="29"/>
      <c r="C903" s="30"/>
    </row>
    <row r="904">
      <c r="A904" s="29"/>
      <c r="B904" s="29"/>
      <c r="C904" s="30"/>
    </row>
    <row r="905">
      <c r="A905" s="29"/>
      <c r="B905" s="29"/>
      <c r="C905" s="30"/>
    </row>
    <row r="906">
      <c r="A906" s="29"/>
      <c r="B906" s="29"/>
      <c r="C906" s="30"/>
    </row>
    <row r="907">
      <c r="A907" s="29"/>
      <c r="B907" s="29"/>
      <c r="C907" s="30"/>
    </row>
    <row r="908">
      <c r="A908" s="29"/>
      <c r="B908" s="29"/>
      <c r="C908" s="30"/>
    </row>
    <row r="909">
      <c r="A909" s="29"/>
      <c r="B909" s="29"/>
      <c r="C909" s="30"/>
    </row>
    <row r="910">
      <c r="A910" s="29"/>
      <c r="B910" s="29"/>
      <c r="C910" s="30"/>
    </row>
    <row r="911">
      <c r="A911" s="29"/>
      <c r="B911" s="29"/>
      <c r="C911" s="30"/>
    </row>
    <row r="912">
      <c r="A912" s="29"/>
      <c r="B912" s="29"/>
      <c r="C912" s="30"/>
    </row>
    <row r="913">
      <c r="A913" s="29"/>
      <c r="B913" s="29"/>
      <c r="C913" s="30"/>
    </row>
    <row r="914">
      <c r="A914" s="29"/>
      <c r="B914" s="29"/>
      <c r="C914" s="30"/>
    </row>
    <row r="915">
      <c r="A915" s="29"/>
      <c r="B915" s="29"/>
      <c r="C915" s="30"/>
    </row>
    <row r="916">
      <c r="A916" s="29"/>
      <c r="B916" s="29"/>
      <c r="C916" s="30"/>
    </row>
    <row r="917">
      <c r="A917" s="29"/>
      <c r="B917" s="29"/>
      <c r="C917" s="30"/>
    </row>
    <row r="918">
      <c r="A918" s="29"/>
      <c r="B918" s="29"/>
      <c r="C918" s="30"/>
    </row>
    <row r="919">
      <c r="A919" s="29"/>
      <c r="B919" s="29"/>
      <c r="C919" s="30"/>
    </row>
    <row r="920">
      <c r="A920" s="29"/>
      <c r="B920" s="29"/>
      <c r="C920" s="30"/>
    </row>
    <row r="921">
      <c r="A921" s="29"/>
      <c r="B921" s="29"/>
      <c r="C921" s="30"/>
    </row>
    <row r="922">
      <c r="A922" s="29"/>
      <c r="B922" s="29"/>
      <c r="C922" s="30"/>
    </row>
    <row r="923">
      <c r="A923" s="29"/>
      <c r="B923" s="29"/>
      <c r="C923" s="30"/>
    </row>
    <row r="924">
      <c r="A924" s="29"/>
      <c r="B924" s="29"/>
      <c r="C924" s="30"/>
    </row>
    <row r="925">
      <c r="A925" s="29"/>
      <c r="B925" s="29"/>
      <c r="C925" s="30"/>
    </row>
    <row r="926">
      <c r="A926" s="29"/>
      <c r="B926" s="29"/>
      <c r="C926" s="30"/>
    </row>
    <row r="927">
      <c r="A927" s="29"/>
      <c r="B927" s="29"/>
      <c r="C927" s="30"/>
    </row>
    <row r="928">
      <c r="A928" s="29"/>
      <c r="B928" s="29"/>
      <c r="C928" s="30"/>
    </row>
    <row r="929">
      <c r="A929" s="29"/>
      <c r="B929" s="29"/>
      <c r="C929" s="30"/>
    </row>
    <row r="930">
      <c r="A930" s="29"/>
      <c r="B930" s="29"/>
      <c r="C930" s="30"/>
    </row>
    <row r="931">
      <c r="A931" s="29"/>
      <c r="B931" s="29"/>
      <c r="C931" s="30"/>
    </row>
    <row r="932">
      <c r="A932" s="29"/>
      <c r="B932" s="29"/>
      <c r="C932" s="30"/>
    </row>
    <row r="933">
      <c r="A933" s="29"/>
      <c r="B933" s="29"/>
      <c r="C933" s="30"/>
    </row>
    <row r="934">
      <c r="A934" s="29"/>
      <c r="B934" s="29"/>
      <c r="C934" s="30"/>
    </row>
    <row r="935">
      <c r="A935" s="29"/>
      <c r="B935" s="29"/>
      <c r="C935" s="30"/>
    </row>
    <row r="936">
      <c r="A936" s="29"/>
      <c r="B936" s="29"/>
      <c r="C936" s="30"/>
    </row>
    <row r="937">
      <c r="A937" s="29"/>
      <c r="B937" s="29"/>
      <c r="C937" s="30"/>
    </row>
    <row r="938">
      <c r="A938" s="29"/>
      <c r="B938" s="29"/>
      <c r="C938" s="30"/>
    </row>
    <row r="939">
      <c r="A939" s="29"/>
      <c r="B939" s="29"/>
      <c r="C939" s="30"/>
    </row>
    <row r="940">
      <c r="A940" s="29"/>
      <c r="B940" s="29"/>
      <c r="C940" s="30"/>
    </row>
    <row r="941">
      <c r="A941" s="29"/>
      <c r="B941" s="29"/>
      <c r="C941" s="30"/>
    </row>
    <row r="942">
      <c r="A942" s="29"/>
      <c r="B942" s="29"/>
      <c r="C942" s="30"/>
    </row>
    <row r="943">
      <c r="A943" s="29"/>
      <c r="B943" s="29"/>
      <c r="C943" s="30"/>
    </row>
    <row r="944">
      <c r="A944" s="29"/>
      <c r="B944" s="29"/>
      <c r="C944" s="30"/>
    </row>
    <row r="945">
      <c r="A945" s="29"/>
      <c r="B945" s="29"/>
      <c r="C945" s="30"/>
    </row>
    <row r="946">
      <c r="A946" s="29"/>
      <c r="B946" s="29"/>
      <c r="C946" s="30"/>
    </row>
    <row r="947">
      <c r="A947" s="29"/>
      <c r="B947" s="29"/>
      <c r="C947" s="30"/>
    </row>
    <row r="948">
      <c r="A948" s="29"/>
      <c r="B948" s="29"/>
      <c r="C948" s="30"/>
    </row>
    <row r="949">
      <c r="A949" s="29"/>
      <c r="B949" s="29"/>
      <c r="C949" s="30"/>
    </row>
    <row r="950">
      <c r="A950" s="29"/>
      <c r="B950" s="29"/>
      <c r="C950" s="30"/>
    </row>
    <row r="951">
      <c r="A951" s="29"/>
      <c r="B951" s="29"/>
      <c r="C951" s="30"/>
    </row>
    <row r="952">
      <c r="A952" s="29"/>
      <c r="B952" s="29"/>
      <c r="C952" s="30"/>
    </row>
    <row r="953">
      <c r="A953" s="29"/>
      <c r="B953" s="29"/>
      <c r="C953" s="30"/>
    </row>
    <row r="954">
      <c r="A954" s="29"/>
      <c r="B954" s="29"/>
      <c r="C954" s="30"/>
    </row>
    <row r="955">
      <c r="A955" s="29"/>
      <c r="B955" s="29"/>
      <c r="C955" s="30"/>
    </row>
    <row r="956">
      <c r="A956" s="29"/>
      <c r="B956" s="29"/>
      <c r="C956" s="30"/>
    </row>
    <row r="957">
      <c r="A957" s="29"/>
      <c r="B957" s="29"/>
      <c r="C957" s="30"/>
    </row>
    <row r="958">
      <c r="A958" s="29"/>
      <c r="B958" s="29"/>
      <c r="C958" s="30"/>
    </row>
    <row r="959">
      <c r="A959" s="29"/>
      <c r="B959" s="29"/>
      <c r="C959" s="30"/>
    </row>
    <row r="960">
      <c r="A960" s="29"/>
      <c r="B960" s="29"/>
      <c r="C960" s="30"/>
    </row>
    <row r="961">
      <c r="A961" s="29"/>
      <c r="B961" s="29"/>
      <c r="C961" s="30"/>
    </row>
    <row r="962">
      <c r="A962" s="29"/>
      <c r="B962" s="29"/>
      <c r="C962" s="30"/>
    </row>
    <row r="963">
      <c r="A963" s="29"/>
      <c r="B963" s="29"/>
      <c r="C963" s="30"/>
    </row>
    <row r="964">
      <c r="A964" s="29"/>
      <c r="B964" s="29"/>
      <c r="C964" s="30"/>
    </row>
    <row r="965">
      <c r="A965" s="29"/>
      <c r="B965" s="29"/>
      <c r="C965" s="30"/>
    </row>
    <row r="966">
      <c r="A966" s="29"/>
      <c r="B966" s="29"/>
      <c r="C966" s="30"/>
    </row>
    <row r="967">
      <c r="A967" s="29"/>
      <c r="B967" s="29"/>
      <c r="C967" s="30"/>
    </row>
    <row r="968">
      <c r="A968" s="29"/>
      <c r="B968" s="29"/>
      <c r="C968" s="30"/>
    </row>
    <row r="969">
      <c r="A969" s="29"/>
      <c r="B969" s="29"/>
      <c r="C969" s="30"/>
    </row>
    <row r="970">
      <c r="A970" s="29"/>
      <c r="B970" s="29"/>
      <c r="C970" s="30"/>
    </row>
    <row r="971">
      <c r="A971" s="29"/>
      <c r="B971" s="29"/>
      <c r="C971" s="30"/>
    </row>
    <row r="972">
      <c r="A972" s="29"/>
      <c r="B972" s="29"/>
      <c r="C972" s="30"/>
    </row>
    <row r="973">
      <c r="A973" s="29"/>
      <c r="B973" s="29"/>
      <c r="C973" s="30"/>
    </row>
    <row r="974">
      <c r="A974" s="29"/>
      <c r="B974" s="29"/>
      <c r="C974" s="30"/>
    </row>
    <row r="975">
      <c r="A975" s="29"/>
      <c r="B975" s="29"/>
      <c r="C975" s="30"/>
    </row>
    <row r="976">
      <c r="A976" s="29"/>
      <c r="B976" s="29"/>
      <c r="C976" s="30"/>
    </row>
    <row r="977">
      <c r="A977" s="29"/>
      <c r="B977" s="29"/>
      <c r="C977" s="30"/>
    </row>
    <row r="978">
      <c r="A978" s="29"/>
      <c r="B978" s="29"/>
      <c r="C978" s="30"/>
    </row>
    <row r="979">
      <c r="A979" s="29"/>
      <c r="B979" s="29"/>
      <c r="C979" s="30"/>
    </row>
    <row r="980">
      <c r="A980" s="29"/>
      <c r="B980" s="29"/>
      <c r="C980" s="30"/>
    </row>
    <row r="981">
      <c r="A981" s="29"/>
      <c r="B981" s="29"/>
      <c r="C981" s="30"/>
    </row>
    <row r="982">
      <c r="A982" s="29"/>
      <c r="B982" s="29"/>
      <c r="C982" s="30"/>
    </row>
    <row r="983">
      <c r="A983" s="29"/>
      <c r="B983" s="29"/>
      <c r="C983" s="30"/>
    </row>
    <row r="984">
      <c r="A984" s="29"/>
      <c r="B984" s="29"/>
      <c r="C984" s="30"/>
    </row>
    <row r="985">
      <c r="A985" s="29"/>
      <c r="B985" s="29"/>
      <c r="C985" s="30"/>
    </row>
    <row r="986">
      <c r="A986" s="29"/>
      <c r="B986" s="29"/>
      <c r="C986" s="30"/>
    </row>
    <row r="987">
      <c r="A987" s="29"/>
      <c r="B987" s="29"/>
      <c r="C987" s="30"/>
    </row>
    <row r="988">
      <c r="A988" s="29"/>
      <c r="B988" s="29"/>
      <c r="C988" s="30"/>
    </row>
    <row r="989">
      <c r="A989" s="29"/>
      <c r="B989" s="29"/>
      <c r="C989" s="30"/>
    </row>
    <row r="990">
      <c r="A990" s="29"/>
      <c r="B990" s="29"/>
      <c r="C990" s="30"/>
    </row>
    <row r="991">
      <c r="A991" s="29"/>
      <c r="B991" s="29"/>
      <c r="C991" s="30"/>
    </row>
    <row r="992">
      <c r="A992" s="29"/>
      <c r="B992" s="29"/>
      <c r="C992" s="30"/>
    </row>
    <row r="993">
      <c r="A993" s="29"/>
      <c r="B993" s="29"/>
      <c r="C993" s="30"/>
    </row>
    <row r="994">
      <c r="A994" s="29"/>
      <c r="B994" s="29"/>
      <c r="C994" s="30"/>
    </row>
    <row r="995">
      <c r="A995" s="29"/>
      <c r="B995" s="29"/>
      <c r="C995" s="30"/>
    </row>
    <row r="996">
      <c r="A996" s="29"/>
      <c r="B996" s="29"/>
      <c r="C996" s="30"/>
    </row>
    <row r="997">
      <c r="A997" s="29"/>
      <c r="B997" s="29"/>
      <c r="C997" s="30"/>
    </row>
    <row r="998">
      <c r="A998" s="29"/>
      <c r="B998" s="29"/>
      <c r="C998" s="30"/>
    </row>
    <row r="999">
      <c r="A999" s="29"/>
      <c r="B999" s="29"/>
      <c r="C999" s="30"/>
    </row>
    <row r="1000">
      <c r="A1000" s="29"/>
      <c r="B1000" s="29"/>
      <c r="C1000" s="30"/>
    </row>
    <row r="1001">
      <c r="C1001" s="20"/>
    </row>
  </sheetData>
  <autoFilter ref="$A$2:$C$420">
    <sortState ref="A2:C420">
      <sortCondition descending="1" ref="B2:B420"/>
    </sortState>
  </autoFilter>
  <mergeCells count="1">
    <mergeCell ref="A1:C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1.63"/>
    <col customWidth="1" min="2" max="2" width="18.88"/>
    <col customWidth="1" min="12" max="12" width="39.25"/>
    <col customWidth="1" min="13" max="13" width="61.5"/>
  </cols>
  <sheetData>
    <row r="1">
      <c r="A1" s="31" t="s">
        <v>539</v>
      </c>
      <c r="B1" s="31" t="s">
        <v>540</v>
      </c>
      <c r="C1" s="31"/>
      <c r="J1" s="32" t="s">
        <v>5</v>
      </c>
      <c r="K1" s="32" t="s">
        <v>541</v>
      </c>
      <c r="L1" s="32" t="s">
        <v>542</v>
      </c>
      <c r="M1" s="32" t="s">
        <v>543</v>
      </c>
      <c r="N1" s="32" t="s">
        <v>544</v>
      </c>
      <c r="R1" s="10" t="str">
        <f>IFERROR(__xludf.DUMMYFUNCTION("unique(N2:N154)"),"x")</f>
        <v>x</v>
      </c>
    </row>
    <row r="2">
      <c r="A2" s="31" t="s">
        <v>545</v>
      </c>
      <c r="B2" s="31" t="s">
        <v>546</v>
      </c>
      <c r="C2" s="31"/>
      <c r="J2" s="10" t="s">
        <v>547</v>
      </c>
      <c r="K2" s="10" t="str">
        <f>IFERROR(__xludf.DUMMYFUNCTION("unique(B1:B1000)"),"Componentes CA")</f>
        <v>Componentes CA</v>
      </c>
      <c r="L2" s="10" t="str">
        <f>IFERROR(__xludf.DUMMYFUNCTION("unique(C1:C1000)"),"")</f>
        <v/>
      </c>
      <c r="M2" s="10" t="s">
        <v>548</v>
      </c>
      <c r="N2" s="19" t="s">
        <v>549</v>
      </c>
      <c r="R2" s="10" t="str">
        <f>IFERROR(__xludf.DUMMYFUNCTION("""COMPUTED_VALUE"""),"Almox Carpintaria - Peças")</f>
        <v>Almox Carpintaria - Peças</v>
      </c>
    </row>
    <row r="3">
      <c r="A3" s="31" t="s">
        <v>550</v>
      </c>
      <c r="B3" s="31" t="s">
        <v>551</v>
      </c>
      <c r="C3" s="31"/>
      <c r="J3" s="10" t="s">
        <v>552</v>
      </c>
      <c r="K3" s="10" t="str">
        <f>IFERROR(__xludf.DUMMYFUNCTION("""COMPUTED_VALUE"""),"BTNP")</f>
        <v>BTNP</v>
      </c>
      <c r="L3" s="10" t="str">
        <f>IFERROR(__xludf.DUMMYFUNCTION("""COMPUTED_VALUE"""),"Peças para Carrocerias")</f>
        <v>Peças para Carrocerias</v>
      </c>
      <c r="M3" s="10" t="s">
        <v>553</v>
      </c>
      <c r="N3" s="19" t="s">
        <v>549</v>
      </c>
      <c r="R3" s="10" t="str">
        <f>IFERROR(__xludf.DUMMYFUNCTION("""COMPUTED_VALUE"""),"Almox Carpintaria - Comp+MP")</f>
        <v>Almox Carpintaria - Comp+MP</v>
      </c>
    </row>
    <row r="4">
      <c r="A4" s="31" t="s">
        <v>554</v>
      </c>
      <c r="B4" s="31" t="s">
        <v>555</v>
      </c>
      <c r="C4" s="33" t="s">
        <v>556</v>
      </c>
      <c r="J4" s="10" t="s">
        <v>121</v>
      </c>
      <c r="K4" s="10" t="str">
        <f>IFERROR(__xludf.DUMMYFUNCTION("""COMPUTED_VALUE"""),"Imob")</f>
        <v>Imob</v>
      </c>
      <c r="L4" s="10" t="str">
        <f>IFERROR(__xludf.DUMMYFUNCTION("""COMPUTED_VALUE"""),"MP Madeiras Carretas")</f>
        <v>MP Madeiras Carretas</v>
      </c>
      <c r="M4" s="10" t="s">
        <v>557</v>
      </c>
      <c r="N4" s="19" t="s">
        <v>549</v>
      </c>
      <c r="R4" s="10" t="str">
        <f>IFERROR(__xludf.DUMMYFUNCTION("""COMPUTED_VALUE"""),"Almox Central - Peças")</f>
        <v>Almox Central - Peças</v>
      </c>
    </row>
    <row r="5">
      <c r="A5" s="31" t="s">
        <v>558</v>
      </c>
      <c r="B5" s="31" t="s">
        <v>559</v>
      </c>
      <c r="C5" s="33" t="s">
        <v>560</v>
      </c>
      <c r="J5" s="10" t="s">
        <v>561</v>
      </c>
      <c r="K5" s="10" t="str">
        <f>IFERROR(__xludf.DUMMYFUNCTION("""COMPUTED_VALUE"""),"Peças")</f>
        <v>Peças</v>
      </c>
      <c r="L5" s="10" t="str">
        <f>IFERROR(__xludf.DUMMYFUNCTION("""COMPUTED_VALUE"""),"MPC PA Arruelas Diversas")</f>
        <v>MPC PA Arruelas Diversas</v>
      </c>
      <c r="M5" s="10" t="s">
        <v>9</v>
      </c>
      <c r="N5" s="10" t="s">
        <v>9</v>
      </c>
      <c r="R5" s="10" t="str">
        <f>IFERROR(__xludf.DUMMYFUNCTION("""COMPUTED_VALUE"""),"Almox Central - MP Serra")</f>
        <v>Almox Central - MP Serra</v>
      </c>
    </row>
    <row r="6">
      <c r="A6" s="31" t="s">
        <v>562</v>
      </c>
      <c r="B6" s="31" t="s">
        <v>563</v>
      </c>
      <c r="C6" s="33" t="s">
        <v>564</v>
      </c>
      <c r="J6" s="10" t="s">
        <v>565</v>
      </c>
      <c r="K6" s="10" t="str">
        <f>IFERROR(__xludf.DUMMYFUNCTION("""COMPUTED_VALUE"""),"Madeira")</f>
        <v>Madeira</v>
      </c>
      <c r="L6" s="10" t="str">
        <f>IFERROR(__xludf.DUMMYFUNCTION("""COMPUTED_VALUE"""),"MPC Parafusos Frances")</f>
        <v>MPC Parafusos Frances</v>
      </c>
      <c r="M6" s="10" t="s">
        <v>566</v>
      </c>
      <c r="N6" s="19" t="s">
        <v>13</v>
      </c>
      <c r="R6" s="10" t="str">
        <f>IFERROR(__xludf.DUMMYFUNCTION("""COMPUTED_VALUE"""),"Almox Central - MP Forj")</f>
        <v>Almox Central - MP Forj</v>
      </c>
    </row>
    <row r="7">
      <c r="A7" s="31" t="s">
        <v>567</v>
      </c>
      <c r="B7" s="31" t="s">
        <v>563</v>
      </c>
      <c r="C7" s="33" t="s">
        <v>568</v>
      </c>
      <c r="J7" s="10" t="s">
        <v>569</v>
      </c>
      <c r="K7" s="10" t="str">
        <f>IFERROR(__xludf.DUMMYFUNCTION("""COMPUTED_VALUE"""),"Componentes PPA")</f>
        <v>Componentes PPA</v>
      </c>
      <c r="L7" s="10" t="str">
        <f>IFERROR(__xludf.DUMMYFUNCTION("""COMPUTED_VALUE"""),"Peças Para Carretas")</f>
        <v>Peças Para Carretas</v>
      </c>
      <c r="M7" s="10" t="s">
        <v>570</v>
      </c>
      <c r="N7" s="19" t="s">
        <v>13</v>
      </c>
      <c r="R7" s="10" t="str">
        <f>IFERROR(__xludf.DUMMYFUNCTION("""COMPUTED_VALUE"""),"Almox Central - Madeira")</f>
        <v>Almox Central - Madeira</v>
      </c>
    </row>
    <row r="8">
      <c r="A8" s="31" t="s">
        <v>571</v>
      </c>
      <c r="B8" s="31" t="s">
        <v>555</v>
      </c>
      <c r="C8" s="33" t="s">
        <v>572</v>
      </c>
      <c r="J8" s="10" t="s">
        <v>573</v>
      </c>
      <c r="K8" s="10" t="str">
        <f>IFERROR(__xludf.DUMMYFUNCTION("""COMPUTED_VALUE"""),"Emb")</f>
        <v>Emb</v>
      </c>
      <c r="L8" s="10" t="str">
        <f>IFERROR(__xludf.DUMMYFUNCTION("""COMPUTED_VALUE"""),"MP Aço Redondo Laminados p Forjaria")</f>
        <v>MP Aço Redondo Laminados p Forjaria</v>
      </c>
      <c r="M8" s="10" t="s">
        <v>574</v>
      </c>
      <c r="N8" s="19" t="s">
        <v>13</v>
      </c>
      <c r="R8" s="10" t="str">
        <f>IFERROR(__xludf.DUMMYFUNCTION("""COMPUTED_VALUE"""),"Almox Central - MP Chapas")</f>
        <v>Almox Central - MP Chapas</v>
      </c>
    </row>
    <row r="9">
      <c r="A9" s="31" t="s">
        <v>575</v>
      </c>
      <c r="B9" s="31" t="s">
        <v>576</v>
      </c>
      <c r="C9" s="31"/>
      <c r="J9" s="10" t="s">
        <v>577</v>
      </c>
      <c r="K9" s="10" t="str">
        <f>IFERROR(__xludf.DUMMYFUNCTION("""COMPUTED_VALUE"""),"MP")</f>
        <v>MP</v>
      </c>
      <c r="L9" s="10" t="str">
        <f>IFERROR(__xludf.DUMMYFUNCTION("""COMPUTED_VALUE"""),"MP Aço Redondo Laminados p Usinagem")</f>
        <v>MP Aço Redondo Laminados p Usinagem</v>
      </c>
      <c r="M9" s="10" t="s">
        <v>578</v>
      </c>
      <c r="N9" s="10" t="s">
        <v>579</v>
      </c>
      <c r="R9" s="10" t="str">
        <f>IFERROR(__xludf.DUMMYFUNCTION("""COMPUTED_VALUE"""),"Almox Central - Fundido")</f>
        <v>Almox Central - Fundido</v>
      </c>
    </row>
    <row r="10">
      <c r="A10" s="31" t="s">
        <v>580</v>
      </c>
      <c r="B10" s="31" t="s">
        <v>581</v>
      </c>
      <c r="C10" s="31"/>
      <c r="J10" s="10" t="s">
        <v>582</v>
      </c>
      <c r="K10" s="10" t="str">
        <f>IFERROR(__xludf.DUMMYFUNCTION("""COMPUTED_VALUE"""),"MP Serra")</f>
        <v>MP Serra</v>
      </c>
      <c r="L10" s="10" t="str">
        <f>IFERROR(__xludf.DUMMYFUNCTION("""COMPUTED_VALUE"""),"MP Forjados Chumbo")</f>
        <v>MP Forjados Chumbo</v>
      </c>
      <c r="M10" s="10" t="s">
        <v>579</v>
      </c>
      <c r="N10" s="10" t="s">
        <v>579</v>
      </c>
      <c r="R10" s="10" t="str">
        <f>IFERROR(__xludf.DUMMYFUNCTION("""COMPUTED_VALUE"""),"Almox Central - Mat Manu")</f>
        <v>Almox Central - Mat Manu</v>
      </c>
    </row>
    <row r="11">
      <c r="A11" s="31" t="s">
        <v>583</v>
      </c>
      <c r="B11" s="31" t="s">
        <v>584</v>
      </c>
      <c r="C11" s="33" t="s">
        <v>585</v>
      </c>
      <c r="J11" s="10" t="s">
        <v>586</v>
      </c>
      <c r="K11" s="10" t="str">
        <f>IFERROR(__xludf.DUMMYFUNCTION("""COMPUTED_VALUE"""),"MP Forj")</f>
        <v>MP Forj</v>
      </c>
      <c r="L11" s="10" t="str">
        <f>IFERROR(__xludf.DUMMYFUNCTION("""COMPUTED_VALUE"""),"MP Aço Redondo Trefilados")</f>
        <v>MP Aço Redondo Trefilados</v>
      </c>
      <c r="M11" s="10" t="s">
        <v>587</v>
      </c>
      <c r="N11" s="10" t="s">
        <v>587</v>
      </c>
      <c r="R11" s="10" t="str">
        <f>IFERROR(__xludf.DUMMYFUNCTION("""COMPUTED_VALUE"""),"Almox Central - Mat Ferramenta")</f>
        <v>Almox Central - Mat Ferramenta</v>
      </c>
    </row>
    <row r="12">
      <c r="A12" s="31" t="s">
        <v>588</v>
      </c>
      <c r="B12" s="31" t="s">
        <v>584</v>
      </c>
      <c r="C12" s="33" t="s">
        <v>589</v>
      </c>
      <c r="J12" s="10" t="s">
        <v>590</v>
      </c>
      <c r="K12" s="10" t="str">
        <f>IFERROR(__xludf.DUMMYFUNCTION("""COMPUTED_VALUE"""),"MP Chapas")</f>
        <v>MP Chapas</v>
      </c>
      <c r="L12" s="10" t="str">
        <f>IFERROR(__xludf.DUMMYFUNCTION("""COMPUTED_VALUE"""),"MP Aço Redondo Diversos")</f>
        <v>MP Aço Redondo Diversos</v>
      </c>
      <c r="M12" s="10" t="s">
        <v>591</v>
      </c>
      <c r="N12" s="10" t="s">
        <v>591</v>
      </c>
      <c r="R12" s="10" t="str">
        <f>IFERROR(__xludf.DUMMYFUNCTION("""COMPUTED_VALUE"""),"Almox Central - Componentes Sem Mov")</f>
        <v>Almox Central - Componentes Sem Mov</v>
      </c>
    </row>
    <row r="13">
      <c r="A13" s="31" t="s">
        <v>592</v>
      </c>
      <c r="B13" s="31" t="s">
        <v>593</v>
      </c>
      <c r="C13" s="33" t="s">
        <v>594</v>
      </c>
      <c r="J13" s="10" t="s">
        <v>595</v>
      </c>
      <c r="K13" s="10" t="str">
        <f>IFERROR(__xludf.DUMMYFUNCTION("""COMPUTED_VALUE"""),"Fundido")</f>
        <v>Fundido</v>
      </c>
      <c r="L13" s="10" t="str">
        <f>IFERROR(__xludf.DUMMYFUNCTION("""COMPUTED_VALUE"""),"MP Aço Quadrado Diversos")</f>
        <v>MP Aço Quadrado Diversos</v>
      </c>
      <c r="M13" s="10" t="s">
        <v>596</v>
      </c>
      <c r="N13" s="10" t="s">
        <v>596</v>
      </c>
      <c r="R13" s="10" t="str">
        <f>IFERROR(__xludf.DUMMYFUNCTION("""COMPUTED_VALUE"""),"Almox Central - Componentes Div")</f>
        <v>Almox Central - Componentes Div</v>
      </c>
    </row>
    <row r="14">
      <c r="A14" s="31" t="s">
        <v>597</v>
      </c>
      <c r="B14" s="31" t="s">
        <v>584</v>
      </c>
      <c r="C14" s="33" t="s">
        <v>598</v>
      </c>
      <c r="J14" s="10" t="s">
        <v>599</v>
      </c>
      <c r="K14" s="10" t="str">
        <f>IFERROR(__xludf.DUMMYFUNCTION("""COMPUTED_VALUE"""),"Mat Manu")</f>
        <v>Mat Manu</v>
      </c>
      <c r="L14" s="10" t="str">
        <f>IFERROR(__xludf.DUMMYFUNCTION("""COMPUTED_VALUE"""),"MP Forjados Grafite")</f>
        <v>MP Forjados Grafite</v>
      </c>
      <c r="M14" s="10" t="s">
        <v>600</v>
      </c>
      <c r="N14" s="10" t="s">
        <v>600</v>
      </c>
      <c r="R14" s="10" t="str">
        <f>IFERROR(__xludf.DUMMYFUNCTION("""COMPUTED_VALUE"""),"Almox Central - Componentes PPA")</f>
        <v>Almox Central - Componentes PPA</v>
      </c>
    </row>
    <row r="15">
      <c r="A15" s="31" t="s">
        <v>601</v>
      </c>
      <c r="B15" s="31" t="s">
        <v>584</v>
      </c>
      <c r="C15" s="33" t="s">
        <v>602</v>
      </c>
      <c r="J15" s="10" t="s">
        <v>42</v>
      </c>
      <c r="K15" s="10" t="str">
        <f>IFERROR(__xludf.DUMMYFUNCTION("""COMPUTED_VALUE"""),"Mat Ferramenta")</f>
        <v>Mat Ferramenta</v>
      </c>
      <c r="L15" s="10" t="str">
        <f>IFERROR(__xludf.DUMMYFUNCTION("""COMPUTED_VALUE"""),"MP Forjados Nylon Tecnil")</f>
        <v>MP Forjados Nylon Tecnil</v>
      </c>
      <c r="M15" s="10" t="s">
        <v>603</v>
      </c>
      <c r="N15" s="10" t="s">
        <v>603</v>
      </c>
      <c r="R15" s="10" t="str">
        <f>IFERROR(__xludf.DUMMYFUNCTION("""COMPUTED_VALUE"""),"Almox Central - Mat Secundário")</f>
        <v>Almox Central - Mat Secundário</v>
      </c>
    </row>
    <row r="16">
      <c r="A16" s="31" t="s">
        <v>604</v>
      </c>
      <c r="B16" s="31" t="s">
        <v>584</v>
      </c>
      <c r="C16" s="33" t="s">
        <v>605</v>
      </c>
      <c r="J16" s="10" t="s">
        <v>606</v>
      </c>
      <c r="K16" s="10" t="str">
        <f>IFERROR(__xludf.DUMMYFUNCTION("""COMPUTED_VALUE"""),"Componentes Sem Mov")</f>
        <v>Componentes Sem Mov</v>
      </c>
      <c r="L16" s="10" t="str">
        <f>IFERROR(__xludf.DUMMYFUNCTION("""COMPUTED_VALUE"""),"MP Chapas c Dim Esp SAE 1008 10 e 20")</f>
        <v>MP Chapas c Dim Esp SAE 1008 10 e 20</v>
      </c>
      <c r="M16" s="10" t="s">
        <v>607</v>
      </c>
      <c r="N16" s="10" t="s">
        <v>607</v>
      </c>
      <c r="R16" s="10" t="str">
        <f>IFERROR(__xludf.DUMMYFUNCTION("""COMPUTED_VALUE"""),"Almox Central - Componentes")</f>
        <v>Almox Central - Componentes</v>
      </c>
    </row>
    <row r="17">
      <c r="A17" s="31" t="s">
        <v>608</v>
      </c>
      <c r="B17" s="31" t="s">
        <v>584</v>
      </c>
      <c r="C17" s="31"/>
      <c r="J17" s="10" t="s">
        <v>609</v>
      </c>
      <c r="K17" s="10" t="str">
        <f>IFERROR(__xludf.DUMMYFUNCTION("""COMPUTED_VALUE"""),"Componentes Div")</f>
        <v>Componentes Div</v>
      </c>
      <c r="L17" s="10" t="str">
        <f>IFERROR(__xludf.DUMMYFUNCTION("""COMPUTED_VALUE"""),"MP Chapas Grossas SAE 1008 e 10 e 20")</f>
        <v>MP Chapas Grossas SAE 1008 e 10 e 20</v>
      </c>
      <c r="M17" s="10" t="s">
        <v>610</v>
      </c>
      <c r="N17" s="10" t="s">
        <v>610</v>
      </c>
      <c r="R17" s="10" t="str">
        <f>IFERROR(__xludf.DUMMYFUNCTION("""COMPUTED_VALUE"""),"Almox Central - Componentes CA")</f>
        <v>Almox Central - Componentes CA</v>
      </c>
    </row>
    <row r="18">
      <c r="A18" s="31" t="s">
        <v>611</v>
      </c>
      <c r="B18" s="31" t="s">
        <v>593</v>
      </c>
      <c r="C18" s="33" t="s">
        <v>612</v>
      </c>
      <c r="J18" s="10" t="s">
        <v>613</v>
      </c>
      <c r="K18" s="10" t="str">
        <f>IFERROR(__xludf.DUMMYFUNCTION("""COMPUTED_VALUE"""),"Mat Secundário")</f>
        <v>Mat Secundário</v>
      </c>
      <c r="L18" s="10" t="str">
        <f>IFERROR(__xludf.DUMMYFUNCTION("""COMPUTED_VALUE"""),"MP Chapas Finas SAE 1008 e 10 e 20")</f>
        <v>MP Chapas Finas SAE 1008 e 10 e 20</v>
      </c>
      <c r="M18" s="10" t="s">
        <v>614</v>
      </c>
      <c r="N18" s="10" t="s">
        <v>614</v>
      </c>
      <c r="R18" s="10" t="str">
        <f>IFERROR(__xludf.DUMMYFUNCTION("""COMPUTED_VALUE"""),"Almox Central - MUC")</f>
        <v>Almox Central - MUC</v>
      </c>
    </row>
    <row r="19">
      <c r="A19" s="31" t="s">
        <v>615</v>
      </c>
      <c r="B19" s="31" t="s">
        <v>593</v>
      </c>
      <c r="C19" s="33" t="s">
        <v>616</v>
      </c>
      <c r="J19" s="10" t="s">
        <v>617</v>
      </c>
      <c r="K19" s="10" t="str">
        <f>IFERROR(__xludf.DUMMYFUNCTION("""COMPUTED_VALUE"""),"Componentes")</f>
        <v>Componentes</v>
      </c>
      <c r="L19" s="10" t="str">
        <f>IFERROR(__xludf.DUMMYFUNCTION("""COMPUTED_VALUE"""),"MP Chapas Bobinas")</f>
        <v>MP Chapas Bobinas</v>
      </c>
      <c r="M19" s="10" t="s">
        <v>618</v>
      </c>
      <c r="N19" s="10" t="s">
        <v>618</v>
      </c>
      <c r="R19" s="10" t="str">
        <f>IFERROR(__xludf.DUMMYFUNCTION("""COMPUTED_VALUE"""),"Almox Central - Ferramentas")</f>
        <v>Almox Central - Ferramentas</v>
      </c>
    </row>
    <row r="20">
      <c r="A20" s="31" t="s">
        <v>619</v>
      </c>
      <c r="B20" s="31" t="s">
        <v>620</v>
      </c>
      <c r="C20" s="33" t="s">
        <v>621</v>
      </c>
      <c r="J20" s="10" t="s">
        <v>622</v>
      </c>
      <c r="K20" s="10" t="str">
        <f>IFERROR(__xludf.DUMMYFUNCTION("""COMPUTED_VALUE"""),"MUC")</f>
        <v>MUC</v>
      </c>
      <c r="L20" s="10" t="str">
        <f>IFERROR(__xludf.DUMMYFUNCTION("""COMPUTED_VALUE"""),"MP Chapas Diversas")</f>
        <v>MP Chapas Diversas</v>
      </c>
      <c r="M20" s="10" t="s">
        <v>623</v>
      </c>
      <c r="N20" s="10" t="s">
        <v>623</v>
      </c>
      <c r="R20" s="10" t="str">
        <f>IFERROR(__xludf.DUMMYFUNCTION("""COMPUTED_VALUE"""),"Almox Central - Emb")</f>
        <v>Almox Central - Emb</v>
      </c>
    </row>
    <row r="21">
      <c r="A21" s="31" t="s">
        <v>624</v>
      </c>
      <c r="B21" s="31" t="s">
        <v>620</v>
      </c>
      <c r="C21" s="33" t="s">
        <v>625</v>
      </c>
      <c r="J21" s="10" t="s">
        <v>626</v>
      </c>
      <c r="K21" s="10" t="str">
        <f>IFERROR(__xludf.DUMMYFUNCTION("""COMPUTED_VALUE"""),"Ferramentas")</f>
        <v>Ferramentas</v>
      </c>
      <c r="L21" s="10" t="str">
        <f>IFERROR(__xludf.DUMMYFUNCTION("""COMPUTED_VALUE"""),"MP Chapas Especiais 1070")</f>
        <v>MP Chapas Especiais 1070</v>
      </c>
      <c r="M21" s="10" t="s">
        <v>627</v>
      </c>
      <c r="N21" s="10" t="s">
        <v>627</v>
      </c>
      <c r="R21" s="10" t="str">
        <f>IFERROR(__xludf.DUMMYFUNCTION("""COMPUTED_VALUE"""),"Almox Central - Conj")</f>
        <v>Almox Central - Conj</v>
      </c>
    </row>
    <row r="22">
      <c r="A22" s="31" t="s">
        <v>628</v>
      </c>
      <c r="B22" s="31" t="s">
        <v>620</v>
      </c>
      <c r="C22" s="33" t="s">
        <v>629</v>
      </c>
      <c r="J22" s="10" t="s">
        <v>630</v>
      </c>
      <c r="K22" s="10" t="str">
        <f>IFERROR(__xludf.DUMMYFUNCTION("""COMPUTED_VALUE"""),"Conj")</f>
        <v>Conj</v>
      </c>
      <c r="L22" s="10" t="str">
        <f>IFERROR(__xludf.DUMMYFUNCTION("""COMPUTED_VALUE"""),"MP Aço Quadrado Trefilados")</f>
        <v>MP Aço Quadrado Trefilados</v>
      </c>
      <c r="M22" s="10" t="s">
        <v>631</v>
      </c>
      <c r="N22" s="10" t="s">
        <v>631</v>
      </c>
      <c r="R22" s="10" t="str">
        <f>IFERROR(__xludf.DUMMYFUNCTION("""COMPUTED_VALUE"""),"Almox Central - Gases")</f>
        <v>Almox Central - Gases</v>
      </c>
    </row>
    <row r="23">
      <c r="A23" s="31" t="s">
        <v>632</v>
      </c>
      <c r="B23" s="31" t="s">
        <v>620</v>
      </c>
      <c r="C23" s="33" t="s">
        <v>633</v>
      </c>
      <c r="J23" s="10" t="s">
        <v>634</v>
      </c>
      <c r="K23" s="10" t="str">
        <f>IFERROR(__xludf.DUMMYFUNCTION("""COMPUTED_VALUE"""),"Tendi nao")</f>
        <v>Tendi nao</v>
      </c>
      <c r="L23" s="10" t="str">
        <f>IFERROR(__xludf.DUMMYFUNCTION("""COMPUTED_VALUE"""),"MP Aço Quadrado Laminados")</f>
        <v>MP Aço Quadrado Laminados</v>
      </c>
      <c r="M23" s="10" t="s">
        <v>635</v>
      </c>
      <c r="N23" s="10" t="s">
        <v>635</v>
      </c>
      <c r="R23" s="10" t="str">
        <f>IFERROR(__xludf.DUMMYFUNCTION("""COMPUTED_VALUE"""),"Almox Corte e Estamparia - Peças")</f>
        <v>Almox Corte e Estamparia - Peças</v>
      </c>
    </row>
    <row r="24">
      <c r="A24" s="31" t="s">
        <v>636</v>
      </c>
      <c r="B24" s="31" t="s">
        <v>620</v>
      </c>
      <c r="C24" s="33" t="s">
        <v>637</v>
      </c>
      <c r="J24" s="10" t="s">
        <v>638</v>
      </c>
      <c r="K24" s="10" t="str">
        <f>IFERROR(__xludf.DUMMYFUNCTION("""COMPUTED_VALUE"""),"Gases")</f>
        <v>Gases</v>
      </c>
      <c r="L24" s="10" t="str">
        <f>IFERROR(__xludf.DUMMYFUNCTION("""COMPUTED_VALUE"""),"MP Aço Chato 1010 e 1020")</f>
        <v>MP Aço Chato 1010 e 1020</v>
      </c>
      <c r="M24" s="10" t="s">
        <v>639</v>
      </c>
      <c r="N24" s="10" t="s">
        <v>639</v>
      </c>
      <c r="R24" s="10" t="str">
        <f>IFERROR(__xludf.DUMMYFUNCTION("""COMPUTED_VALUE"""),"Almox Corte e Estamparia - Componentes")</f>
        <v>Almox Corte e Estamparia - Componentes</v>
      </c>
    </row>
    <row r="25">
      <c r="A25" s="31" t="s">
        <v>640</v>
      </c>
      <c r="B25" s="31" t="s">
        <v>620</v>
      </c>
      <c r="C25" s="33" t="s">
        <v>641</v>
      </c>
      <c r="J25" s="10" t="s">
        <v>642</v>
      </c>
      <c r="K25" s="10" t="str">
        <f>IFERROR(__xludf.DUMMYFUNCTION("""COMPUTED_VALUE"""),"Rec Fiscais")</f>
        <v>Rec Fiscais</v>
      </c>
      <c r="L25" s="10" t="str">
        <f>IFERROR(__xludf.DUMMYFUNCTION("""COMPUTED_VALUE"""),"MP Aço Chato Molas")</f>
        <v>MP Aço Chato Molas</v>
      </c>
      <c r="M25" s="10" t="s">
        <v>643</v>
      </c>
      <c r="N25" s="10" t="s">
        <v>643</v>
      </c>
      <c r="R25" s="10" t="str">
        <f>IFERROR(__xludf.DUMMYFUNCTION("""COMPUTED_VALUE"""),"Almox Cx Acessórios - Peças")</f>
        <v>Almox Cx Acessórios - Peças</v>
      </c>
    </row>
    <row r="26">
      <c r="A26" s="31" t="s">
        <v>644</v>
      </c>
      <c r="B26" s="31" t="s">
        <v>584</v>
      </c>
      <c r="C26" s="33" t="s">
        <v>645</v>
      </c>
      <c r="J26" s="10" t="s">
        <v>646</v>
      </c>
      <c r="K26" s="10" t="str">
        <f>IFERROR(__xludf.DUMMYFUNCTION("""COMPUTED_VALUE"""),"Frete")</f>
        <v>Frete</v>
      </c>
      <c r="L26" s="10" t="str">
        <f>IFERROR(__xludf.DUMMYFUNCTION("""COMPUTED_VALUE"""),"MP Aço Chato 1045 e 1050")</f>
        <v>MP Aço Chato 1045 e 1050</v>
      </c>
      <c r="M26" s="10" t="s">
        <v>647</v>
      </c>
      <c r="N26" s="10" t="s">
        <v>647</v>
      </c>
      <c r="R26" s="10" t="str">
        <f>IFERROR(__xludf.DUMMYFUNCTION("""COMPUTED_VALUE"""),"Almox Cx Acessórios - Componentes")</f>
        <v>Almox Cx Acessórios - Componentes</v>
      </c>
    </row>
    <row r="27">
      <c r="A27" s="31" t="s">
        <v>648</v>
      </c>
      <c r="B27" s="31" t="s">
        <v>584</v>
      </c>
      <c r="C27" s="33" t="s">
        <v>649</v>
      </c>
      <c r="J27" s="10" t="s">
        <v>650</v>
      </c>
      <c r="K27" s="10" t="str">
        <f>IFERROR(__xludf.DUMMYFUNCTION("""COMPUTED_VALUE"""),"Serv PJ")</f>
        <v>Serv PJ</v>
      </c>
      <c r="L27" s="10" t="str">
        <f>IFERROR(__xludf.DUMMYFUNCTION("""COMPUTED_VALUE"""),"MP Perfis Cantoneiras")</f>
        <v>MP Perfis Cantoneiras</v>
      </c>
      <c r="M27" s="10" t="s">
        <v>651</v>
      </c>
      <c r="N27" s="10" t="s">
        <v>651</v>
      </c>
      <c r="R27" s="10" t="str">
        <f>IFERROR(__xludf.DUMMYFUNCTION("""COMPUTED_VALUE"""),"Almox Devol Vendas - Geral")</f>
        <v>Almox Devol Vendas - Geral</v>
      </c>
    </row>
    <row r="28">
      <c r="A28" s="31" t="s">
        <v>652</v>
      </c>
      <c r="B28" s="31" t="s">
        <v>584</v>
      </c>
      <c r="C28" s="33" t="s">
        <v>653</v>
      </c>
      <c r="J28" s="10" t="s">
        <v>654</v>
      </c>
      <c r="K28" s="10" t="str">
        <f>IFERROR(__xludf.DUMMYFUNCTION("""COMPUTED_VALUE"""),"Implemento")</f>
        <v>Implemento</v>
      </c>
      <c r="L28" s="10" t="str">
        <f>IFERROR(__xludf.DUMMYFUNCTION("""COMPUTED_VALUE"""),"MP Tubos Quadrados")</f>
        <v>MP Tubos Quadrados</v>
      </c>
      <c r="M28" s="10" t="s">
        <v>655</v>
      </c>
      <c r="N28" s="19" t="s">
        <v>549</v>
      </c>
      <c r="R28" s="10" t="str">
        <f>IFERROR(__xludf.DUMMYFUNCTION("""COMPUTED_VALUE"""),"Almox Expedição - Implemento")</f>
        <v>Almox Expedição - Implemento</v>
      </c>
    </row>
    <row r="29">
      <c r="A29" s="31" t="s">
        <v>656</v>
      </c>
      <c r="B29" s="31" t="s">
        <v>584</v>
      </c>
      <c r="C29" s="33" t="s">
        <v>657</v>
      </c>
      <c r="J29" s="10" t="s">
        <v>658</v>
      </c>
      <c r="K29" s="10" t="str">
        <f>IFERROR(__xludf.DUMMYFUNCTION("""COMPUTED_VALUE"""),"Folha")</f>
        <v>Folha</v>
      </c>
      <c r="L29" s="10" t="str">
        <f>IFERROR(__xludf.DUMMYFUNCTION("""COMPUTED_VALUE"""),"MP Tubos Redondos")</f>
        <v>MP Tubos Redondos</v>
      </c>
      <c r="M29" s="10" t="s">
        <v>659</v>
      </c>
      <c r="N29" s="19" t="s">
        <v>549</v>
      </c>
      <c r="R29" s="10" t="str">
        <f>IFERROR(__xludf.DUMMYFUNCTION("""COMPUTED_VALUE"""),"Almox Forjaria - Geral")</f>
        <v>Almox Forjaria - Geral</v>
      </c>
    </row>
    <row r="30">
      <c r="A30" s="31" t="s">
        <v>660</v>
      </c>
      <c r="B30" s="31" t="s">
        <v>584</v>
      </c>
      <c r="C30" s="33" t="s">
        <v>661</v>
      </c>
      <c r="J30" s="10" t="s">
        <v>662</v>
      </c>
      <c r="K30" s="10" t="str">
        <f>IFERROR(__xludf.DUMMYFUNCTION("""COMPUTED_VALUE"""),"Mat Serra")</f>
        <v>Mat Serra</v>
      </c>
      <c r="L30" s="10" t="str">
        <f>IFERROR(__xludf.DUMMYFUNCTION("""COMPUTED_VALUE"""),"MP Fundidos Outras")</f>
        <v>MP Fundidos Outras</v>
      </c>
      <c r="M30" s="10" t="s">
        <v>663</v>
      </c>
      <c r="N30" s="10" t="s">
        <v>663</v>
      </c>
      <c r="R30" s="10" t="str">
        <f>IFERROR(__xludf.DUMMYFUNCTION("""COMPUTED_VALUE"""),"Almox Marketing - MUC")</f>
        <v>Almox Marketing - MUC</v>
      </c>
    </row>
    <row r="31">
      <c r="A31" s="31" t="s">
        <v>664</v>
      </c>
      <c r="B31" s="31" t="s">
        <v>584</v>
      </c>
      <c r="C31" s="33" t="s">
        <v>665</v>
      </c>
      <c r="J31" s="10" t="s">
        <v>666</v>
      </c>
      <c r="K31" s="10" t="str">
        <f>IFERROR(__xludf.DUMMYFUNCTION("""COMPUTED_VALUE"""),"Sucata")</f>
        <v>Sucata</v>
      </c>
      <c r="L31" s="10" t="str">
        <f>IFERROR(__xludf.DUMMYFUNCTION("""COMPUTED_VALUE"""),"MP Fundidos R2 e R3")</f>
        <v>MP Fundidos R2 e R3</v>
      </c>
      <c r="M31" s="10" t="s">
        <v>667</v>
      </c>
      <c r="N31" s="19" t="s">
        <v>549</v>
      </c>
      <c r="R31" s="10" t="str">
        <f>IFERROR(__xludf.DUMMYFUNCTION("""COMPUTED_VALUE"""),"Almox Mat Fora de Uso - Geral")</f>
        <v>Almox Mat Fora de Uso - Geral</v>
      </c>
    </row>
    <row r="32">
      <c r="A32" s="31" t="s">
        <v>668</v>
      </c>
      <c r="B32" s="31" t="s">
        <v>584</v>
      </c>
      <c r="C32" s="33" t="s">
        <v>669</v>
      </c>
      <c r="J32" s="10" t="s">
        <v>670</v>
      </c>
      <c r="K32" s="10"/>
      <c r="L32" s="10" t="str">
        <f>IFERROR(__xludf.DUMMYFUNCTION("""COMPUTED_VALUE"""),"MM Mecânica Diversos")</f>
        <v>MM Mecânica Diversos</v>
      </c>
      <c r="M32" s="10" t="s">
        <v>671</v>
      </c>
      <c r="N32" s="19" t="s">
        <v>549</v>
      </c>
      <c r="R32" s="10" t="str">
        <f>IFERROR(__xludf.DUMMYFUNCTION("""COMPUTED_VALUE"""),"Almox Mont Carretas - Peças")</f>
        <v>Almox Mont Carretas - Peças</v>
      </c>
    </row>
    <row r="33">
      <c r="A33" s="31" t="s">
        <v>672</v>
      </c>
      <c r="B33" s="31" t="s">
        <v>584</v>
      </c>
      <c r="C33" s="33" t="s">
        <v>673</v>
      </c>
      <c r="J33" s="10" t="s">
        <v>674</v>
      </c>
      <c r="L33" s="10" t="str">
        <f>IFERROR(__xludf.DUMMYFUNCTION("""COMPUTED_VALUE"""),"MFA Ferram Manuais Instrum de Medida")</f>
        <v>MFA Ferram Manuais Instrum de Medida</v>
      </c>
      <c r="M33" s="10" t="s">
        <v>675</v>
      </c>
      <c r="N33" s="19" t="s">
        <v>549</v>
      </c>
      <c r="R33" s="10" t="str">
        <f>IFERROR(__xludf.DUMMYFUNCTION("""COMPUTED_VALUE"""),"Almox Mont Carretas - Conj")</f>
        <v>Almox Mont Carretas - Conj</v>
      </c>
    </row>
    <row r="34">
      <c r="A34" s="31" t="s">
        <v>676</v>
      </c>
      <c r="B34" s="31" t="s">
        <v>677</v>
      </c>
      <c r="C34" s="33" t="s">
        <v>678</v>
      </c>
      <c r="L34" s="10" t="str">
        <f>IFERROR(__xludf.DUMMYFUNCTION("""COMPUTED_VALUE"""),"Outras Peças")</f>
        <v>Outras Peças</v>
      </c>
      <c r="M34" s="10" t="s">
        <v>14</v>
      </c>
      <c r="N34" s="10" t="s">
        <v>14</v>
      </c>
      <c r="R34" s="10" t="str">
        <f>IFERROR(__xludf.DUMMYFUNCTION("""COMPUTED_VALUE"""),"Almox Mont Carretas - Componentes")</f>
        <v>Almox Mont Carretas - Componentes</v>
      </c>
    </row>
    <row r="35">
      <c r="A35" s="31" t="s">
        <v>679</v>
      </c>
      <c r="B35" s="31" t="s">
        <v>677</v>
      </c>
      <c r="C35" s="33" t="s">
        <v>680</v>
      </c>
      <c r="L35" s="10" t="str">
        <f>IFERROR(__xludf.DUMMYFUNCTION("""COMPUTED_VALUE"""),"MPC Diversos Outros")</f>
        <v>MPC Diversos Outros</v>
      </c>
      <c r="M35" s="10" t="s">
        <v>681</v>
      </c>
      <c r="N35" s="19" t="s">
        <v>549</v>
      </c>
      <c r="R35" s="10" t="str">
        <f>IFERROR(__xludf.DUMMYFUNCTION("""COMPUTED_VALUE"""),"Almox Mont Robusta - Geral")</f>
        <v>Almox Mont Robusta - Geral</v>
      </c>
    </row>
    <row r="36">
      <c r="A36" s="31" t="s">
        <v>682</v>
      </c>
      <c r="B36" s="31" t="s">
        <v>683</v>
      </c>
      <c r="C36" s="33" t="s">
        <v>684</v>
      </c>
      <c r="L36" s="10" t="str">
        <f>IFERROR(__xludf.DUMMYFUNCTION("""COMPUTED_VALUE"""),"MPC CBM Cardans e Comp Diversos")</f>
        <v>MPC CBM Cardans e Comp Diversos</v>
      </c>
      <c r="M36" s="10" t="s">
        <v>685</v>
      </c>
      <c r="N36" s="19" t="s">
        <v>549</v>
      </c>
      <c r="R36" s="10" t="str">
        <f>IFERROR(__xludf.DUMMYFUNCTION("""COMPUTED_VALUE"""),"Almox Mont Rotativas - Geral")</f>
        <v>Almox Mont Rotativas - Geral</v>
      </c>
    </row>
    <row r="37">
      <c r="A37" s="31" t="s">
        <v>686</v>
      </c>
      <c r="B37" s="31" t="s">
        <v>687</v>
      </c>
      <c r="C37" s="33" t="s">
        <v>688</v>
      </c>
      <c r="L37" s="10" t="str">
        <f>IFERROR(__xludf.DUMMYFUNCTION("""COMPUTED_VALUE"""),"MPC Parafusos Allem")</f>
        <v>MPC Parafusos Allem</v>
      </c>
      <c r="M37" s="10" t="s">
        <v>689</v>
      </c>
      <c r="N37" s="19" t="s">
        <v>549</v>
      </c>
      <c r="R37" s="10" t="str">
        <f>IFERROR(__xludf.DUMMYFUNCTION("""COMPUTED_VALUE"""),"Almox Mont Tanques - Peças")</f>
        <v>Almox Mont Tanques - Peças</v>
      </c>
    </row>
    <row r="38">
      <c r="A38" s="31" t="s">
        <v>690</v>
      </c>
      <c r="B38" s="33" t="s">
        <v>691</v>
      </c>
      <c r="C38" s="31"/>
      <c r="L38" s="10" t="str">
        <f>IFERROR(__xludf.DUMMYFUNCTION("""COMPUTED_VALUE"""),"MPC PA Porcas Diversas")</f>
        <v>MPC PA Porcas Diversas</v>
      </c>
      <c r="M38" s="10" t="s">
        <v>692</v>
      </c>
      <c r="N38" s="19" t="s">
        <v>549</v>
      </c>
      <c r="R38" s="10" t="str">
        <f>IFERROR(__xludf.DUMMYFUNCTION("""COMPUTED_VALUE"""),"Almox Peças Reposição - Geral")</f>
        <v>Almox Peças Reposição - Geral</v>
      </c>
    </row>
    <row r="39">
      <c r="A39" s="31" t="s">
        <v>693</v>
      </c>
      <c r="B39" s="31" t="s">
        <v>555</v>
      </c>
      <c r="C39" s="31" t="s">
        <v>694</v>
      </c>
      <c r="L39" s="10" t="str">
        <f>IFERROR(__xludf.DUMMYFUNCTION("""COMPUTED_VALUE"""),"MPC ABP Anéis")</f>
        <v>MPC ABP Anéis</v>
      </c>
      <c r="M39" s="10" t="s">
        <v>17</v>
      </c>
      <c r="N39" s="19" t="s">
        <v>17</v>
      </c>
      <c r="R39" s="10" t="str">
        <f>IFERROR(__xludf.DUMMYFUNCTION("""COMPUTED_VALUE"""),"Almox Pintura - Embalagem - Conj")</f>
        <v>Almox Pintura - Embalagem - Conj</v>
      </c>
    </row>
    <row r="40">
      <c r="A40" s="31" t="s">
        <v>695</v>
      </c>
      <c r="B40" s="31" t="s">
        <v>696</v>
      </c>
      <c r="C40" s="33" t="s">
        <v>697</v>
      </c>
      <c r="L40" s="10" t="str">
        <f>IFERROR(__xludf.DUMMYFUNCTION("""COMPUTED_VALUE"""),"MPC CCP Correias")</f>
        <v>MPC CCP Correias</v>
      </c>
      <c r="M40" s="10" t="s">
        <v>698</v>
      </c>
      <c r="N40" s="19" t="s">
        <v>17</v>
      </c>
      <c r="R40" s="10" t="str">
        <f>IFERROR(__xludf.DUMMYFUNCTION("""COMPUTED_VALUE"""),"Almox Pintura - Embalagem - Componentes")</f>
        <v>Almox Pintura - Embalagem - Componentes</v>
      </c>
    </row>
    <row r="41">
      <c r="A41" s="31" t="s">
        <v>699</v>
      </c>
      <c r="B41" s="31" t="s">
        <v>696</v>
      </c>
      <c r="C41" s="33" t="s">
        <v>700</v>
      </c>
      <c r="L41" s="10" t="str">
        <f>IFERROR(__xludf.DUMMYFUNCTION("""COMPUTED_VALUE"""),"MPC PR Rodas e Aros")</f>
        <v>MPC PR Rodas e Aros</v>
      </c>
      <c r="M41" s="10" t="s">
        <v>701</v>
      </c>
      <c r="N41" s="19" t="s">
        <v>17</v>
      </c>
      <c r="R41" s="10" t="str">
        <f>IFERROR(__xludf.DUMMYFUNCTION("""COMPUTED_VALUE"""),"Almox Prod Especiais - Geral")</f>
        <v>Almox Prod Especiais - Geral</v>
      </c>
    </row>
    <row r="42">
      <c r="A42" s="31" t="s">
        <v>702</v>
      </c>
      <c r="B42" s="31" t="s">
        <v>563</v>
      </c>
      <c r="C42" s="33" t="s">
        <v>703</v>
      </c>
      <c r="L42" s="10" t="str">
        <f>IFERROR(__xludf.DUMMYFUNCTION("""COMPUTED_VALUE"""),"MPC CBM Bombas e Motobombas")</f>
        <v>MPC CBM Bombas e Motobombas</v>
      </c>
      <c r="M42" s="10" t="s">
        <v>704</v>
      </c>
      <c r="N42" s="19" t="s">
        <v>17</v>
      </c>
      <c r="R42" s="10" t="str">
        <f>IFERROR(__xludf.DUMMYFUNCTION("""COMPUTED_VALUE"""),"Almox Qualidade - Geral")</f>
        <v>Almox Qualidade - Geral</v>
      </c>
    </row>
    <row r="43">
      <c r="A43" s="31" t="s">
        <v>705</v>
      </c>
      <c r="B43" s="31" t="s">
        <v>563</v>
      </c>
      <c r="C43" s="33" t="s">
        <v>706</v>
      </c>
      <c r="L43" s="10" t="str">
        <f>IFERROR(__xludf.DUMMYFUNCTION("""COMPUTED_VALUE"""),"MPC ABP Buchas")</f>
        <v>MPC ABP Buchas</v>
      </c>
      <c r="M43" s="10" t="s">
        <v>707</v>
      </c>
      <c r="N43" s="19" t="s">
        <v>18</v>
      </c>
      <c r="R43" s="10" t="str">
        <f>IFERROR(__xludf.DUMMYFUNCTION("""COMPUTED_VALUE"""),"Almox Serra - Peças")</f>
        <v>Almox Serra - Peças</v>
      </c>
    </row>
    <row r="44">
      <c r="A44" s="31" t="s">
        <v>708</v>
      </c>
      <c r="B44" s="31" t="s">
        <v>696</v>
      </c>
      <c r="C44" s="31"/>
      <c r="L44" s="10" t="str">
        <f>IFERROR(__xludf.DUMMYFUNCTION("""COMPUTED_VALUE"""),"MPC PR Pneus e Camaras")</f>
        <v>MPC PR Pneus e Camaras</v>
      </c>
      <c r="M44" s="10" t="s">
        <v>18</v>
      </c>
      <c r="N44" s="19" t="s">
        <v>18</v>
      </c>
      <c r="R44" s="10" t="str">
        <f>IFERROR(__xludf.DUMMYFUNCTION("""COMPUTED_VALUE"""),"Almox Sucata - Geral")</f>
        <v>Almox Sucata - Geral</v>
      </c>
    </row>
    <row r="45">
      <c r="A45" s="31" t="s">
        <v>709</v>
      </c>
      <c r="B45" s="31" t="s">
        <v>563</v>
      </c>
      <c r="C45" s="31" t="s">
        <v>710</v>
      </c>
      <c r="L45" s="10" t="str">
        <f>IFERROR(__xludf.DUMMYFUNCTION("""COMPUTED_VALUE"""),"MPC ABP Contra Pinos")</f>
        <v>MPC ABP Contra Pinos</v>
      </c>
      <c r="M45" s="10" t="s">
        <v>711</v>
      </c>
      <c r="N45" s="19" t="s">
        <v>21</v>
      </c>
      <c r="R45" s="10" t="str">
        <f>IFERROR(__xludf.DUMMYFUNCTION("""COMPUTED_VALUE"""),"Almox Usinagem - Peças")</f>
        <v>Almox Usinagem - Peças</v>
      </c>
    </row>
    <row r="46">
      <c r="A46" s="31" t="s">
        <v>712</v>
      </c>
      <c r="B46" s="31" t="s">
        <v>713</v>
      </c>
      <c r="C46" s="31"/>
      <c r="L46" s="10" t="str">
        <f>IFERROR(__xludf.DUMMYFUNCTION("""COMPUTED_VALUE"""),"MPC MDC Cabos Aço Clips")</f>
        <v>MPC MDC Cabos Aço Clips</v>
      </c>
      <c r="M46" s="10" t="s">
        <v>714</v>
      </c>
      <c r="N46" s="19" t="s">
        <v>21</v>
      </c>
      <c r="R46" s="10" t="str">
        <f>IFERROR(__xludf.DUMMYFUNCTION("""COMPUTED_VALUE"""),"Almox Usinagem - Geral")</f>
        <v>Almox Usinagem - Geral</v>
      </c>
    </row>
    <row r="47">
      <c r="A47" s="31" t="s">
        <v>715</v>
      </c>
      <c r="B47" s="31" t="s">
        <v>716</v>
      </c>
      <c r="C47" s="33" t="s">
        <v>717</v>
      </c>
      <c r="L47" s="10" t="str">
        <f>IFERROR(__xludf.DUMMYFUNCTION("""COMPUTED_VALUE"""),"MPC PA Porcas Especiais")</f>
        <v>MPC PA Porcas Especiais</v>
      </c>
      <c r="M47" s="10" t="s">
        <v>21</v>
      </c>
      <c r="N47" s="19" t="s">
        <v>21</v>
      </c>
    </row>
    <row r="48">
      <c r="A48" s="31" t="s">
        <v>718</v>
      </c>
      <c r="B48" s="31" t="s">
        <v>540</v>
      </c>
      <c r="C48" s="33" t="s">
        <v>719</v>
      </c>
      <c r="L48" s="10" t="str">
        <f>IFERROR(__xludf.DUMMYFUNCTION("""COMPUTED_VALUE"""),"MPC CCP Correntes")</f>
        <v>MPC CCP Correntes</v>
      </c>
      <c r="M48" s="10" t="s">
        <v>720</v>
      </c>
      <c r="N48" s="19" t="s">
        <v>21</v>
      </c>
    </row>
    <row r="49">
      <c r="A49" s="31" t="s">
        <v>721</v>
      </c>
      <c r="B49" s="31" t="s">
        <v>716</v>
      </c>
      <c r="C49" s="33" t="s">
        <v>722</v>
      </c>
      <c r="L49" s="10" t="str">
        <f>IFERROR(__xludf.DUMMYFUNCTION("""COMPUTED_VALUE"""),"MPC MDC Molas")</f>
        <v>MPC MDC Molas</v>
      </c>
      <c r="M49" s="10" t="s">
        <v>723</v>
      </c>
      <c r="N49" s="19" t="s">
        <v>21</v>
      </c>
    </row>
    <row r="50">
      <c r="A50" s="31" t="s">
        <v>724</v>
      </c>
      <c r="B50" s="31" t="s">
        <v>716</v>
      </c>
      <c r="C50" s="33" t="s">
        <v>725</v>
      </c>
      <c r="L50" s="10" t="str">
        <f>IFERROR(__xludf.DUMMYFUNCTION("""COMPUTED_VALUE"""),"MPC RMRJ Mancais")</f>
        <v>MPC RMRJ Mancais</v>
      </c>
      <c r="M50" s="10" t="s">
        <v>726</v>
      </c>
      <c r="N50" s="19" t="s">
        <v>21</v>
      </c>
    </row>
    <row r="51">
      <c r="A51" s="31" t="s">
        <v>727</v>
      </c>
      <c r="B51" s="31" t="s">
        <v>540</v>
      </c>
      <c r="C51" s="33" t="s">
        <v>728</v>
      </c>
      <c r="L51" s="10" t="str">
        <f>IFERROR(__xludf.DUMMYFUNCTION("""COMPUTED_VALUE"""),"MPC Parafusos Especial")</f>
        <v>MPC Parafusos Especial</v>
      </c>
      <c r="M51" s="10" t="s">
        <v>729</v>
      </c>
      <c r="N51" s="19" t="s">
        <v>21</v>
      </c>
    </row>
    <row r="52">
      <c r="A52" s="31" t="s">
        <v>730</v>
      </c>
      <c r="B52" s="31" t="s">
        <v>563</v>
      </c>
      <c r="C52" s="33" t="s">
        <v>731</v>
      </c>
      <c r="L52" s="10" t="str">
        <f>IFERROR(__xludf.DUMMYFUNCTION("""COMPUTED_VALUE"""),"MPC Parafusos Diversos")</f>
        <v>MPC Parafusos Diversos</v>
      </c>
      <c r="M52" s="10" t="s">
        <v>732</v>
      </c>
      <c r="N52" s="19" t="s">
        <v>22</v>
      </c>
    </row>
    <row r="53">
      <c r="A53" s="31" t="s">
        <v>733</v>
      </c>
      <c r="B53" s="31" t="s">
        <v>716</v>
      </c>
      <c r="C53" s="33" t="s">
        <v>734</v>
      </c>
      <c r="L53" s="10" t="str">
        <f>IFERROR(__xludf.DUMMYFUNCTION("""COMPUTED_VALUE"""),"MPC Parafusos Sext Comum")</f>
        <v>MPC Parafusos Sext Comum</v>
      </c>
      <c r="M53" s="10" t="s">
        <v>735</v>
      </c>
      <c r="N53" s="19" t="s">
        <v>22</v>
      </c>
    </row>
    <row r="54">
      <c r="A54" s="31" t="s">
        <v>736</v>
      </c>
      <c r="B54" s="31" t="s">
        <v>540</v>
      </c>
      <c r="C54" s="31"/>
      <c r="L54" s="10" t="str">
        <f>IFERROR(__xludf.DUMMYFUNCTION("""COMPUTED_VALUE"""),"MPC Parafusos 8o8")</f>
        <v>MPC Parafusos 8o8</v>
      </c>
      <c r="M54" s="10" t="s">
        <v>737</v>
      </c>
      <c r="N54" s="19" t="s">
        <v>22</v>
      </c>
    </row>
    <row r="55">
      <c r="A55" s="31" t="s">
        <v>738</v>
      </c>
      <c r="B55" s="31" t="s">
        <v>563</v>
      </c>
      <c r="C55" s="33" t="s">
        <v>739</v>
      </c>
      <c r="L55" s="10" t="str">
        <f>IFERROR(__xludf.DUMMYFUNCTION("""COMPUTED_VALUE"""),"MPC Parafusos 10o9")</f>
        <v>MPC Parafusos 10o9</v>
      </c>
      <c r="M55" s="10" t="s">
        <v>740</v>
      </c>
      <c r="N55" s="19" t="s">
        <v>22</v>
      </c>
    </row>
    <row r="56">
      <c r="A56" s="31" t="s">
        <v>741</v>
      </c>
      <c r="B56" s="31" t="s">
        <v>716</v>
      </c>
      <c r="C56" s="33" t="s">
        <v>742</v>
      </c>
      <c r="L56" s="10" t="str">
        <f>IFERROR(__xludf.DUMMYFUNCTION("""COMPUTED_VALUE"""),"MPC PA Porcas Sext Comum")</f>
        <v>MPC PA Porcas Sext Comum</v>
      </c>
      <c r="M56" s="10" t="s">
        <v>25</v>
      </c>
      <c r="N56" s="10" t="s">
        <v>25</v>
      </c>
    </row>
    <row r="57">
      <c r="A57" s="31" t="s">
        <v>743</v>
      </c>
      <c r="B57" s="31" t="s">
        <v>716</v>
      </c>
      <c r="C57" s="33" t="s">
        <v>744</v>
      </c>
      <c r="L57" s="10" t="str">
        <f>IFERROR(__xludf.DUMMYFUNCTION("""COMPUTED_VALUE"""),"MPC Diversos Rebites")</f>
        <v>MPC Diversos Rebites</v>
      </c>
      <c r="M57" s="10" t="s">
        <v>28</v>
      </c>
      <c r="N57" s="19" t="s">
        <v>31</v>
      </c>
    </row>
    <row r="58">
      <c r="A58" s="31" t="s">
        <v>745</v>
      </c>
      <c r="B58" s="31" t="s">
        <v>716</v>
      </c>
      <c r="C58" s="31"/>
      <c r="L58" s="10" t="str">
        <f>IFERROR(__xludf.DUMMYFUNCTION("""COMPUTED_VALUE"""),"MPC RMRJ Retentores")</f>
        <v>MPC RMRJ Retentores</v>
      </c>
      <c r="M58" s="10" t="s">
        <v>746</v>
      </c>
      <c r="N58" s="19" t="s">
        <v>31</v>
      </c>
    </row>
    <row r="59">
      <c r="A59" s="31" t="s">
        <v>747</v>
      </c>
      <c r="B59" s="31" t="s">
        <v>716</v>
      </c>
      <c r="C59" s="33" t="s">
        <v>748</v>
      </c>
      <c r="L59" s="10" t="str">
        <f>IFERROR(__xludf.DUMMYFUNCTION("""COMPUTED_VALUE"""),"MPC RMRJ Rolamentos de Esfera")</f>
        <v>MPC RMRJ Rolamentos de Esfera</v>
      </c>
      <c r="M59" s="10" t="s">
        <v>749</v>
      </c>
      <c r="N59" s="19" t="s">
        <v>31</v>
      </c>
    </row>
    <row r="60">
      <c r="A60" s="31" t="s">
        <v>750</v>
      </c>
      <c r="B60" s="31" t="s">
        <v>540</v>
      </c>
      <c r="C60" s="31"/>
      <c r="L60" s="10" t="str">
        <f>IFERROR(__xludf.DUMMYFUNCTION("""COMPUTED_VALUE"""),"MPC RMRJ Rolamentos de Cone Capa")</f>
        <v>MPC RMRJ Rolamentos de Cone Capa</v>
      </c>
      <c r="M60" s="10" t="s">
        <v>751</v>
      </c>
      <c r="N60" s="19" t="s">
        <v>549</v>
      </c>
    </row>
    <row r="61">
      <c r="A61" s="31" t="s">
        <v>752</v>
      </c>
      <c r="B61" s="31" t="s">
        <v>563</v>
      </c>
      <c r="C61" s="33" t="s">
        <v>753</v>
      </c>
      <c r="L61" s="10" t="str">
        <f>IFERROR(__xludf.DUMMYFUNCTION("""COMPUTED_VALUE"""),"MPC Diversos Valvulas de Gaveta")</f>
        <v>MPC Diversos Valvulas de Gaveta</v>
      </c>
      <c r="M61" s="10" t="s">
        <v>754</v>
      </c>
      <c r="N61" s="19" t="s">
        <v>549</v>
      </c>
    </row>
    <row r="62">
      <c r="A62" s="31" t="s">
        <v>755</v>
      </c>
      <c r="B62" s="31" t="s">
        <v>563</v>
      </c>
      <c r="C62" s="33" t="s">
        <v>756</v>
      </c>
      <c r="L62" s="10" t="str">
        <f>IFERROR(__xludf.DUMMYFUNCTION("""COMPUTED_VALUE"""),"MPC Diversos Tubos e Conexões")</f>
        <v>MPC Diversos Tubos e Conexões</v>
      </c>
      <c r="M62" s="10" t="s">
        <v>757</v>
      </c>
      <c r="N62" s="19" t="s">
        <v>549</v>
      </c>
    </row>
    <row r="63">
      <c r="A63" s="31" t="s">
        <v>758</v>
      </c>
      <c r="B63" s="31" t="s">
        <v>563</v>
      </c>
      <c r="C63" s="33" t="s">
        <v>759</v>
      </c>
      <c r="L63" s="10" t="str">
        <f>IFERROR(__xludf.DUMMYFUNCTION("""COMPUTED_VALUE"""),"MPC CBM Cardans RP e PS")</f>
        <v>MPC CBM Cardans RP e PS</v>
      </c>
      <c r="M63" s="10" t="s">
        <v>760</v>
      </c>
      <c r="N63" s="19" t="s">
        <v>549</v>
      </c>
    </row>
    <row r="64">
      <c r="A64" s="31" t="s">
        <v>761</v>
      </c>
      <c r="B64" s="31" t="s">
        <v>563</v>
      </c>
      <c r="C64" s="33" t="s">
        <v>762</v>
      </c>
      <c r="L64" s="10" t="str">
        <f>IFERROR(__xludf.DUMMYFUNCTION("""COMPUTED_VALUE"""),"MS Tintas Solventes")</f>
        <v>MS Tintas Solventes</v>
      </c>
      <c r="M64" s="10" t="s">
        <v>763</v>
      </c>
      <c r="N64" s="19" t="s">
        <v>549</v>
      </c>
    </row>
    <row r="65">
      <c r="A65" s="31" t="s">
        <v>764</v>
      </c>
      <c r="B65" s="31" t="s">
        <v>563</v>
      </c>
      <c r="C65" s="33" t="s">
        <v>765</v>
      </c>
      <c r="L65" s="10" t="str">
        <f>IFERROR(__xludf.DUMMYFUNCTION("""COMPUTED_VALUE"""),"MS Tintas Diversos")</f>
        <v>MS Tintas Diversos</v>
      </c>
      <c r="M65" s="10" t="s">
        <v>32</v>
      </c>
      <c r="N65" s="10" t="s">
        <v>32</v>
      </c>
    </row>
    <row r="66">
      <c r="A66" s="31" t="s">
        <v>766</v>
      </c>
      <c r="B66" s="31" t="s">
        <v>563</v>
      </c>
      <c r="C66" s="33" t="s">
        <v>767</v>
      </c>
      <c r="L66" s="10" t="str">
        <f>IFERROR(__xludf.DUMMYFUNCTION("""COMPUTED_VALUE"""),"MS Tintas Pigmentos")</f>
        <v>MS Tintas Pigmentos</v>
      </c>
      <c r="M66" s="10" t="s">
        <v>768</v>
      </c>
      <c r="N66" s="19" t="s">
        <v>35</v>
      </c>
    </row>
    <row r="67">
      <c r="A67" s="31" t="s">
        <v>769</v>
      </c>
      <c r="B67" s="31" t="s">
        <v>563</v>
      </c>
      <c r="C67" s="33" t="s">
        <v>770</v>
      </c>
      <c r="L67" s="10" t="str">
        <f>IFERROR(__xludf.DUMMYFUNCTION("""COMPUTED_VALUE"""),"MS Eletrodos e Arames p Produção")</f>
        <v>MS Eletrodos e Arames p Produção</v>
      </c>
      <c r="M67" s="10" t="s">
        <v>771</v>
      </c>
      <c r="N67" s="19" t="s">
        <v>35</v>
      </c>
    </row>
    <row r="68">
      <c r="A68" s="31" t="s">
        <v>772</v>
      </c>
      <c r="B68" s="31" t="s">
        <v>716</v>
      </c>
      <c r="C68" s="33" t="s">
        <v>773</v>
      </c>
      <c r="L68" s="10" t="str">
        <f>IFERROR(__xludf.DUMMYFUNCTION("""COMPUTED_VALUE"""),"MS Eletrodos e Arames p Manutenção")</f>
        <v>MS Eletrodos e Arames p Manutenção</v>
      </c>
      <c r="M68" s="10" t="s">
        <v>774</v>
      </c>
      <c r="N68" s="19" t="s">
        <v>35</v>
      </c>
    </row>
    <row r="69">
      <c r="A69" s="31" t="s">
        <v>775</v>
      </c>
      <c r="B69" s="31" t="s">
        <v>716</v>
      </c>
      <c r="C69" s="33" t="s">
        <v>776</v>
      </c>
      <c r="L69" s="10" t="str">
        <f>IFERROR(__xludf.DUMMYFUNCTION("""COMPUTED_VALUE"""),"MS Tintas Vernizes")</f>
        <v>MS Tintas Vernizes</v>
      </c>
      <c r="M69" s="10" t="s">
        <v>777</v>
      </c>
      <c r="N69" s="19" t="s">
        <v>35</v>
      </c>
    </row>
    <row r="70">
      <c r="A70" s="31" t="s">
        <v>778</v>
      </c>
      <c r="B70" s="31" t="s">
        <v>716</v>
      </c>
      <c r="C70" s="33" t="s">
        <v>779</v>
      </c>
      <c r="L70" s="10" t="str">
        <f>IFERROR(__xludf.DUMMYFUNCTION("""COMPUTED_VALUE"""),"MS Oleos Diversos")</f>
        <v>MS Oleos Diversos</v>
      </c>
      <c r="M70" s="10" t="s">
        <v>780</v>
      </c>
      <c r="N70" s="19" t="s">
        <v>35</v>
      </c>
    </row>
    <row r="71">
      <c r="A71" s="31" t="s">
        <v>781</v>
      </c>
      <c r="B71" s="31" t="s">
        <v>716</v>
      </c>
      <c r="C71" s="33" t="s">
        <v>782</v>
      </c>
      <c r="L71" s="10" t="str">
        <f>IFERROR(__xludf.DUMMYFUNCTION("""COMPUTED_VALUE"""),"MS Eletrodos e Arames MIG")</f>
        <v>MS Eletrodos e Arames MIG</v>
      </c>
      <c r="M71" s="10" t="s">
        <v>783</v>
      </c>
      <c r="N71" s="19" t="s">
        <v>549</v>
      </c>
    </row>
    <row r="72">
      <c r="A72" s="31" t="s">
        <v>784</v>
      </c>
      <c r="B72" s="31" t="s">
        <v>716</v>
      </c>
      <c r="C72" s="33" t="s">
        <v>785</v>
      </c>
      <c r="L72" s="10" t="str">
        <f>IFERROR(__xludf.DUMMYFUNCTION("""COMPUTED_VALUE"""),"60 Conjuntos ACESSORIOS")</f>
        <v>60 Conjuntos ACESSORIOS</v>
      </c>
      <c r="M72" s="10" t="s">
        <v>51</v>
      </c>
      <c r="N72" s="10" t="s">
        <v>51</v>
      </c>
    </row>
    <row r="73">
      <c r="A73" s="31" t="s">
        <v>786</v>
      </c>
      <c r="B73" s="31" t="s">
        <v>540</v>
      </c>
      <c r="C73" s="33" t="s">
        <v>787</v>
      </c>
      <c r="L73" s="10" t="str">
        <f>IFERROR(__xludf.DUMMYFUNCTION("""COMPUTED_VALUE"""),"Peças para Carretas ACESSORIOS")</f>
        <v>Peças para Carretas ACESSORIOS</v>
      </c>
      <c r="M73" s="10" t="s">
        <v>43</v>
      </c>
      <c r="N73" s="10" t="s">
        <v>43</v>
      </c>
    </row>
    <row r="74">
      <c r="A74" s="31" t="s">
        <v>788</v>
      </c>
      <c r="B74" s="31" t="s">
        <v>713</v>
      </c>
      <c r="C74" s="33" t="s">
        <v>789</v>
      </c>
      <c r="L74" s="10" t="str">
        <f>IFERROR(__xludf.DUMMYFUNCTION("""COMPUTED_VALUE"""),"MFA Ferram Manuais p Uso da Operação")</f>
        <v>MFA Ferram Manuais p Uso da Operação</v>
      </c>
      <c r="M74" s="10" t="s">
        <v>790</v>
      </c>
      <c r="N74" s="19" t="s">
        <v>64</v>
      </c>
    </row>
    <row r="75">
      <c r="A75" s="31" t="s">
        <v>791</v>
      </c>
      <c r="B75" s="31" t="s">
        <v>683</v>
      </c>
      <c r="C75" s="31"/>
      <c r="L75" s="10" t="str">
        <f>IFERROR(__xludf.DUMMYFUNCTION("""COMPUTED_VALUE"""),"MFA Lixas p Ferro")</f>
        <v>MFA Lixas p Ferro</v>
      </c>
      <c r="M75" s="10" t="s">
        <v>792</v>
      </c>
      <c r="N75" s="19" t="s">
        <v>64</v>
      </c>
    </row>
    <row r="76">
      <c r="A76" s="31" t="s">
        <v>793</v>
      </c>
      <c r="B76" s="31" t="s">
        <v>794</v>
      </c>
      <c r="C76" s="31"/>
      <c r="L76" s="10" t="str">
        <f>IFERROR(__xludf.DUMMYFUNCTION("""COMPUTED_VALUE"""),"MM Mecânica Rolamentos")</f>
        <v>MM Mecânica Rolamentos</v>
      </c>
      <c r="M76" s="10" t="s">
        <v>795</v>
      </c>
      <c r="N76" s="19" t="s">
        <v>64</v>
      </c>
    </row>
    <row r="77">
      <c r="A77" s="31" t="s">
        <v>796</v>
      </c>
      <c r="B77" s="31" t="s">
        <v>794</v>
      </c>
      <c r="C77" s="31"/>
      <c r="L77" s="10" t="str">
        <f>IFERROR(__xludf.DUMMYFUNCTION("""COMPUTED_VALUE"""),"MFA Ferram Manuais p Uso Geral")</f>
        <v>MFA Ferram Manuais p Uso Geral</v>
      </c>
      <c r="M77" s="10" t="s">
        <v>64</v>
      </c>
      <c r="N77" s="19" t="s">
        <v>64</v>
      </c>
    </row>
    <row r="78">
      <c r="A78" s="31" t="s">
        <v>797</v>
      </c>
      <c r="B78" s="31" t="s">
        <v>713</v>
      </c>
      <c r="C78" s="33" t="s">
        <v>798</v>
      </c>
      <c r="L78" s="10" t="str">
        <f>IFERROR(__xludf.DUMMYFUNCTION("""COMPUTED_VALUE"""),"MM Elétrica Diversos")</f>
        <v>MM Elétrica Diversos</v>
      </c>
      <c r="M78" s="10" t="s">
        <v>799</v>
      </c>
      <c r="N78" s="19" t="s">
        <v>64</v>
      </c>
    </row>
    <row r="79">
      <c r="A79" s="31" t="s">
        <v>800</v>
      </c>
      <c r="B79" s="31" t="s">
        <v>713</v>
      </c>
      <c r="C79" s="31"/>
      <c r="L79" s="10" t="str">
        <f>IFERROR(__xludf.DUMMYFUNCTION("""COMPUTED_VALUE"""),"MM Elétrica Lampadas")</f>
        <v>MM Elétrica Lampadas</v>
      </c>
      <c r="M79" s="10" t="s">
        <v>801</v>
      </c>
      <c r="N79" s="19" t="s">
        <v>64</v>
      </c>
    </row>
    <row r="80">
      <c r="A80" s="31" t="s">
        <v>802</v>
      </c>
      <c r="B80" s="31" t="s">
        <v>713</v>
      </c>
      <c r="C80" s="31"/>
      <c r="L80" s="10" t="str">
        <f>IFERROR(__xludf.DUMMYFUNCTION("""COMPUTED_VALUE"""),"MS Oleos Lubrificantes")</f>
        <v>MS Oleos Lubrificantes</v>
      </c>
      <c r="M80" s="10" t="s">
        <v>803</v>
      </c>
      <c r="N80" s="19" t="s">
        <v>64</v>
      </c>
    </row>
    <row r="81">
      <c r="A81" s="31" t="s">
        <v>804</v>
      </c>
      <c r="B81" s="31" t="s">
        <v>713</v>
      </c>
      <c r="C81" s="33" t="s">
        <v>805</v>
      </c>
      <c r="L81" s="10" t="str">
        <f>IFERROR(__xludf.DUMMYFUNCTION("""COMPUTED_VALUE"""),"MM Elétrica Fusiveis")</f>
        <v>MM Elétrica Fusiveis</v>
      </c>
      <c r="M81" s="10" t="s">
        <v>65</v>
      </c>
      <c r="N81" s="19" t="s">
        <v>68</v>
      </c>
    </row>
    <row r="82">
      <c r="A82" s="31" t="s">
        <v>806</v>
      </c>
      <c r="B82" s="31" t="s">
        <v>807</v>
      </c>
      <c r="C82" s="31"/>
      <c r="L82" s="10" t="str">
        <f>IFERROR(__xludf.DUMMYFUNCTION("""COMPUTED_VALUE"""),"MM Elétrica Fios e Cabos")</f>
        <v>MM Elétrica Fios e Cabos</v>
      </c>
      <c r="M82" s="10" t="s">
        <v>808</v>
      </c>
      <c r="N82" s="19" t="s">
        <v>68</v>
      </c>
    </row>
    <row r="83">
      <c r="A83" s="31" t="s">
        <v>809</v>
      </c>
      <c r="B83" s="31" t="s">
        <v>713</v>
      </c>
      <c r="C83" s="33" t="s">
        <v>810</v>
      </c>
      <c r="L83" s="10" t="str">
        <f>IFERROR(__xludf.DUMMYFUNCTION("""COMPUTED_VALUE"""),"MM Mecânica Correias")</f>
        <v>MM Mecânica Correias</v>
      </c>
      <c r="M83" s="10" t="s">
        <v>811</v>
      </c>
      <c r="N83" s="19" t="s">
        <v>68</v>
      </c>
    </row>
    <row r="84">
      <c r="A84" s="31" t="s">
        <v>812</v>
      </c>
      <c r="B84" s="31" t="s">
        <v>713</v>
      </c>
      <c r="C84" s="33" t="s">
        <v>813</v>
      </c>
      <c r="L84" s="10" t="str">
        <f>IFERROR(__xludf.DUMMYFUNCTION("""COMPUTED_VALUE"""),"MM Elétrica Calhas Soqt Pinos e Tomad")</f>
        <v>MM Elétrica Calhas Soqt Pinos e Tomad</v>
      </c>
      <c r="M84" s="10" t="s">
        <v>814</v>
      </c>
      <c r="N84" s="19" t="s">
        <v>68</v>
      </c>
    </row>
    <row r="85">
      <c r="A85" s="31" t="s">
        <v>815</v>
      </c>
      <c r="B85" s="31" t="s">
        <v>713</v>
      </c>
      <c r="C85" s="31"/>
      <c r="L85" s="10" t="str">
        <f>IFERROR(__xludf.DUMMYFUNCTION("""COMPUTED_VALUE"""),"MFA Ferram Manuais p Uso Manutenção")</f>
        <v>MFA Ferram Manuais p Uso Manutenção</v>
      </c>
      <c r="M85" s="10" t="s">
        <v>816</v>
      </c>
      <c r="N85" s="19" t="s">
        <v>68</v>
      </c>
    </row>
    <row r="86">
      <c r="A86" s="31" t="s">
        <v>817</v>
      </c>
      <c r="B86" s="31" t="s">
        <v>713</v>
      </c>
      <c r="C86" s="33" t="s">
        <v>818</v>
      </c>
      <c r="L86" s="10" t="str">
        <f>IFERROR(__xludf.DUMMYFUNCTION("""COMPUTED_VALUE"""),"MFA Rebolos e Esmeril de Desbaste")</f>
        <v>MFA Rebolos e Esmeril de Desbaste</v>
      </c>
      <c r="M86" s="10" t="s">
        <v>819</v>
      </c>
      <c r="N86" s="19" t="s">
        <v>68</v>
      </c>
    </row>
    <row r="87">
      <c r="A87" s="31" t="s">
        <v>820</v>
      </c>
      <c r="B87" s="31" t="s">
        <v>713</v>
      </c>
      <c r="C87" s="33" t="s">
        <v>821</v>
      </c>
      <c r="L87" s="10" t="str">
        <f>IFERROR(__xludf.DUMMYFUNCTION("""COMPUTED_VALUE"""),"MFA Insertos Normais")</f>
        <v>MFA Insertos Normais</v>
      </c>
      <c r="M87" s="10" t="s">
        <v>822</v>
      </c>
      <c r="N87" s="19" t="s">
        <v>68</v>
      </c>
    </row>
    <row r="88">
      <c r="A88" s="31" t="s">
        <v>823</v>
      </c>
      <c r="B88" s="31" t="s">
        <v>713</v>
      </c>
      <c r="C88" s="33" t="s">
        <v>824</v>
      </c>
      <c r="L88" s="10" t="str">
        <f>IFERROR(__xludf.DUMMYFUNCTION("""COMPUTED_VALUE"""),"MFA Brocas Paralelas de Aço Rápido")</f>
        <v>MFA Brocas Paralelas de Aço Rápido</v>
      </c>
      <c r="M88" s="10" t="s">
        <v>70</v>
      </c>
      <c r="N88" s="19" t="s">
        <v>69</v>
      </c>
    </row>
    <row r="89">
      <c r="A89" s="31" t="s">
        <v>825</v>
      </c>
      <c r="B89" s="31" t="s">
        <v>576</v>
      </c>
      <c r="C89" s="31"/>
      <c r="L89" s="10" t="str">
        <f>IFERROR(__xludf.DUMMYFUNCTION("""COMPUTED_VALUE"""),"MFA Brocas Conicas de Aço Rápido")</f>
        <v>MFA Brocas Conicas de Aço Rápido</v>
      </c>
      <c r="M89" s="10" t="s">
        <v>71</v>
      </c>
      <c r="N89" s="10" t="s">
        <v>71</v>
      </c>
    </row>
    <row r="90">
      <c r="A90" s="31" t="s">
        <v>826</v>
      </c>
      <c r="B90" s="31" t="s">
        <v>713</v>
      </c>
      <c r="C90" s="31"/>
      <c r="L90" s="10" t="str">
        <f>IFERROR(__xludf.DUMMYFUNCTION("""COMPUTED_VALUE"""),"MFA Brocas Diversas")</f>
        <v>MFA Brocas Diversas</v>
      </c>
      <c r="M90" s="10" t="s">
        <v>827</v>
      </c>
      <c r="N90" s="10" t="s">
        <v>71</v>
      </c>
    </row>
    <row r="91">
      <c r="A91" s="31" t="s">
        <v>828</v>
      </c>
      <c r="B91" s="34" t="s">
        <v>829</v>
      </c>
      <c r="C91" s="33" t="s">
        <v>830</v>
      </c>
      <c r="L91" s="10" t="str">
        <f>IFERROR(__xludf.DUMMYFUNCTION("""COMPUTED_VALUE"""),"MFA Brocas de Topo de Aço Rápido")</f>
        <v>MFA Brocas de Topo de Aço Rápido</v>
      </c>
      <c r="M91" s="10" t="s">
        <v>831</v>
      </c>
      <c r="N91" s="19" t="s">
        <v>832</v>
      </c>
    </row>
    <row r="92">
      <c r="A92" s="31" t="s">
        <v>833</v>
      </c>
      <c r="B92" s="31" t="s">
        <v>555</v>
      </c>
      <c r="C92" s="33" t="s">
        <v>834</v>
      </c>
      <c r="L92" s="10" t="str">
        <f>IFERROR(__xludf.DUMMYFUNCTION("""COMPUTED_VALUE"""),"MFA Ferram Operac Machos")</f>
        <v>MFA Ferram Operac Machos</v>
      </c>
      <c r="M92" s="10" t="s">
        <v>835</v>
      </c>
      <c r="N92" s="19" t="s">
        <v>832</v>
      </c>
    </row>
    <row r="93">
      <c r="A93" s="31" t="s">
        <v>836</v>
      </c>
      <c r="B93" s="31" t="s">
        <v>576</v>
      </c>
      <c r="C93" s="31"/>
      <c r="L93" s="10" t="str">
        <f>IFERROR(__xludf.DUMMYFUNCTION("""COMPUTED_VALUE"""),"MFA Laminas de Serra Comuns")</f>
        <v>MFA Laminas de Serra Comuns</v>
      </c>
      <c r="M93" s="10" t="s">
        <v>837</v>
      </c>
      <c r="N93" s="19" t="s">
        <v>832</v>
      </c>
    </row>
    <row r="94">
      <c r="A94" s="31" t="s">
        <v>838</v>
      </c>
      <c r="B94" s="31" t="s">
        <v>576</v>
      </c>
      <c r="C94" s="31"/>
      <c r="L94" s="10" t="str">
        <f>IFERROR(__xludf.DUMMYFUNCTION("""COMPUTED_VALUE"""),"MFA Laminas de Serra p Maq Automatica")</f>
        <v>MFA Laminas de Serra p Maq Automatica</v>
      </c>
      <c r="M94" s="10" t="s">
        <v>839</v>
      </c>
      <c r="N94" s="19" t="s">
        <v>832</v>
      </c>
    </row>
    <row r="95">
      <c r="A95" s="31" t="s">
        <v>840</v>
      </c>
      <c r="B95" s="31" t="s">
        <v>807</v>
      </c>
      <c r="C95" s="33" t="s">
        <v>841</v>
      </c>
      <c r="L95" s="10" t="str">
        <f>IFERROR(__xludf.DUMMYFUNCTION("""COMPUTED_VALUE"""),"MFA Rebolos e Esmeril Diversos")</f>
        <v>MFA Rebolos e Esmeril Diversos</v>
      </c>
      <c r="M95" s="10" t="s">
        <v>842</v>
      </c>
      <c r="N95" s="19" t="s">
        <v>832</v>
      </c>
    </row>
    <row r="96">
      <c r="A96" s="31" t="s">
        <v>843</v>
      </c>
      <c r="B96" s="31" t="s">
        <v>807</v>
      </c>
      <c r="C96" s="33" t="s">
        <v>844</v>
      </c>
      <c r="L96" s="10" t="str">
        <f>IFERROR(__xludf.DUMMYFUNCTION("""COMPUTED_VALUE"""),"MS Oleos Graxas")</f>
        <v>MS Oleos Graxas</v>
      </c>
      <c r="M96" s="10" t="s">
        <v>845</v>
      </c>
      <c r="N96" s="19" t="s">
        <v>832</v>
      </c>
    </row>
    <row r="97">
      <c r="A97" s="31" t="s">
        <v>846</v>
      </c>
      <c r="B97" s="31" t="s">
        <v>794</v>
      </c>
      <c r="C97" s="31"/>
      <c r="L97" s="10" t="str">
        <f>IFERROR(__xludf.DUMMYFUNCTION("""COMPUTED_VALUE"""),"MS Oleos p Corte")</f>
        <v>MS Oleos p Corte</v>
      </c>
      <c r="M97" s="10" t="s">
        <v>847</v>
      </c>
      <c r="N97" s="19" t="s">
        <v>832</v>
      </c>
    </row>
    <row r="98">
      <c r="A98" s="31" t="s">
        <v>848</v>
      </c>
      <c r="B98" s="31" t="s">
        <v>683</v>
      </c>
      <c r="C98" s="33" t="s">
        <v>849</v>
      </c>
      <c r="L98" s="10" t="str">
        <f>IFERROR(__xludf.DUMMYFUNCTION("""COMPUTED_VALUE"""),"Peças para Carretas PLATAF CAÇAMBAS")</f>
        <v>Peças para Carretas PLATAF CAÇAMBAS</v>
      </c>
      <c r="M98" s="10" t="s">
        <v>850</v>
      </c>
      <c r="N98" s="19" t="s">
        <v>832</v>
      </c>
    </row>
    <row r="99">
      <c r="A99" s="31" t="s">
        <v>851</v>
      </c>
      <c r="B99" s="31" t="s">
        <v>683</v>
      </c>
      <c r="C99" s="31"/>
      <c r="L99" s="10" t="str">
        <f>IFERROR(__xludf.DUMMYFUNCTION("""COMPUTED_VALUE"""),"Peças para carretas Conj Intermediários")</f>
        <v>Peças para carretas Conj Intermediários</v>
      </c>
      <c r="M99" s="10" t="s">
        <v>852</v>
      </c>
      <c r="N99" s="19" t="s">
        <v>832</v>
      </c>
    </row>
    <row r="100">
      <c r="A100" s="31" t="s">
        <v>853</v>
      </c>
      <c r="B100" s="31" t="s">
        <v>683</v>
      </c>
      <c r="C100" s="31"/>
      <c r="L100" s="10" t="str">
        <f>IFERROR(__xludf.DUMMYFUNCTION("""COMPUTED_VALUE"""),"Peças para Carretas LATERAIS e FECHAMENTOS")</f>
        <v>Peças para Carretas LATERAIS e FECHAMENTOS</v>
      </c>
      <c r="M100" s="10" t="s">
        <v>72</v>
      </c>
      <c r="N100" s="10" t="s">
        <v>72</v>
      </c>
    </row>
    <row r="101">
      <c r="A101" s="31" t="s">
        <v>854</v>
      </c>
      <c r="B101" s="31" t="s">
        <v>807</v>
      </c>
      <c r="C101" s="33" t="s">
        <v>855</v>
      </c>
      <c r="L101" s="10" t="str">
        <f>IFERROR(__xludf.DUMMYFUNCTION("""COMPUTED_VALUE"""),"Peças para carretas FUEIROS")</f>
        <v>Peças para carretas FUEIROS</v>
      </c>
      <c r="M101" s="10" t="s">
        <v>75</v>
      </c>
      <c r="N101" s="10" t="s">
        <v>72</v>
      </c>
    </row>
    <row r="102">
      <c r="A102" s="31" t="s">
        <v>856</v>
      </c>
      <c r="B102" s="31" t="s">
        <v>683</v>
      </c>
      <c r="C102" s="33" t="s">
        <v>857</v>
      </c>
      <c r="L102" s="10" t="str">
        <f>IFERROR(__xludf.DUMMYFUNCTION("""COMPUTED_VALUE"""),"Peças para Carretas EIXOS")</f>
        <v>Peças para Carretas EIXOS</v>
      </c>
      <c r="M102" s="10" t="s">
        <v>858</v>
      </c>
      <c r="N102" s="19" t="s">
        <v>76</v>
      </c>
    </row>
    <row r="103">
      <c r="A103" s="31" t="s">
        <v>859</v>
      </c>
      <c r="B103" s="31" t="s">
        <v>860</v>
      </c>
      <c r="C103" s="31"/>
      <c r="L103" s="10" t="str">
        <f>IFERROR(__xludf.DUMMYFUNCTION("""COMPUTED_VALUE"""),"Peças para Carretas CHASSIS")</f>
        <v>Peças para Carretas CHASSIS</v>
      </c>
      <c r="M103" s="10" t="s">
        <v>861</v>
      </c>
      <c r="N103" s="19" t="s">
        <v>76</v>
      </c>
    </row>
    <row r="104">
      <c r="A104" s="31" t="s">
        <v>862</v>
      </c>
      <c r="B104" s="31" t="s">
        <v>683</v>
      </c>
      <c r="C104" s="31"/>
      <c r="L104" s="10" t="str">
        <f>IFERROR(__xludf.DUMMYFUNCTION("""COMPUTED_VALUE"""),"Peças para Carretas IÇAMENTOS")</f>
        <v>Peças para Carretas IÇAMENTOS</v>
      </c>
      <c r="M104" s="10" t="s">
        <v>863</v>
      </c>
      <c r="N104" s="19" t="s">
        <v>76</v>
      </c>
    </row>
    <row r="105">
      <c r="A105" s="31" t="s">
        <v>864</v>
      </c>
      <c r="B105" s="31" t="s">
        <v>683</v>
      </c>
      <c r="C105" s="33" t="s">
        <v>865</v>
      </c>
      <c r="L105" s="10" t="str">
        <f>IFERROR(__xludf.DUMMYFUNCTION("""COMPUTED_VALUE"""),"Peças Prod Fora de Linha")</f>
        <v>Peças Prod Fora de Linha</v>
      </c>
      <c r="M105" s="10" t="s">
        <v>76</v>
      </c>
      <c r="N105" s="19" t="s">
        <v>76</v>
      </c>
    </row>
    <row r="106">
      <c r="A106" s="31" t="s">
        <v>866</v>
      </c>
      <c r="B106" s="31" t="s">
        <v>713</v>
      </c>
      <c r="C106" s="33" t="s">
        <v>867</v>
      </c>
      <c r="L106" s="10" t="str">
        <f>IFERROR(__xludf.DUMMYFUNCTION("""COMPUTED_VALUE"""),"Peças para carretas PLAT CARROCERIAS")</f>
        <v>Peças para carretas PLAT CARROCERIAS</v>
      </c>
      <c r="M106" s="10" t="s">
        <v>868</v>
      </c>
      <c r="N106" s="19" t="s">
        <v>76</v>
      </c>
    </row>
    <row r="107">
      <c r="A107" s="31" t="s">
        <v>869</v>
      </c>
      <c r="B107" s="31" t="s">
        <v>683</v>
      </c>
      <c r="C107" s="33" t="s">
        <v>870</v>
      </c>
      <c r="L107" s="10" t="str">
        <f>IFERROR(__xludf.DUMMYFUNCTION("""COMPUTED_VALUE"""),"Peças Prod")</f>
        <v>Peças Prod</v>
      </c>
      <c r="M107" s="10" t="s">
        <v>871</v>
      </c>
      <c r="N107" s="19" t="s">
        <v>76</v>
      </c>
    </row>
    <row r="108">
      <c r="A108" s="31" t="s">
        <v>872</v>
      </c>
      <c r="B108" s="31" t="s">
        <v>683</v>
      </c>
      <c r="C108" s="33" t="s">
        <v>873</v>
      </c>
      <c r="L108" s="10" t="str">
        <f>IFERROR(__xludf.DUMMYFUNCTION("""COMPUTED_VALUE"""),"Peças para Carretas TANQUES")</f>
        <v>Peças para Carretas TANQUES</v>
      </c>
      <c r="M108" s="10" t="s">
        <v>874</v>
      </c>
      <c r="N108" s="19" t="s">
        <v>76</v>
      </c>
    </row>
    <row r="109">
      <c r="A109" s="31" t="s">
        <v>875</v>
      </c>
      <c r="B109" s="31" t="s">
        <v>683</v>
      </c>
      <c r="C109" s="33" t="s">
        <v>876</v>
      </c>
      <c r="L109" s="10" t="str">
        <f>IFERROR(__xludf.DUMMYFUNCTION("""COMPUTED_VALUE"""),"Peças Para Rotativas")</f>
        <v>Peças Para Rotativas</v>
      </c>
      <c r="M109" s="10" t="s">
        <v>77</v>
      </c>
      <c r="N109" s="19" t="s">
        <v>78</v>
      </c>
    </row>
    <row r="110">
      <c r="A110" s="31" t="s">
        <v>877</v>
      </c>
      <c r="B110" s="31" t="s">
        <v>683</v>
      </c>
      <c r="C110" s="33" t="s">
        <v>878</v>
      </c>
      <c r="L110" s="10" t="str">
        <f>IFERROR(__xludf.DUMMYFUNCTION("""COMPUTED_VALUE"""),"70 Sistemas Carretas")</f>
        <v>70 Sistemas Carretas</v>
      </c>
      <c r="M110" s="10" t="s">
        <v>879</v>
      </c>
      <c r="N110" s="19" t="s">
        <v>78</v>
      </c>
    </row>
    <row r="111">
      <c r="A111" s="31" t="s">
        <v>880</v>
      </c>
      <c r="B111" s="31" t="s">
        <v>563</v>
      </c>
      <c r="C111" s="31"/>
      <c r="L111" s="10" t="str">
        <f>IFERROR(__xludf.DUMMYFUNCTION("""COMPUTED_VALUE"""),"70 Sistemas ACESSORIOS")</f>
        <v>70 Sistemas ACESSORIOS</v>
      </c>
      <c r="M111" s="10" t="s">
        <v>881</v>
      </c>
      <c r="N111" s="19" t="s">
        <v>78</v>
      </c>
    </row>
    <row r="112">
      <c r="A112" s="31" t="s">
        <v>882</v>
      </c>
      <c r="B112" s="31" t="s">
        <v>807</v>
      </c>
      <c r="C112" s="33" t="s">
        <v>883</v>
      </c>
      <c r="L112" s="10" t="str">
        <f>IFERROR(__xludf.DUMMYFUNCTION("""COMPUTED_VALUE"""),"Conjuntos Carretas")</f>
        <v>Conjuntos Carretas</v>
      </c>
      <c r="M112" s="10" t="s">
        <v>884</v>
      </c>
      <c r="N112" s="19" t="s">
        <v>78</v>
      </c>
    </row>
    <row r="113">
      <c r="A113" s="31" t="s">
        <v>885</v>
      </c>
      <c r="B113" s="31" t="s">
        <v>807</v>
      </c>
      <c r="C113" s="33" t="s">
        <v>886</v>
      </c>
      <c r="L113" s="10" t="str">
        <f>IFERROR(__xludf.DUMMYFUNCTION("""COMPUTED_VALUE"""),"60 Conjuntos Rotavatores")</f>
        <v>60 Conjuntos Rotavatores</v>
      </c>
      <c r="M113" s="10" t="s">
        <v>887</v>
      </c>
      <c r="N113" s="19" t="s">
        <v>78</v>
      </c>
    </row>
    <row r="114">
      <c r="A114" s="31" t="s">
        <v>888</v>
      </c>
      <c r="B114" s="31" t="s">
        <v>807</v>
      </c>
      <c r="C114" s="31"/>
      <c r="L114" s="10" t="str">
        <f>IFERROR(__xludf.DUMMYFUNCTION("""COMPUTED_VALUE"""),"Carretas Agrícolas")</f>
        <v>Carretas Agrícolas</v>
      </c>
      <c r="M114" s="10" t="s">
        <v>889</v>
      </c>
      <c r="N114" s="19" t="s">
        <v>78</v>
      </c>
    </row>
    <row r="115">
      <c r="A115" s="31" t="s">
        <v>890</v>
      </c>
      <c r="B115" s="31" t="s">
        <v>807</v>
      </c>
      <c r="C115" s="33" t="s">
        <v>891</v>
      </c>
      <c r="L115" s="10" t="str">
        <f>IFERROR(__xludf.DUMMYFUNCTION("""COMPUTED_VALUE"""),"Peças Especiais")</f>
        <v>Peças Especiais</v>
      </c>
      <c r="M115" s="10" t="s">
        <v>892</v>
      </c>
      <c r="N115" s="19" t="s">
        <v>78</v>
      </c>
    </row>
    <row r="116">
      <c r="A116" s="31" t="s">
        <v>893</v>
      </c>
      <c r="B116" s="31" t="s">
        <v>807</v>
      </c>
      <c r="C116" s="33" t="s">
        <v>894</v>
      </c>
      <c r="L116" s="10" t="str">
        <f>IFERROR(__xludf.DUMMYFUNCTION("""COMPUTED_VALUE"""),"70 Sistemas Carrocerias")</f>
        <v>70 Sistemas Carrocerias</v>
      </c>
      <c r="M116" s="10" t="s">
        <v>895</v>
      </c>
      <c r="N116" s="19" t="s">
        <v>78</v>
      </c>
    </row>
    <row r="117">
      <c r="A117" s="31" t="s">
        <v>896</v>
      </c>
      <c r="B117" s="31" t="s">
        <v>807</v>
      </c>
      <c r="C117" s="33" t="s">
        <v>897</v>
      </c>
      <c r="L117" s="10" t="str">
        <f>IFERROR(__xludf.DUMMYFUNCTION("""COMPUTED_VALUE"""),"60 Conjuntos Prod Especiais")</f>
        <v>60 Conjuntos Prod Especiais</v>
      </c>
      <c r="M117" s="10" t="s">
        <v>898</v>
      </c>
      <c r="N117" s="19" t="s">
        <v>78</v>
      </c>
    </row>
    <row r="118">
      <c r="A118" s="31" t="s">
        <v>899</v>
      </c>
      <c r="B118" s="31" t="s">
        <v>807</v>
      </c>
      <c r="C118" s="33" t="s">
        <v>900</v>
      </c>
      <c r="L118" s="10" t="str">
        <f>IFERROR(__xludf.DUMMYFUNCTION("""COMPUTED_VALUE"""),"70 Sistemas Rotavatores")</f>
        <v>70 Sistemas Rotavatores</v>
      </c>
      <c r="M118" s="10" t="s">
        <v>901</v>
      </c>
      <c r="N118" s="19" t="s">
        <v>78</v>
      </c>
    </row>
    <row r="119">
      <c r="A119" s="31" t="s">
        <v>902</v>
      </c>
      <c r="B119" s="31" t="s">
        <v>807</v>
      </c>
      <c r="C119" s="33" t="s">
        <v>903</v>
      </c>
      <c r="L119" s="10" t="str">
        <f>IFERROR(__xludf.DUMMYFUNCTION("""COMPUTED_VALUE"""),"MP Aço Chato Laminas Diversas")</f>
        <v>MP Aço Chato Laminas Diversas</v>
      </c>
      <c r="M119" s="10" t="s">
        <v>904</v>
      </c>
      <c r="N119" s="19" t="s">
        <v>78</v>
      </c>
    </row>
    <row r="120">
      <c r="A120" s="31" t="s">
        <v>905</v>
      </c>
      <c r="B120" s="31" t="s">
        <v>807</v>
      </c>
      <c r="C120" s="33" t="s">
        <v>906</v>
      </c>
      <c r="L120" s="10" t="str">
        <f>IFERROR(__xludf.DUMMYFUNCTION("""COMPUTED_VALUE"""),"MP Aço Chato Laminas R2 e R3")</f>
        <v>MP Aço Chato Laminas R2 e R3</v>
      </c>
      <c r="M120" s="10" t="s">
        <v>907</v>
      </c>
      <c r="N120" s="19" t="s">
        <v>78</v>
      </c>
    </row>
    <row r="121">
      <c r="A121" s="31" t="s">
        <v>908</v>
      </c>
      <c r="B121" s="31" t="s">
        <v>807</v>
      </c>
      <c r="C121" s="33" t="s">
        <v>909</v>
      </c>
      <c r="L121" s="10" t="str">
        <f>IFERROR(__xludf.DUMMYFUNCTION("""COMPUTED_VALUE"""),"MP Aço Chato Laminas HR")</f>
        <v>MP Aço Chato Laminas HR</v>
      </c>
      <c r="M121" s="10" t="s">
        <v>79</v>
      </c>
      <c r="N121" s="19" t="s">
        <v>78</v>
      </c>
    </row>
    <row r="122">
      <c r="A122" s="31" t="s">
        <v>910</v>
      </c>
      <c r="B122" s="31" t="s">
        <v>807</v>
      </c>
      <c r="C122" s="33" t="s">
        <v>911</v>
      </c>
      <c r="L122" s="10" t="str">
        <f>IFERROR(__xludf.DUMMYFUNCTION("""COMPUTED_VALUE"""),"MP Tubos Diversos")</f>
        <v>MP Tubos Diversos</v>
      </c>
      <c r="M122" s="10" t="s">
        <v>912</v>
      </c>
      <c r="N122" s="19" t="s">
        <v>80</v>
      </c>
    </row>
    <row r="123">
      <c r="A123" s="31" t="s">
        <v>913</v>
      </c>
      <c r="B123" s="31" t="s">
        <v>807</v>
      </c>
      <c r="C123" s="33" t="s">
        <v>914</v>
      </c>
      <c r="L123" s="10" t="str">
        <f>IFERROR(__xludf.DUMMYFUNCTION("""COMPUTED_VALUE"""),"MP Aço Chato Diversos")</f>
        <v>MP Aço Chato Diversos</v>
      </c>
      <c r="M123" s="10" t="s">
        <v>81</v>
      </c>
      <c r="N123" s="19" t="s">
        <v>80</v>
      </c>
    </row>
    <row r="124">
      <c r="A124" s="31" t="s">
        <v>915</v>
      </c>
      <c r="B124" s="31" t="s">
        <v>794</v>
      </c>
      <c r="C124" s="31"/>
      <c r="M124" s="10" t="s">
        <v>916</v>
      </c>
      <c r="N124" s="19" t="s">
        <v>80</v>
      </c>
    </row>
    <row r="125">
      <c r="A125" s="31" t="s">
        <v>917</v>
      </c>
      <c r="B125" s="31" t="s">
        <v>551</v>
      </c>
      <c r="C125" s="31"/>
      <c r="M125" s="10" t="s">
        <v>918</v>
      </c>
      <c r="N125" s="19" t="s">
        <v>80</v>
      </c>
    </row>
    <row r="126">
      <c r="A126" s="31" t="s">
        <v>919</v>
      </c>
      <c r="B126" s="31" t="s">
        <v>794</v>
      </c>
      <c r="C126" s="31"/>
      <c r="M126" s="10" t="s">
        <v>920</v>
      </c>
      <c r="N126" s="19" t="s">
        <v>80</v>
      </c>
    </row>
    <row r="127">
      <c r="A127" s="31" t="s">
        <v>921</v>
      </c>
      <c r="B127" s="31" t="s">
        <v>922</v>
      </c>
      <c r="C127" s="31"/>
      <c r="M127" s="10" t="s">
        <v>923</v>
      </c>
      <c r="N127" s="19" t="s">
        <v>80</v>
      </c>
    </row>
    <row r="128">
      <c r="A128" s="31" t="s">
        <v>924</v>
      </c>
      <c r="B128" s="31" t="s">
        <v>922</v>
      </c>
      <c r="C128" s="31"/>
      <c r="M128" s="10" t="s">
        <v>925</v>
      </c>
      <c r="N128" s="19" t="s">
        <v>80</v>
      </c>
    </row>
    <row r="129">
      <c r="A129" s="31" t="s">
        <v>926</v>
      </c>
      <c r="B129" s="31" t="s">
        <v>713</v>
      </c>
      <c r="C129" s="33" t="s">
        <v>927</v>
      </c>
      <c r="M129" s="10" t="s">
        <v>82</v>
      </c>
      <c r="N129" s="10" t="s">
        <v>82</v>
      </c>
    </row>
    <row r="130">
      <c r="A130" s="31" t="s">
        <v>928</v>
      </c>
      <c r="B130" s="31" t="s">
        <v>713</v>
      </c>
      <c r="C130" s="33" t="s">
        <v>929</v>
      </c>
      <c r="M130" s="10" t="s">
        <v>930</v>
      </c>
      <c r="N130" s="19" t="s">
        <v>549</v>
      </c>
    </row>
    <row r="131">
      <c r="A131" s="31" t="s">
        <v>931</v>
      </c>
      <c r="B131" s="31" t="s">
        <v>922</v>
      </c>
      <c r="C131" s="31"/>
      <c r="M131" s="10" t="s">
        <v>932</v>
      </c>
      <c r="N131" s="19" t="s">
        <v>549</v>
      </c>
    </row>
    <row r="132">
      <c r="A132" s="31" t="s">
        <v>933</v>
      </c>
      <c r="B132" s="31" t="s">
        <v>794</v>
      </c>
      <c r="C132" s="31"/>
      <c r="M132" s="10" t="s">
        <v>934</v>
      </c>
      <c r="N132" s="19" t="s">
        <v>549</v>
      </c>
    </row>
    <row r="133">
      <c r="A133" s="31" t="s">
        <v>935</v>
      </c>
      <c r="B133" s="31" t="s">
        <v>936</v>
      </c>
      <c r="C133" s="31"/>
      <c r="M133" s="10" t="s">
        <v>937</v>
      </c>
      <c r="N133" s="19" t="s">
        <v>549</v>
      </c>
    </row>
    <row r="134">
      <c r="A134" s="31" t="s">
        <v>938</v>
      </c>
      <c r="B134" s="31" t="s">
        <v>551</v>
      </c>
      <c r="C134" s="31"/>
      <c r="M134" s="10" t="s">
        <v>939</v>
      </c>
      <c r="N134" s="19" t="s">
        <v>549</v>
      </c>
    </row>
    <row r="135">
      <c r="A135" s="31" t="s">
        <v>940</v>
      </c>
      <c r="B135" s="31" t="s">
        <v>551</v>
      </c>
      <c r="C135" s="31"/>
      <c r="M135" s="10" t="s">
        <v>941</v>
      </c>
      <c r="N135" s="19" t="s">
        <v>942</v>
      </c>
    </row>
    <row r="136">
      <c r="A136" s="31" t="s">
        <v>943</v>
      </c>
      <c r="B136" s="31" t="s">
        <v>551</v>
      </c>
      <c r="C136" s="31"/>
      <c r="M136" s="10" t="s">
        <v>944</v>
      </c>
      <c r="N136" s="19" t="s">
        <v>942</v>
      </c>
    </row>
    <row r="137">
      <c r="A137" s="31" t="s">
        <v>945</v>
      </c>
      <c r="B137" s="31" t="s">
        <v>794</v>
      </c>
      <c r="C137" s="31"/>
      <c r="M137" s="10" t="s">
        <v>946</v>
      </c>
      <c r="N137" s="19" t="s">
        <v>942</v>
      </c>
    </row>
    <row r="138">
      <c r="A138" s="31" t="s">
        <v>947</v>
      </c>
      <c r="B138" s="31" t="s">
        <v>948</v>
      </c>
      <c r="C138" s="31"/>
      <c r="M138" s="10" t="s">
        <v>84</v>
      </c>
      <c r="N138" s="19" t="s">
        <v>84</v>
      </c>
    </row>
    <row r="139">
      <c r="A139" s="31" t="s">
        <v>949</v>
      </c>
      <c r="B139" s="31" t="s">
        <v>950</v>
      </c>
      <c r="C139" s="31"/>
      <c r="M139" s="10" t="s">
        <v>951</v>
      </c>
      <c r="N139" s="19" t="s">
        <v>86</v>
      </c>
    </row>
    <row r="140">
      <c r="A140" s="31" t="s">
        <v>952</v>
      </c>
      <c r="B140" s="31" t="s">
        <v>551</v>
      </c>
      <c r="C140" s="31"/>
      <c r="M140" s="10" t="s">
        <v>953</v>
      </c>
      <c r="N140" s="19" t="s">
        <v>86</v>
      </c>
    </row>
    <row r="141">
      <c r="A141" s="31" t="s">
        <v>954</v>
      </c>
      <c r="B141" s="31" t="s">
        <v>555</v>
      </c>
      <c r="C141" s="33" t="s">
        <v>955</v>
      </c>
      <c r="M141" s="10" t="s">
        <v>956</v>
      </c>
      <c r="N141" s="19" t="s">
        <v>86</v>
      </c>
    </row>
    <row r="142">
      <c r="A142" s="31" t="s">
        <v>957</v>
      </c>
      <c r="B142" s="31" t="s">
        <v>555</v>
      </c>
      <c r="C142" s="33" t="s">
        <v>958</v>
      </c>
      <c r="M142" s="10" t="s">
        <v>959</v>
      </c>
      <c r="N142" s="19" t="s">
        <v>86</v>
      </c>
    </row>
    <row r="143">
      <c r="A143" s="31" t="s">
        <v>960</v>
      </c>
      <c r="B143" s="31" t="s">
        <v>555</v>
      </c>
      <c r="C143" s="33" t="s">
        <v>961</v>
      </c>
      <c r="M143" s="10" t="s">
        <v>962</v>
      </c>
      <c r="N143" s="19" t="s">
        <v>86</v>
      </c>
    </row>
    <row r="144">
      <c r="A144" s="31" t="s">
        <v>963</v>
      </c>
      <c r="B144" s="31" t="s">
        <v>555</v>
      </c>
      <c r="C144" s="33" t="s">
        <v>964</v>
      </c>
      <c r="M144" s="10" t="s">
        <v>965</v>
      </c>
      <c r="N144" s="19" t="s">
        <v>86</v>
      </c>
    </row>
    <row r="145">
      <c r="A145" s="31" t="s">
        <v>966</v>
      </c>
      <c r="B145" s="31" t="s">
        <v>555</v>
      </c>
      <c r="C145" s="33" t="s">
        <v>967</v>
      </c>
      <c r="M145" s="10" t="s">
        <v>968</v>
      </c>
      <c r="N145" s="19" t="s">
        <v>86</v>
      </c>
    </row>
    <row r="146">
      <c r="A146" s="31" t="s">
        <v>969</v>
      </c>
      <c r="B146" s="31" t="s">
        <v>555</v>
      </c>
      <c r="C146" s="33" t="s">
        <v>970</v>
      </c>
      <c r="M146" s="10" t="s">
        <v>971</v>
      </c>
      <c r="N146" s="19" t="s">
        <v>549</v>
      </c>
    </row>
    <row r="147">
      <c r="A147" s="31" t="s">
        <v>972</v>
      </c>
      <c r="B147" s="31" t="s">
        <v>555</v>
      </c>
      <c r="C147" s="33" t="s">
        <v>973</v>
      </c>
      <c r="M147" s="10" t="s">
        <v>974</v>
      </c>
      <c r="N147" s="19" t="s">
        <v>549</v>
      </c>
    </row>
    <row r="148">
      <c r="A148" s="31" t="s">
        <v>975</v>
      </c>
      <c r="B148" s="31" t="s">
        <v>555</v>
      </c>
      <c r="C148" s="33" t="s">
        <v>976</v>
      </c>
      <c r="M148" s="10" t="s">
        <v>977</v>
      </c>
      <c r="N148" s="19" t="s">
        <v>549</v>
      </c>
    </row>
    <row r="149">
      <c r="A149" s="31" t="s">
        <v>978</v>
      </c>
      <c r="B149" s="31" t="s">
        <v>555</v>
      </c>
      <c r="C149" s="33" t="s">
        <v>979</v>
      </c>
      <c r="M149" s="10" t="s">
        <v>980</v>
      </c>
      <c r="N149" s="19" t="s">
        <v>549</v>
      </c>
    </row>
    <row r="150">
      <c r="A150" s="31" t="s">
        <v>981</v>
      </c>
      <c r="B150" s="31" t="s">
        <v>555</v>
      </c>
      <c r="C150" s="31" t="s">
        <v>982</v>
      </c>
      <c r="M150" s="10" t="s">
        <v>983</v>
      </c>
      <c r="N150" s="19" t="s">
        <v>549</v>
      </c>
    </row>
    <row r="151">
      <c r="A151" s="31" t="s">
        <v>984</v>
      </c>
      <c r="B151" s="31" t="s">
        <v>555</v>
      </c>
      <c r="C151" s="33" t="s">
        <v>985</v>
      </c>
      <c r="M151" s="10" t="s">
        <v>986</v>
      </c>
      <c r="N151" s="19" t="s">
        <v>549</v>
      </c>
    </row>
    <row r="152">
      <c r="A152" s="31" t="s">
        <v>987</v>
      </c>
      <c r="B152" s="31" t="s">
        <v>555</v>
      </c>
      <c r="C152" s="33" t="s">
        <v>988</v>
      </c>
      <c r="M152" s="10" t="s">
        <v>989</v>
      </c>
      <c r="N152" s="19" t="s">
        <v>549</v>
      </c>
    </row>
    <row r="153">
      <c r="A153" s="31" t="s">
        <v>990</v>
      </c>
      <c r="B153" s="34" t="s">
        <v>829</v>
      </c>
      <c r="C153" s="33" t="s">
        <v>991</v>
      </c>
      <c r="M153" s="10" t="s">
        <v>992</v>
      </c>
      <c r="N153" s="19" t="s">
        <v>549</v>
      </c>
    </row>
    <row r="154">
      <c r="A154" s="31" t="s">
        <v>993</v>
      </c>
      <c r="B154" s="34" t="s">
        <v>829</v>
      </c>
      <c r="C154" s="33" t="s">
        <v>994</v>
      </c>
      <c r="M154" s="10" t="s">
        <v>995</v>
      </c>
      <c r="N154" s="19" t="s">
        <v>549</v>
      </c>
    </row>
    <row r="155">
      <c r="A155" s="31" t="s">
        <v>996</v>
      </c>
      <c r="B155" s="34" t="s">
        <v>829</v>
      </c>
      <c r="C155" s="33" t="s">
        <v>997</v>
      </c>
      <c r="M155" s="19" t="s">
        <v>998</v>
      </c>
      <c r="N155" s="10" t="s">
        <v>14</v>
      </c>
    </row>
    <row r="156">
      <c r="A156" s="31" t="s">
        <v>999</v>
      </c>
      <c r="B156" s="34" t="s">
        <v>829</v>
      </c>
      <c r="C156" s="33" t="s">
        <v>1000</v>
      </c>
      <c r="M156" s="19" t="s">
        <v>1001</v>
      </c>
      <c r="N156" s="10" t="s">
        <v>14</v>
      </c>
    </row>
    <row r="157">
      <c r="A157" s="31" t="s">
        <v>1002</v>
      </c>
      <c r="B157" s="31" t="s">
        <v>1003</v>
      </c>
      <c r="C157" s="33" t="s">
        <v>1004</v>
      </c>
      <c r="M157" s="19" t="s">
        <v>1005</v>
      </c>
      <c r="N157" s="19" t="s">
        <v>22</v>
      </c>
    </row>
    <row r="158">
      <c r="A158" s="31" t="s">
        <v>1006</v>
      </c>
      <c r="B158" s="31" t="s">
        <v>1003</v>
      </c>
      <c r="C158" s="33" t="s">
        <v>1004</v>
      </c>
      <c r="M158" s="19" t="s">
        <v>1007</v>
      </c>
      <c r="N158" s="19" t="s">
        <v>22</v>
      </c>
    </row>
    <row r="159">
      <c r="A159" s="31" t="s">
        <v>1008</v>
      </c>
      <c r="B159" s="31" t="s">
        <v>555</v>
      </c>
      <c r="C159" s="31" t="s">
        <v>1009</v>
      </c>
      <c r="M159" s="19" t="s">
        <v>1010</v>
      </c>
      <c r="N159" s="10" t="s">
        <v>25</v>
      </c>
    </row>
    <row r="160">
      <c r="A160" s="31" t="s">
        <v>1011</v>
      </c>
      <c r="B160" s="31" t="s">
        <v>551</v>
      </c>
      <c r="C160" s="31"/>
      <c r="M160" s="19" t="s">
        <v>1012</v>
      </c>
      <c r="N160" s="10" t="s">
        <v>25</v>
      </c>
    </row>
    <row r="161">
      <c r="A161" s="31" t="s">
        <v>1013</v>
      </c>
      <c r="B161" s="31" t="s">
        <v>1014</v>
      </c>
      <c r="C161" s="31"/>
      <c r="M161" s="19" t="s">
        <v>1015</v>
      </c>
      <c r="N161" s="10" t="s">
        <v>25</v>
      </c>
    </row>
    <row r="162">
      <c r="A162" s="31" t="s">
        <v>1016</v>
      </c>
      <c r="B162" s="31" t="s">
        <v>551</v>
      </c>
      <c r="C162" s="31"/>
      <c r="M162" s="19" t="s">
        <v>1017</v>
      </c>
      <c r="N162" s="10" t="s">
        <v>25</v>
      </c>
    </row>
    <row r="163">
      <c r="A163" s="31" t="s">
        <v>1018</v>
      </c>
      <c r="B163" s="31" t="s">
        <v>551</v>
      </c>
      <c r="C163" s="31"/>
      <c r="M163" s="19" t="s">
        <v>1019</v>
      </c>
    </row>
    <row r="164">
      <c r="A164" s="31" t="s">
        <v>1020</v>
      </c>
      <c r="B164" s="31" t="s">
        <v>551</v>
      </c>
      <c r="C164" s="31"/>
      <c r="M164" s="19" t="s">
        <v>1021</v>
      </c>
      <c r="N164" s="19" t="s">
        <v>31</v>
      </c>
    </row>
    <row r="165">
      <c r="A165" s="31" t="s">
        <v>1022</v>
      </c>
      <c r="B165" s="31" t="s">
        <v>551</v>
      </c>
      <c r="C165" s="31"/>
      <c r="M165" s="19" t="s">
        <v>1023</v>
      </c>
      <c r="N165" s="19" t="s">
        <v>1024</v>
      </c>
    </row>
    <row r="166">
      <c r="A166" s="31" t="s">
        <v>1025</v>
      </c>
      <c r="B166" s="31" t="s">
        <v>551</v>
      </c>
      <c r="C166" s="31"/>
      <c r="M166" s="19" t="s">
        <v>87</v>
      </c>
      <c r="N166" s="19" t="s">
        <v>87</v>
      </c>
    </row>
    <row r="167">
      <c r="A167" s="31" t="s">
        <v>1026</v>
      </c>
      <c r="B167" s="31" t="s">
        <v>551</v>
      </c>
      <c r="C167" s="31"/>
      <c r="M167" s="19" t="s">
        <v>1027</v>
      </c>
      <c r="N167" s="19" t="s">
        <v>35</v>
      </c>
    </row>
    <row r="168">
      <c r="A168" s="31" t="s">
        <v>1028</v>
      </c>
      <c r="B168" s="31" t="s">
        <v>551</v>
      </c>
      <c r="C168" s="31"/>
      <c r="M168" s="19" t="s">
        <v>1029</v>
      </c>
      <c r="N168" s="19" t="s">
        <v>35</v>
      </c>
    </row>
    <row r="169">
      <c r="A169" s="31" t="s">
        <v>1030</v>
      </c>
      <c r="B169" s="31" t="s">
        <v>551</v>
      </c>
      <c r="C169" s="31"/>
      <c r="M169" s="19" t="s">
        <v>1031</v>
      </c>
      <c r="N169" s="19" t="s">
        <v>64</v>
      </c>
    </row>
    <row r="170">
      <c r="A170" s="31" t="s">
        <v>1032</v>
      </c>
      <c r="B170" s="34" t="s">
        <v>829</v>
      </c>
      <c r="C170" s="33" t="s">
        <v>1033</v>
      </c>
      <c r="M170" s="19" t="s">
        <v>1034</v>
      </c>
      <c r="N170" s="19" t="s">
        <v>64</v>
      </c>
    </row>
    <row r="171">
      <c r="A171" s="31" t="s">
        <v>1035</v>
      </c>
      <c r="B171" s="34" t="s">
        <v>829</v>
      </c>
      <c r="C171" s="33" t="s">
        <v>1036</v>
      </c>
      <c r="M171" s="19" t="s">
        <v>1037</v>
      </c>
      <c r="N171" s="19" t="s">
        <v>64</v>
      </c>
    </row>
    <row r="172">
      <c r="A172" s="31" t="s">
        <v>1038</v>
      </c>
      <c r="B172" s="34" t="s">
        <v>829</v>
      </c>
      <c r="C172" s="33" t="s">
        <v>1039</v>
      </c>
      <c r="M172" s="19" t="s">
        <v>1040</v>
      </c>
      <c r="N172" s="19" t="s">
        <v>64</v>
      </c>
    </row>
    <row r="173">
      <c r="A173" s="31" t="s">
        <v>1041</v>
      </c>
      <c r="B173" s="31" t="s">
        <v>1003</v>
      </c>
      <c r="C173" s="33" t="s">
        <v>1004</v>
      </c>
      <c r="M173" s="19" t="s">
        <v>1042</v>
      </c>
      <c r="N173" s="19" t="s">
        <v>832</v>
      </c>
    </row>
    <row r="174">
      <c r="A174" s="31" t="s">
        <v>1043</v>
      </c>
      <c r="B174" s="31" t="s">
        <v>1044</v>
      </c>
      <c r="C174" s="33" t="s">
        <v>1045</v>
      </c>
      <c r="M174" s="19" t="s">
        <v>1046</v>
      </c>
      <c r="N174" s="19" t="s">
        <v>76</v>
      </c>
    </row>
    <row r="175">
      <c r="A175" s="31" t="s">
        <v>1047</v>
      </c>
      <c r="B175" s="31" t="s">
        <v>1044</v>
      </c>
      <c r="C175" s="33" t="s">
        <v>1048</v>
      </c>
    </row>
    <row r="176">
      <c r="A176" s="31" t="s">
        <v>1049</v>
      </c>
      <c r="B176" s="31" t="s">
        <v>1044</v>
      </c>
      <c r="C176" s="33" t="s">
        <v>1050</v>
      </c>
      <c r="M176" s="19" t="s">
        <v>1051</v>
      </c>
      <c r="N176" s="19" t="s">
        <v>549</v>
      </c>
    </row>
    <row r="177">
      <c r="A177" s="31" t="s">
        <v>1052</v>
      </c>
      <c r="B177" s="31" t="s">
        <v>1044</v>
      </c>
      <c r="C177" s="33" t="s">
        <v>1053</v>
      </c>
      <c r="M177" s="19" t="s">
        <v>1054</v>
      </c>
      <c r="N177" s="19" t="s">
        <v>549</v>
      </c>
    </row>
    <row r="178">
      <c r="A178" s="31" t="s">
        <v>1055</v>
      </c>
      <c r="B178" s="31" t="s">
        <v>1044</v>
      </c>
      <c r="C178" s="33" t="s">
        <v>1056</v>
      </c>
      <c r="M178" s="19" t="s">
        <v>941</v>
      </c>
      <c r="N178" s="19" t="s">
        <v>942</v>
      </c>
    </row>
    <row r="179">
      <c r="A179" s="31" t="s">
        <v>1057</v>
      </c>
      <c r="B179" s="31" t="s">
        <v>1058</v>
      </c>
      <c r="C179" s="31"/>
      <c r="M179" s="19" t="s">
        <v>944</v>
      </c>
      <c r="N179" s="19" t="s">
        <v>942</v>
      </c>
    </row>
    <row r="180">
      <c r="A180" s="31" t="s">
        <v>1059</v>
      </c>
      <c r="B180" s="31" t="s">
        <v>551</v>
      </c>
      <c r="C180" s="31"/>
      <c r="M180" s="19" t="s">
        <v>1060</v>
      </c>
      <c r="N180" s="19" t="s">
        <v>549</v>
      </c>
    </row>
    <row r="181">
      <c r="A181" s="31" t="s">
        <v>1061</v>
      </c>
      <c r="B181" s="31" t="s">
        <v>551</v>
      </c>
      <c r="C181" s="31"/>
      <c r="M181" s="19" t="s">
        <v>980</v>
      </c>
      <c r="N181" s="19" t="s">
        <v>549</v>
      </c>
    </row>
    <row r="182">
      <c r="M182" s="19" t="s">
        <v>1062</v>
      </c>
      <c r="N182" s="19" t="s">
        <v>549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7" max="7" width="15.0"/>
  </cols>
  <sheetData>
    <row r="2">
      <c r="B2" s="19" t="s">
        <v>1063</v>
      </c>
      <c r="C2" s="19" t="s">
        <v>1064</v>
      </c>
      <c r="D2" s="19" t="s">
        <v>1065</v>
      </c>
      <c r="G2" s="19" t="s">
        <v>1066</v>
      </c>
    </row>
    <row r="3">
      <c r="A3" s="19" t="s">
        <v>1067</v>
      </c>
      <c r="B3" s="19" t="b">
        <v>1</v>
      </c>
      <c r="C3" s="19" t="b">
        <v>1</v>
      </c>
      <c r="G3" s="10" t="s">
        <v>716</v>
      </c>
    </row>
    <row r="4">
      <c r="A4" s="19" t="s">
        <v>1068</v>
      </c>
      <c r="B4" s="19" t="b">
        <v>1</v>
      </c>
      <c r="C4" s="19" t="b">
        <v>1</v>
      </c>
      <c r="G4" s="10" t="s">
        <v>546</v>
      </c>
    </row>
    <row r="5">
      <c r="A5" s="19" t="s">
        <v>1069</v>
      </c>
      <c r="B5" s="19" t="b">
        <v>1</v>
      </c>
      <c r="C5" s="19" t="b">
        <v>1</v>
      </c>
      <c r="G5" s="10" t="s">
        <v>551</v>
      </c>
    </row>
    <row r="6">
      <c r="A6" s="19" t="s">
        <v>1070</v>
      </c>
      <c r="B6" s="19" t="b">
        <v>1</v>
      </c>
      <c r="C6" s="19" t="b">
        <v>1</v>
      </c>
      <c r="G6" s="10" t="s">
        <v>555</v>
      </c>
    </row>
    <row r="7">
      <c r="A7" s="19" t="s">
        <v>1071</v>
      </c>
      <c r="B7" s="10" t="b">
        <v>0</v>
      </c>
      <c r="C7" s="10" t="b">
        <v>0</v>
      </c>
      <c r="G7" s="10" t="s">
        <v>559</v>
      </c>
    </row>
    <row r="8">
      <c r="A8" s="19" t="s">
        <v>1072</v>
      </c>
      <c r="B8" s="10" t="b">
        <v>0</v>
      </c>
      <c r="C8" s="10" t="b">
        <v>0</v>
      </c>
      <c r="G8" s="10" t="s">
        <v>563</v>
      </c>
    </row>
    <row r="9">
      <c r="A9" s="19" t="s">
        <v>1073</v>
      </c>
      <c r="B9" s="19" t="b">
        <v>1</v>
      </c>
      <c r="C9" s="19" t="b">
        <v>1</v>
      </c>
      <c r="G9" s="10" t="s">
        <v>576</v>
      </c>
    </row>
    <row r="10">
      <c r="G10" s="10" t="s">
        <v>581</v>
      </c>
    </row>
    <row r="11">
      <c r="G11" s="10" t="s">
        <v>584</v>
      </c>
    </row>
    <row r="12">
      <c r="G12" s="10" t="s">
        <v>593</v>
      </c>
    </row>
    <row r="13">
      <c r="G13" s="10" t="s">
        <v>620</v>
      </c>
    </row>
    <row r="14">
      <c r="G14" s="10" t="s">
        <v>1074</v>
      </c>
    </row>
    <row r="15">
      <c r="G15" s="10" t="s">
        <v>683</v>
      </c>
    </row>
    <row r="16">
      <c r="G16" s="10" t="s">
        <v>687</v>
      </c>
    </row>
    <row r="17">
      <c r="G17" s="10" t="s">
        <v>713</v>
      </c>
    </row>
    <row r="18">
      <c r="G18" s="10" t="s">
        <v>794</v>
      </c>
    </row>
    <row r="19">
      <c r="G19" s="10" t="s">
        <v>807</v>
      </c>
    </row>
    <row r="20">
      <c r="G20" s="10" t="s">
        <v>860</v>
      </c>
    </row>
    <row r="21">
      <c r="G21" s="10" t="s">
        <v>922</v>
      </c>
    </row>
    <row r="22">
      <c r="G22" s="10" t="s">
        <v>936</v>
      </c>
    </row>
    <row r="23">
      <c r="G23" s="10" t="s">
        <v>948</v>
      </c>
    </row>
    <row r="24">
      <c r="G24" s="10" t="s">
        <v>950</v>
      </c>
    </row>
    <row r="25">
      <c r="G25" s="10" t="s">
        <v>1003</v>
      </c>
    </row>
    <row r="26">
      <c r="G26" s="10" t="s">
        <v>1014</v>
      </c>
    </row>
    <row r="27">
      <c r="G27" s="10" t="s">
        <v>1044</v>
      </c>
    </row>
    <row r="28">
      <c r="G28" s="10" t="s">
        <v>1058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2">
      <c r="A32" s="10" t="s">
        <v>549</v>
      </c>
      <c r="B32" s="10" t="s">
        <v>549</v>
      </c>
    </row>
    <row r="33">
      <c r="A33" s="10" t="s">
        <v>9</v>
      </c>
      <c r="B33" s="10">
        <v>1.0</v>
      </c>
    </row>
    <row r="34">
      <c r="A34" s="10" t="s">
        <v>13</v>
      </c>
      <c r="B34" s="10">
        <v>2.0</v>
      </c>
    </row>
    <row r="35">
      <c r="A35" s="10" t="s">
        <v>579</v>
      </c>
      <c r="B35" s="10">
        <v>3.0</v>
      </c>
    </row>
    <row r="36">
      <c r="A36" s="10" t="s">
        <v>587</v>
      </c>
      <c r="B36" s="10">
        <v>4.0</v>
      </c>
    </row>
    <row r="37">
      <c r="A37" s="10" t="s">
        <v>591</v>
      </c>
      <c r="B37" s="10">
        <v>5.0</v>
      </c>
    </row>
    <row r="38">
      <c r="A38" s="10" t="s">
        <v>596</v>
      </c>
      <c r="B38" s="10">
        <v>6.0</v>
      </c>
    </row>
    <row r="39">
      <c r="A39" s="10" t="s">
        <v>600</v>
      </c>
      <c r="B39" s="10">
        <v>7.0</v>
      </c>
    </row>
    <row r="40">
      <c r="A40" s="10" t="s">
        <v>603</v>
      </c>
      <c r="B40" s="10">
        <v>8.0</v>
      </c>
    </row>
    <row r="41">
      <c r="A41" s="10" t="s">
        <v>607</v>
      </c>
      <c r="B41" s="10">
        <v>9.0</v>
      </c>
    </row>
    <row r="42">
      <c r="A42" s="10" t="s">
        <v>610</v>
      </c>
      <c r="B42" s="10">
        <v>10.0</v>
      </c>
    </row>
    <row r="43">
      <c r="A43" s="10" t="s">
        <v>614</v>
      </c>
      <c r="B43" s="10">
        <v>11.0</v>
      </c>
    </row>
    <row r="44">
      <c r="A44" s="10" t="s">
        <v>618</v>
      </c>
      <c r="B44" s="10">
        <v>12.0</v>
      </c>
    </row>
    <row r="45">
      <c r="A45" s="10" t="s">
        <v>623</v>
      </c>
      <c r="B45" s="10">
        <v>13.0</v>
      </c>
    </row>
    <row r="46">
      <c r="A46" s="10" t="s">
        <v>627</v>
      </c>
      <c r="B46" s="10">
        <v>14.0</v>
      </c>
    </row>
    <row r="47">
      <c r="A47" s="10" t="s">
        <v>631</v>
      </c>
      <c r="B47" s="10">
        <v>15.0</v>
      </c>
    </row>
    <row r="48">
      <c r="A48" s="10" t="s">
        <v>635</v>
      </c>
      <c r="B48" s="10">
        <v>16.0</v>
      </c>
    </row>
    <row r="49">
      <c r="A49" s="10" t="s">
        <v>639</v>
      </c>
      <c r="B49" s="10">
        <v>17.0</v>
      </c>
    </row>
    <row r="50">
      <c r="A50" s="10" t="s">
        <v>643</v>
      </c>
      <c r="B50" s="10">
        <v>18.0</v>
      </c>
    </row>
    <row r="51">
      <c r="A51" s="10" t="s">
        <v>647</v>
      </c>
      <c r="B51" s="10">
        <v>19.0</v>
      </c>
    </row>
    <row r="52">
      <c r="A52" s="10" t="s">
        <v>651</v>
      </c>
      <c r="B52" s="10">
        <v>20.0</v>
      </c>
    </row>
    <row r="53">
      <c r="A53" s="10" t="s">
        <v>663</v>
      </c>
      <c r="B53" s="10">
        <v>21.0</v>
      </c>
    </row>
    <row r="54">
      <c r="A54" s="10" t="s">
        <v>14</v>
      </c>
      <c r="B54" s="10">
        <v>22.0</v>
      </c>
    </row>
    <row r="55">
      <c r="A55" s="10" t="s">
        <v>17</v>
      </c>
      <c r="B55" s="10">
        <v>23.0</v>
      </c>
    </row>
    <row r="56">
      <c r="A56" s="10" t="s">
        <v>18</v>
      </c>
      <c r="B56" s="10">
        <v>24.0</v>
      </c>
    </row>
    <row r="57">
      <c r="A57" s="10" t="s">
        <v>21</v>
      </c>
      <c r="B57" s="10">
        <v>25.0</v>
      </c>
    </row>
    <row r="58">
      <c r="A58" s="10" t="s">
        <v>22</v>
      </c>
      <c r="B58" s="10">
        <v>26.0</v>
      </c>
    </row>
    <row r="59">
      <c r="A59" s="10" t="s">
        <v>25</v>
      </c>
      <c r="B59" s="10">
        <v>27.0</v>
      </c>
    </row>
    <row r="60">
      <c r="A60" s="10" t="s">
        <v>31</v>
      </c>
      <c r="B60" s="10">
        <v>28.0</v>
      </c>
    </row>
    <row r="61">
      <c r="A61" s="10" t="s">
        <v>32</v>
      </c>
      <c r="B61" s="10">
        <v>29.0</v>
      </c>
    </row>
    <row r="62">
      <c r="A62" s="10" t="s">
        <v>35</v>
      </c>
      <c r="B62" s="10">
        <v>30.0</v>
      </c>
    </row>
    <row r="63">
      <c r="A63" s="10" t="s">
        <v>51</v>
      </c>
      <c r="B63" s="10">
        <v>31.0</v>
      </c>
    </row>
    <row r="64">
      <c r="A64" s="10" t="s">
        <v>43</v>
      </c>
      <c r="B64" s="10">
        <v>32.0</v>
      </c>
    </row>
    <row r="65">
      <c r="A65" s="10" t="s">
        <v>64</v>
      </c>
      <c r="B65" s="10">
        <v>33.0</v>
      </c>
    </row>
    <row r="66">
      <c r="A66" s="10" t="s">
        <v>68</v>
      </c>
      <c r="B66" s="10">
        <v>34.0</v>
      </c>
    </row>
    <row r="67">
      <c r="A67" s="10" t="s">
        <v>69</v>
      </c>
      <c r="B67" s="10">
        <v>35.0</v>
      </c>
    </row>
    <row r="68">
      <c r="A68" s="10" t="s">
        <v>71</v>
      </c>
      <c r="B68" s="10">
        <v>36.0</v>
      </c>
    </row>
    <row r="69">
      <c r="A69" s="10" t="s">
        <v>832</v>
      </c>
      <c r="B69" s="10">
        <v>37.0</v>
      </c>
    </row>
    <row r="70">
      <c r="A70" s="10" t="s">
        <v>72</v>
      </c>
      <c r="B70" s="10">
        <v>38.0</v>
      </c>
    </row>
    <row r="71">
      <c r="A71" s="10" t="s">
        <v>76</v>
      </c>
      <c r="B71" s="10">
        <v>39.0</v>
      </c>
    </row>
    <row r="72">
      <c r="A72" s="10" t="s">
        <v>78</v>
      </c>
      <c r="B72" s="10">
        <v>40.0</v>
      </c>
    </row>
    <row r="73">
      <c r="A73" s="10" t="s">
        <v>80</v>
      </c>
      <c r="B73" s="10">
        <v>41.0</v>
      </c>
    </row>
    <row r="74">
      <c r="A74" s="10" t="s">
        <v>82</v>
      </c>
      <c r="B74" s="10">
        <v>42.0</v>
      </c>
    </row>
    <row r="75">
      <c r="A75" s="10" t="s">
        <v>942</v>
      </c>
      <c r="B75" s="10">
        <v>43.0</v>
      </c>
    </row>
    <row r="76">
      <c r="A76" s="10" t="s">
        <v>84</v>
      </c>
      <c r="B76" s="10">
        <v>44.0</v>
      </c>
    </row>
    <row r="77">
      <c r="A77" s="10" t="s">
        <v>86</v>
      </c>
      <c r="B77" s="10">
        <v>45.0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5"/>
  </cols>
  <sheetData>
    <row r="1">
      <c r="B1" s="19" t="s">
        <v>12</v>
      </c>
      <c r="C1" s="19" t="s">
        <v>1075</v>
      </c>
      <c r="D1" s="19" t="s">
        <v>1076</v>
      </c>
    </row>
    <row r="2">
      <c r="A2" s="27" t="s">
        <v>1077</v>
      </c>
      <c r="B2" s="28">
        <v>2.0</v>
      </c>
      <c r="D2" s="10">
        <f t="shared" ref="D2:D13" si="1">C2-B2</f>
        <v>-2</v>
      </c>
    </row>
    <row r="3">
      <c r="A3" s="27" t="s">
        <v>1078</v>
      </c>
      <c r="B3" s="28">
        <v>2.0</v>
      </c>
      <c r="D3" s="10">
        <f t="shared" si="1"/>
        <v>-2</v>
      </c>
    </row>
    <row r="4">
      <c r="A4" s="27" t="s">
        <v>1079</v>
      </c>
      <c r="B4" s="28">
        <v>120.0</v>
      </c>
      <c r="C4" s="19">
        <v>115.0</v>
      </c>
      <c r="D4" s="10">
        <f t="shared" si="1"/>
        <v>-5</v>
      </c>
    </row>
    <row r="5">
      <c r="A5" s="27" t="s">
        <v>1077</v>
      </c>
      <c r="B5" s="28">
        <v>203.0</v>
      </c>
      <c r="C5" s="19">
        <v>216.0</v>
      </c>
      <c r="D5" s="10">
        <f t="shared" si="1"/>
        <v>13</v>
      </c>
    </row>
    <row r="6">
      <c r="A6" s="27" t="s">
        <v>1080</v>
      </c>
      <c r="B6" s="28">
        <v>382.0</v>
      </c>
      <c r="C6" s="10">
        <f>242+58</f>
        <v>300</v>
      </c>
      <c r="D6" s="10">
        <f t="shared" si="1"/>
        <v>-82</v>
      </c>
    </row>
    <row r="7">
      <c r="A7" s="27" t="s">
        <v>1081</v>
      </c>
      <c r="B7" s="28">
        <v>1.0</v>
      </c>
      <c r="C7" s="19">
        <v>0.0</v>
      </c>
      <c r="D7" s="10">
        <f t="shared" si="1"/>
        <v>-1</v>
      </c>
    </row>
    <row r="8">
      <c r="A8" s="27" t="s">
        <v>1082</v>
      </c>
      <c r="B8" s="28">
        <v>40.0</v>
      </c>
      <c r="C8" s="19">
        <v>45.0</v>
      </c>
      <c r="D8" s="10">
        <f t="shared" si="1"/>
        <v>5</v>
      </c>
    </row>
    <row r="9">
      <c r="A9" s="27" t="s">
        <v>1083</v>
      </c>
      <c r="B9" s="28">
        <v>122.0</v>
      </c>
      <c r="C9" s="19">
        <v>97.0</v>
      </c>
      <c r="D9" s="10">
        <f t="shared" si="1"/>
        <v>-25</v>
      </c>
    </row>
    <row r="10">
      <c r="A10" s="27" t="s">
        <v>1084</v>
      </c>
      <c r="B10" s="28">
        <v>6.0</v>
      </c>
      <c r="C10" s="19">
        <v>4.0</v>
      </c>
      <c r="D10" s="10">
        <f t="shared" si="1"/>
        <v>-2</v>
      </c>
    </row>
    <row r="11">
      <c r="A11" s="27" t="s">
        <v>1085</v>
      </c>
      <c r="B11" s="28">
        <v>8.0</v>
      </c>
      <c r="C11" s="19">
        <v>8.0</v>
      </c>
      <c r="D11" s="10">
        <f t="shared" si="1"/>
        <v>0</v>
      </c>
    </row>
    <row r="12">
      <c r="A12" s="27" t="s">
        <v>1086</v>
      </c>
      <c r="B12" s="28">
        <v>2.0</v>
      </c>
      <c r="C12" s="19">
        <v>6.0</v>
      </c>
      <c r="D12" s="10">
        <f t="shared" si="1"/>
        <v>4</v>
      </c>
    </row>
    <row r="13">
      <c r="A13" s="27" t="s">
        <v>1087</v>
      </c>
      <c r="B13" s="28">
        <v>90.0</v>
      </c>
      <c r="C13" s="19">
        <v>84.0</v>
      </c>
      <c r="D13" s="10">
        <f t="shared" si="1"/>
        <v>-6</v>
      </c>
    </row>
  </sheetData>
  <drawing r:id="rId1"/>
</worksheet>
</file>