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HEC Lausanne\semestre 3\Travail de mémoire\Sujet de mémoire\Articles\"/>
    </mc:Choice>
  </mc:AlternateContent>
  <xr:revisionPtr revIDLastSave="0" documentId="13_ncr:1_{DA2B8EBF-3EAA-4232-A05F-50B9DDBBAF36}" xr6:coauthVersionLast="47" xr6:coauthVersionMax="47" xr10:uidLastSave="{00000000-0000-0000-0000-000000000000}"/>
  <bookViews>
    <workbookView xWindow="36" yWindow="396" windowWidth="21780" windowHeight="8220" xr2:uid="{97689D09-6C53-4EFE-952F-420386ECF95F}"/>
  </bookViews>
  <sheets>
    <sheet name="Feuil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5" i="4" l="1"/>
  <c r="AD45" i="4"/>
  <c r="AC45" i="4"/>
  <c r="AB45" i="4"/>
  <c r="AA45" i="4"/>
  <c r="Z45" i="4"/>
  <c r="Y45" i="4"/>
  <c r="X45" i="4"/>
  <c r="W45" i="4"/>
  <c r="V45" i="4"/>
  <c r="Y44" i="4"/>
  <c r="V44" i="4"/>
  <c r="P44" i="4"/>
  <c r="P43" i="4"/>
  <c r="O43" i="4"/>
  <c r="N43" i="4"/>
  <c r="AE42" i="4"/>
  <c r="AD42" i="4"/>
  <c r="AC42" i="4"/>
  <c r="AB42" i="4"/>
  <c r="AA42" i="4"/>
  <c r="Z42" i="4"/>
  <c r="Y42" i="4"/>
  <c r="X42" i="4"/>
  <c r="W42" i="4"/>
  <c r="V42" i="4"/>
  <c r="AE34" i="4"/>
  <c r="AD34" i="4"/>
  <c r="AC34" i="4"/>
  <c r="AB34" i="4"/>
  <c r="AA34" i="4"/>
  <c r="Z34" i="4"/>
  <c r="Y34" i="4"/>
  <c r="X34" i="4"/>
  <c r="W34" i="4"/>
  <c r="V34" i="4"/>
  <c r="O34" i="4"/>
  <c r="N34" i="4"/>
  <c r="M34" i="4"/>
  <c r="L34" i="4"/>
  <c r="AA31" i="4"/>
  <c r="V31" i="4"/>
  <c r="U31" i="4"/>
  <c r="P31" i="4"/>
  <c r="AE30" i="4"/>
  <c r="AD30" i="4"/>
  <c r="AC30" i="4"/>
  <c r="AB30" i="4"/>
  <c r="AA30" i="4"/>
  <c r="Z30" i="4"/>
  <c r="Y30" i="4"/>
  <c r="X30" i="4"/>
  <c r="W30" i="4"/>
  <c r="V30" i="4"/>
  <c r="AD29" i="4"/>
  <c r="AC29" i="4"/>
  <c r="AB29" i="4"/>
  <c r="AA29" i="4"/>
  <c r="Y29" i="4"/>
  <c r="X29" i="4"/>
  <c r="W29" i="4"/>
  <c r="V29" i="4"/>
  <c r="M29" i="4"/>
  <c r="L29" i="4"/>
  <c r="AE28" i="4"/>
  <c r="AD28" i="4"/>
  <c r="AC28" i="4"/>
  <c r="AB28" i="4"/>
  <c r="AA28" i="4"/>
  <c r="Z28" i="4"/>
  <c r="Y28" i="4"/>
  <c r="X28" i="4"/>
  <c r="W28" i="4"/>
  <c r="V28" i="4"/>
  <c r="AE25" i="4"/>
  <c r="AD25" i="4"/>
  <c r="AC25" i="4"/>
  <c r="AB25" i="4"/>
  <c r="AA25" i="4"/>
  <c r="Z25" i="4"/>
  <c r="Y25" i="4"/>
  <c r="X25" i="4"/>
  <c r="W25" i="4"/>
  <c r="V25" i="4"/>
  <c r="AE24" i="4"/>
  <c r="AD24" i="4"/>
  <c r="AC24" i="4"/>
  <c r="AB24" i="4"/>
  <c r="AA24" i="4"/>
  <c r="Z24" i="4"/>
  <c r="Y24" i="4"/>
  <c r="X24" i="4"/>
  <c r="W24" i="4"/>
  <c r="V24" i="4"/>
  <c r="AE23" i="4"/>
  <c r="AD23" i="4"/>
  <c r="AC23" i="4"/>
  <c r="AB23" i="4"/>
  <c r="AA23" i="4"/>
  <c r="Z23" i="4"/>
  <c r="Y23" i="4"/>
  <c r="X23" i="4"/>
  <c r="W23" i="4"/>
  <c r="V23" i="4"/>
  <c r="P23" i="4"/>
  <c r="O23" i="4"/>
  <c r="N23" i="4"/>
  <c r="M23" i="4"/>
  <c r="L23" i="4"/>
  <c r="AE22" i="4"/>
  <c r="AD22" i="4"/>
  <c r="AC22" i="4"/>
  <c r="AB22" i="4"/>
  <c r="AA22" i="4"/>
  <c r="Z22" i="4"/>
  <c r="Y22" i="4"/>
  <c r="X22" i="4"/>
  <c r="W22" i="4"/>
  <c r="V22" i="4"/>
  <c r="P22" i="4"/>
  <c r="O22" i="4"/>
  <c r="N22" i="4"/>
  <c r="AE21" i="4"/>
  <c r="AD21" i="4"/>
  <c r="AC21" i="4"/>
  <c r="AB21" i="4"/>
  <c r="AA21" i="4"/>
  <c r="Z21" i="4"/>
  <c r="Y21" i="4"/>
  <c r="X21" i="4"/>
  <c r="W21" i="4"/>
  <c r="V21" i="4"/>
  <c r="AE19" i="4"/>
  <c r="AD19" i="4"/>
  <c r="AC19" i="4"/>
  <c r="AB19" i="4"/>
  <c r="AA19" i="4"/>
  <c r="Z19" i="4"/>
  <c r="Y19" i="4"/>
  <c r="X19" i="4"/>
  <c r="W19" i="4"/>
  <c r="V19" i="4"/>
  <c r="AE18" i="4"/>
  <c r="AD18" i="4"/>
  <c r="AC18" i="4"/>
  <c r="AB18" i="4"/>
  <c r="AA18" i="4"/>
  <c r="Z18" i="4"/>
  <c r="Y18" i="4"/>
  <c r="X18" i="4"/>
  <c r="W18" i="4"/>
  <c r="V18" i="4"/>
  <c r="AE17" i="4"/>
  <c r="AD17" i="4"/>
  <c r="AC17" i="4"/>
  <c r="AB17" i="4"/>
  <c r="AA17" i="4"/>
  <c r="Z17" i="4"/>
  <c r="Y17" i="4"/>
  <c r="X17" i="4"/>
  <c r="W17" i="4"/>
  <c r="V17" i="4"/>
  <c r="U17" i="4"/>
  <c r="T17" i="4"/>
  <c r="P17" i="4"/>
  <c r="O17" i="4"/>
  <c r="K17" i="4"/>
  <c r="AE15" i="4"/>
  <c r="AD15" i="4"/>
  <c r="AC15" i="4"/>
  <c r="AB15" i="4"/>
  <c r="AA15" i="4"/>
  <c r="Z15" i="4"/>
  <c r="Y15" i="4"/>
  <c r="X15" i="4"/>
  <c r="W15" i="4"/>
  <c r="V15" i="4"/>
  <c r="AE14" i="4"/>
  <c r="AD14" i="4"/>
  <c r="AC14" i="4"/>
  <c r="AB14" i="4"/>
  <c r="AA14" i="4"/>
  <c r="Z14" i="4"/>
  <c r="Y14" i="4"/>
  <c r="X14" i="4"/>
  <c r="W14" i="4"/>
  <c r="V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AE12" i="4"/>
  <c r="AD12" i="4"/>
  <c r="AC12" i="4"/>
  <c r="AB12" i="4"/>
  <c r="AA12" i="4"/>
  <c r="Z12" i="4"/>
  <c r="Y12" i="4"/>
  <c r="X12" i="4"/>
  <c r="W12" i="4"/>
  <c r="V12" i="4"/>
  <c r="O12" i="4"/>
  <c r="N12" i="4"/>
  <c r="M12" i="4"/>
  <c r="L12" i="4"/>
  <c r="AC11" i="4"/>
  <c r="AB11" i="4"/>
  <c r="AA11" i="4"/>
  <c r="X11" i="4"/>
  <c r="W11" i="4"/>
  <c r="V11" i="4"/>
  <c r="M11" i="4"/>
  <c r="AE10" i="4"/>
  <c r="AD10" i="4"/>
  <c r="AC10" i="4"/>
  <c r="AB10" i="4"/>
  <c r="AA10" i="4"/>
  <c r="Z10" i="4"/>
  <c r="Y10" i="4"/>
  <c r="X10" i="4"/>
  <c r="W10" i="4"/>
  <c r="V10" i="4"/>
  <c r="AB9" i="4"/>
  <c r="AA9" i="4"/>
  <c r="W9" i="4"/>
  <c r="V9" i="4"/>
  <c r="AE8" i="4"/>
  <c r="AD8" i="4"/>
  <c r="AC8" i="4"/>
  <c r="AB8" i="4"/>
  <c r="AA8" i="4"/>
  <c r="Z8" i="4"/>
  <c r="Y8" i="4"/>
  <c r="X8" i="4"/>
  <c r="W8" i="4"/>
  <c r="V8" i="4"/>
  <c r="AE7" i="4"/>
  <c r="AD7" i="4"/>
  <c r="AC7" i="4"/>
  <c r="AB7" i="4"/>
  <c r="AA7" i="4"/>
  <c r="Z7" i="4"/>
  <c r="Y7" i="4"/>
  <c r="X7" i="4"/>
  <c r="W7" i="4"/>
  <c r="V7" i="4"/>
  <c r="AB6" i="4"/>
  <c r="AA6" i="4"/>
  <c r="W6" i="4"/>
  <c r="V6" i="4"/>
  <c r="AE5" i="4"/>
  <c r="AD5" i="4"/>
  <c r="AC5" i="4"/>
  <c r="AB5" i="4"/>
  <c r="AA5" i="4"/>
  <c r="Z5" i="4"/>
  <c r="X5" i="4"/>
  <c r="W5" i="4"/>
  <c r="V5" i="4"/>
  <c r="AE4" i="4"/>
  <c r="AD4" i="4"/>
  <c r="AC4" i="4"/>
  <c r="AB4" i="4"/>
  <c r="AA4" i="4"/>
  <c r="Z4" i="4"/>
  <c r="Y4" i="4"/>
  <c r="X4" i="4"/>
  <c r="W4" i="4"/>
  <c r="V4" i="4"/>
  <c r="AE3" i="4"/>
  <c r="AD3" i="4"/>
  <c r="AC3" i="4"/>
  <c r="AB3" i="4"/>
  <c r="AA3" i="4"/>
  <c r="Z3" i="4"/>
  <c r="Y3" i="4"/>
  <c r="X3" i="4"/>
  <c r="W3" i="4"/>
  <c r="V3" i="4"/>
  <c r="P3" i="4"/>
  <c r="O3" i="4"/>
  <c r="N3" i="4"/>
  <c r="M3" i="4"/>
  <c r="L3" i="4"/>
  <c r="K3" i="4"/>
  <c r="J3" i="4"/>
  <c r="I3" i="4"/>
  <c r="H3" i="4"/>
  <c r="G3" i="4"/>
</calcChain>
</file>

<file path=xl/sharedStrings.xml><?xml version="1.0" encoding="utf-8"?>
<sst xmlns="http://schemas.openxmlformats.org/spreadsheetml/2006/main" count="2121" uniqueCount="327">
  <si>
    <t>ISSUER_TICKER</t>
  </si>
  <si>
    <t>ISSUER_CUSIP</t>
  </si>
  <si>
    <t>ISSUER_ISIN</t>
  </si>
  <si>
    <t>Number of employee ( of the group)</t>
  </si>
  <si>
    <t>Carbon emission (de tonnes)</t>
  </si>
  <si>
    <t>Nox (en milliers de tonnes)</t>
  </si>
  <si>
    <t>total asset (en millions)</t>
  </si>
  <si>
    <t>Total debt  en millions</t>
  </si>
  <si>
    <t>Presence of certification management (ISO14001)</t>
  </si>
  <si>
    <t>IVA_COMPANY_RATING</t>
  </si>
  <si>
    <t>ENVIRONMENTAL_PILLAR_SCORE</t>
  </si>
  <si>
    <t>ENVIRONMENTAL_PILLAR_WEIGHT</t>
  </si>
  <si>
    <t>SOCIAL_PILLAR_SCORE</t>
  </si>
  <si>
    <t>SOCIAL_PILLAR_WEIGHT</t>
  </si>
  <si>
    <t>GOVERNANCE_PILLAR_SCORE</t>
  </si>
  <si>
    <t>GOVERNANCE_PILLAR_WEIGHT</t>
  </si>
  <si>
    <t>CLIMATE_CHANGE_THEME_SCORE</t>
  </si>
  <si>
    <t>CLIMATE_CHANGE_THEME_WEIGHT</t>
  </si>
  <si>
    <t>HUMAN_CAPITAL_THEME_SCORE</t>
  </si>
  <si>
    <t>HUMAN_CAPITAL_THEME_WEIGHT</t>
  </si>
  <si>
    <t>BUSINESS_ETHICS_THEME_SCORE</t>
  </si>
  <si>
    <t>BUSINESS_ETHICS_THEME_WEIGHT</t>
  </si>
  <si>
    <t>CARBON_EMISSIONS_SCORE</t>
  </si>
  <si>
    <t>CARBON_EMISSIONS_WEIGHT</t>
  </si>
  <si>
    <t>CARBON_EMISSIONS_EXP_SCORE</t>
  </si>
  <si>
    <t>CARBON_EMISSIONS_MGMT_SCORE</t>
  </si>
  <si>
    <t>TOXIC_EMISS_WSTE_SCORE</t>
  </si>
  <si>
    <t>TOXIC_EMISS_WSTE_WEIGHT</t>
  </si>
  <si>
    <t>TOXIC_EMISS_WSTE_EXP_SCORE</t>
  </si>
  <si>
    <t>TOXIC_EMISS_WSTE_MGMT_SCORE</t>
  </si>
  <si>
    <t>LABOR_MGMT_SCORE</t>
  </si>
  <si>
    <t>LABOR_MGMT_WEIGHT</t>
  </si>
  <si>
    <t>LABOR_MGMT_EXP_SCORE</t>
  </si>
  <si>
    <t>LABOR_MGMT_MGMT_SCORE</t>
  </si>
  <si>
    <t>HLTH_SAFETY_SCORE</t>
  </si>
  <si>
    <t>HLTH_SAFETY_WEIGHT</t>
  </si>
  <si>
    <t>HLTH_SAFETY_EXP_SCORE</t>
  </si>
  <si>
    <t>HLTH_SAFETY_MGMT_SCORE</t>
  </si>
  <si>
    <t>DFDS A/S</t>
  </si>
  <si>
    <t>DFDS</t>
  </si>
  <si>
    <t>DK0060655629</t>
  </si>
  <si>
    <t>DK</t>
  </si>
  <si>
    <t>Marine Transport</t>
  </si>
  <si>
    <t>AA</t>
  </si>
  <si>
    <t>A</t>
  </si>
  <si>
    <t>5.00</t>
  </si>
  <si>
    <t>50.00</t>
  </si>
  <si>
    <t>6.70</t>
  </si>
  <si>
    <t>30.00</t>
  </si>
  <si>
    <t>6.50</t>
  </si>
  <si>
    <t>20.00</t>
  </si>
  <si>
    <t>5.10</t>
  </si>
  <si>
    <t>8.10</t>
  </si>
  <si>
    <t>6.20</t>
  </si>
  <si>
    <t>4.90</t>
  </si>
  <si>
    <t>7.40</t>
  </si>
  <si>
    <t>5.30</t>
  </si>
  <si>
    <t>0.00</t>
  </si>
  <si>
    <t>5.20</t>
  </si>
  <si>
    <t>ASTM S.p.A.</t>
  </si>
  <si>
    <t>AT</t>
  </si>
  <si>
    <t>05334E105</t>
  </si>
  <si>
    <t>IT0000084027</t>
  </si>
  <si>
    <t>IT</t>
  </si>
  <si>
    <t>Transportation Infrastructure</t>
  </si>
  <si>
    <t>B</t>
  </si>
  <si>
    <t>5.80</t>
  </si>
  <si>
    <t>22.00</t>
  </si>
  <si>
    <t>4.00</t>
  </si>
  <si>
    <t>28.00</t>
  </si>
  <si>
    <t>2.50</t>
  </si>
  <si>
    <t>6.40</t>
  </si>
  <si>
    <t>2.00</t>
  </si>
  <si>
    <t>2.30</t>
  </si>
  <si>
    <t>1.70</t>
  </si>
  <si>
    <t>4.50</t>
  </si>
  <si>
    <t>3.30</t>
  </si>
  <si>
    <t>6.00</t>
  </si>
  <si>
    <t>3.00</t>
  </si>
  <si>
    <t>Hamburger Hafen und Logistik Aktiengesellschaft</t>
  </si>
  <si>
    <t>HHFA</t>
  </si>
  <si>
    <t>406763102</t>
  </si>
  <si>
    <t>DE000A0S8488</t>
  </si>
  <si>
    <t>DE</t>
  </si>
  <si>
    <t>BB</t>
  </si>
  <si>
    <t>6.30</t>
  </si>
  <si>
    <t>25.00</t>
  </si>
  <si>
    <t>2.60</t>
  </si>
  <si>
    <t>4.80</t>
  </si>
  <si>
    <t>45.00</t>
  </si>
  <si>
    <t>2.40</t>
  </si>
  <si>
    <t>5.90</t>
  </si>
  <si>
    <t>4.70</t>
  </si>
  <si>
    <t>5.50</t>
  </si>
  <si>
    <t>1.80</t>
  </si>
  <si>
    <t>Societa Iniziative Autostradali e Servizi Societa per Azioni</t>
  </si>
  <si>
    <t>SIS</t>
  </si>
  <si>
    <t>833643109</t>
  </si>
  <si>
    <t>IT0003201198</t>
  </si>
  <si>
    <t>5.40</t>
  </si>
  <si>
    <t>1.30</t>
  </si>
  <si>
    <t>2.20</t>
  </si>
  <si>
    <t>4.60</t>
  </si>
  <si>
    <t>3.70</t>
  </si>
  <si>
    <t>KOEBENHAVNS LUFTHAVNE A/S</t>
  </si>
  <si>
    <t>KBHL</t>
  </si>
  <si>
    <t>DK0010201102</t>
  </si>
  <si>
    <t>8.00</t>
  </si>
  <si>
    <t>8.90</t>
  </si>
  <si>
    <t>4.20</t>
  </si>
  <si>
    <t>4.30</t>
  </si>
  <si>
    <t>7.80</t>
  </si>
  <si>
    <t>3.53</t>
  </si>
  <si>
    <t>6.91</t>
  </si>
  <si>
    <t>3.20</t>
  </si>
  <si>
    <t>Viking Supply Ships AB</t>
  </si>
  <si>
    <t>VSSAB B</t>
  </si>
  <si>
    <t>SE0000143521</t>
  </si>
  <si>
    <t>SE</t>
  </si>
  <si>
    <t>60.00</t>
  </si>
  <si>
    <t>32.00</t>
  </si>
  <si>
    <t>7.10</t>
  </si>
  <si>
    <t>17.00</t>
  </si>
  <si>
    <t>10.00</t>
  </si>
  <si>
    <t>0.80</t>
  </si>
  <si>
    <t>5.70</t>
  </si>
  <si>
    <t>8.80</t>
  </si>
  <si>
    <t>1.35</t>
  </si>
  <si>
    <t>3.80</t>
  </si>
  <si>
    <t>9.80</t>
  </si>
  <si>
    <t>3.71</t>
  </si>
  <si>
    <t>9.40</t>
  </si>
  <si>
    <t>0.48</t>
  </si>
  <si>
    <t>4.40</t>
  </si>
  <si>
    <t>Ansaldo STS S.p.A.</t>
  </si>
  <si>
    <t>STS</t>
  </si>
  <si>
    <t>036336105</t>
  </si>
  <si>
    <t>IT0003977540</t>
  </si>
  <si>
    <t>7.00</t>
  </si>
  <si>
    <t>2.10</t>
  </si>
  <si>
    <t>4.10</t>
  </si>
  <si>
    <t>SIXG</t>
  </si>
  <si>
    <t>Road &amp; Rail Transport</t>
  </si>
  <si>
    <t>29.00</t>
  </si>
  <si>
    <t>42.00</t>
  </si>
  <si>
    <t>37.00</t>
  </si>
  <si>
    <t>1.50</t>
  </si>
  <si>
    <t>Atlantia S.p.A.</t>
  </si>
  <si>
    <t>ATL</t>
  </si>
  <si>
    <t>048173108</t>
  </si>
  <si>
    <t>IT0003506190</t>
  </si>
  <si>
    <t>NA</t>
  </si>
  <si>
    <t>6.10</t>
  </si>
  <si>
    <t>6.05</t>
  </si>
  <si>
    <t>8.72</t>
  </si>
  <si>
    <t>DSV A/S</t>
  </si>
  <si>
    <t>DSV</t>
  </si>
  <si>
    <t>26251A108</t>
  </si>
  <si>
    <t>DK0060079531</t>
  </si>
  <si>
    <t>2.90</t>
  </si>
  <si>
    <t>56.00</t>
  </si>
  <si>
    <t>6.90</t>
  </si>
  <si>
    <t>7.90</t>
  </si>
  <si>
    <t>5.84</t>
  </si>
  <si>
    <t>7.20</t>
  </si>
  <si>
    <t>A.P. MOELLER - MAERSK A/S</t>
  </si>
  <si>
    <t>MAERSK B</t>
  </si>
  <si>
    <t>00202F102</t>
  </si>
  <si>
    <t>DK0010244508</t>
  </si>
  <si>
    <t>NO</t>
  </si>
  <si>
    <t>YES</t>
  </si>
  <si>
    <t>BBB</t>
  </si>
  <si>
    <t>7.30</t>
  </si>
  <si>
    <t>7.50</t>
  </si>
  <si>
    <t>3.50</t>
  </si>
  <si>
    <t>8.23</t>
  </si>
  <si>
    <t>Abertis Infraestructuras, S.A.</t>
  </si>
  <si>
    <t>ABE</t>
  </si>
  <si>
    <t>003381100</t>
  </si>
  <si>
    <t>ES0111845014</t>
  </si>
  <si>
    <t>ES</t>
  </si>
  <si>
    <t>8.50</t>
  </si>
  <si>
    <t>9.10</t>
  </si>
  <si>
    <t>5.86</t>
  </si>
  <si>
    <t>8.97</t>
  </si>
  <si>
    <t>5.60</t>
  </si>
  <si>
    <t>AEROPORTS DE PARIS S.A.</t>
  </si>
  <si>
    <t>ADP</t>
  </si>
  <si>
    <t>FR0010340141</t>
  </si>
  <si>
    <t>FR</t>
  </si>
  <si>
    <t>AAA</t>
  </si>
  <si>
    <t>8.40</t>
  </si>
  <si>
    <t>9.50</t>
  </si>
  <si>
    <t>8.26</t>
  </si>
  <si>
    <t>AUTOSTRADE MERIDIONALI S.P.A.</t>
  </si>
  <si>
    <t>AUTME</t>
  </si>
  <si>
    <t>IT0000084043</t>
  </si>
  <si>
    <t>DAMPSKIBSSELSKABET NORDEN A/S</t>
  </si>
  <si>
    <t>DNORD</t>
  </si>
  <si>
    <t>DK0060083210</t>
  </si>
  <si>
    <t>7.85</t>
  </si>
  <si>
    <t>7.38</t>
  </si>
  <si>
    <t>6.81</t>
  </si>
  <si>
    <t>Fraport AG Frankfurt Airport Services Worldwide</t>
  </si>
  <si>
    <t>FRA</t>
  </si>
  <si>
    <t>35546M108</t>
  </si>
  <si>
    <t>DE0005773303</t>
  </si>
  <si>
    <t>6.60</t>
  </si>
  <si>
    <t>3.40</t>
  </si>
  <si>
    <t>8.70</t>
  </si>
  <si>
    <t>3.26</t>
  </si>
  <si>
    <t>9.05</t>
  </si>
  <si>
    <t>GROUPE EUROTUNNEL S.E.</t>
  </si>
  <si>
    <t>GET</t>
  </si>
  <si>
    <t>39945F102</t>
  </si>
  <si>
    <t>FR0010533075</t>
  </si>
  <si>
    <t>15.00</t>
  </si>
  <si>
    <t>5.12</t>
  </si>
  <si>
    <t>7.01</t>
  </si>
  <si>
    <t>VTG Aktiengesellschaft</t>
  </si>
  <si>
    <t>VT9</t>
  </si>
  <si>
    <t>DE000VTG9999</t>
  </si>
  <si>
    <t>21.00</t>
  </si>
  <si>
    <t>58.00</t>
  </si>
  <si>
    <t>3.10</t>
  </si>
  <si>
    <t>26.00</t>
  </si>
  <si>
    <t>IRISH CONTINENTAL GROUP, PUBLIC LIMITED COMPANY</t>
  </si>
  <si>
    <t>IR5B</t>
  </si>
  <si>
    <t>IE00BLP58571</t>
  </si>
  <si>
    <t>IE</t>
  </si>
  <si>
    <t>2.80</t>
  </si>
  <si>
    <t>6.80</t>
  </si>
  <si>
    <t>3.60</t>
  </si>
  <si>
    <t>SNCF MOBILITES E.P.I.C.</t>
  </si>
  <si>
    <t>SNCFE</t>
  </si>
  <si>
    <t>XS0433659082</t>
  </si>
  <si>
    <t>1.60</t>
  </si>
  <si>
    <t>Deutsche Bahn Finance B.V.</t>
  </si>
  <si>
    <t>DBAHN</t>
  </si>
  <si>
    <t>XS0549869989</t>
  </si>
  <si>
    <t>NL</t>
  </si>
  <si>
    <t>8.30</t>
  </si>
  <si>
    <t>LeasePlan Corporation N.V.</t>
  </si>
  <si>
    <t>LITOO</t>
  </si>
  <si>
    <t>52206AAB6</t>
  </si>
  <si>
    <t>XS1072623421</t>
  </si>
  <si>
    <t>3.90</t>
  </si>
  <si>
    <t>1.20</t>
  </si>
  <si>
    <t>Nobina AB (publ)</t>
  </si>
  <si>
    <t>NOBINA</t>
  </si>
  <si>
    <t>SE0007185418</t>
  </si>
  <si>
    <t>Hertz Holdings Netherlands B.V.</t>
  </si>
  <si>
    <t>2.92</t>
  </si>
  <si>
    <t>1.90</t>
  </si>
  <si>
    <t>AUTOROUTES DU SUD DE LA FRANCE S.A. (entreprise de la société Vinci)</t>
  </si>
  <si>
    <t>SGEF</t>
  </si>
  <si>
    <t>FR0010491720</t>
  </si>
  <si>
    <t>41.00</t>
  </si>
  <si>
    <t>2.70</t>
  </si>
  <si>
    <t>4.27</t>
  </si>
  <si>
    <t>APRR S.A.</t>
  </si>
  <si>
    <t>FOUG</t>
  </si>
  <si>
    <t>SANEF S.A.</t>
  </si>
  <si>
    <t>FR0013053329</t>
  </si>
  <si>
    <t>Schiphol Nederland B.V.</t>
  </si>
  <si>
    <t>LUCHT</t>
  </si>
  <si>
    <t>XS0378569247</t>
  </si>
  <si>
    <t>7.70</t>
  </si>
  <si>
    <t>Autostrade per l'Italia S.p.A.</t>
  </si>
  <si>
    <t>EUROPCAR GROUPE S.A.</t>
  </si>
  <si>
    <t>EUCAR</t>
  </si>
  <si>
    <t>FR0012789949</t>
  </si>
  <si>
    <t>HOLDING D'INFRASTRUCTURES DE TRANSPORT S.A.S.</t>
  </si>
  <si>
    <t>XS0271758301</t>
  </si>
  <si>
    <t>Aeroporti di Roma S.p.A.</t>
  </si>
  <si>
    <t>Nobina Sverige 2 AB</t>
  </si>
  <si>
    <t>NOBIN</t>
  </si>
  <si>
    <t>SE0004725018</t>
  </si>
  <si>
    <t>Royal Capital B.V.</t>
  </si>
  <si>
    <t>ICTSI Treasury B.V.</t>
  </si>
  <si>
    <t>XS0875298191</t>
  </si>
  <si>
    <t>LU</t>
  </si>
  <si>
    <t>AENA</t>
  </si>
  <si>
    <t>ES0105046009</t>
  </si>
  <si>
    <t>Autostrada Brescia Verona Vicenza Padova SpA</t>
  </si>
  <si>
    <t>XS1205716720</t>
  </si>
  <si>
    <t>TOSCANA AEROPORTI S.P.A.</t>
  </si>
  <si>
    <t>TYA</t>
  </si>
  <si>
    <t>IT0000214293</t>
  </si>
  <si>
    <t>62.00</t>
  </si>
  <si>
    <t>33.00</t>
  </si>
  <si>
    <t>31.00</t>
  </si>
  <si>
    <t>Rumo Luxembourg S.a r.l.</t>
  </si>
  <si>
    <t>781467AA3</t>
  </si>
  <si>
    <t>USL79090AA13</t>
  </si>
  <si>
    <t>CMA CGM S.A.</t>
  </si>
  <si>
    <t>CMACG</t>
  </si>
  <si>
    <t>8.20</t>
  </si>
  <si>
    <t>Hapag-Lloyd Aktiengesellschaft</t>
  </si>
  <si>
    <t>HLAG</t>
  </si>
  <si>
    <t>41135Q104</t>
  </si>
  <si>
    <t>DE000HLAG475</t>
  </si>
  <si>
    <t>Aena SME, S.A.</t>
  </si>
  <si>
    <t>00774W103</t>
  </si>
  <si>
    <t>ENAV S.P.A.</t>
  </si>
  <si>
    <t>ENAV</t>
  </si>
  <si>
    <t>IT0005176406</t>
  </si>
  <si>
    <t>34.00</t>
  </si>
  <si>
    <t>61.00</t>
  </si>
  <si>
    <t>1.10</t>
  </si>
  <si>
    <t>9.90</t>
  </si>
  <si>
    <t>g/km/vehicule</t>
  </si>
  <si>
    <t>g/vehicule</t>
  </si>
  <si>
    <t>g/tonne</t>
  </si>
  <si>
    <t>Names of companies</t>
  </si>
  <si>
    <t>Country</t>
  </si>
  <si>
    <t>Industries</t>
  </si>
  <si>
    <t>MA</t>
  </si>
  <si>
    <t>Getlink SE</t>
  </si>
  <si>
    <t>XS1703065620</t>
  </si>
  <si>
    <t>XS1740005811</t>
  </si>
  <si>
    <t>XS1627947440</t>
  </si>
  <si>
    <t>XS0468468854</t>
  </si>
  <si>
    <t>FR0012300820</t>
  </si>
  <si>
    <t>XS1790940883</t>
  </si>
  <si>
    <t>Sixt SE</t>
  </si>
  <si>
    <t>DE0007231326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</si>
</sst>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center"/>
    </xf>
    <xf numFmtId="0" fontId="0" fillId="16" borderId="0" xfId="0" applyFill="1"/>
    <xf numFmtId="0" fontId="0" fillId="11" borderId="0" xfId="0" applyFill="1" applyAlignment="1">
      <alignment horizontal="center"/>
    </xf>
    <xf numFmtId="0" fontId="0" fillId="17" borderId="0" xfId="0" applyFill="1"/>
    <xf numFmtId="0" fontId="0" fillId="1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2" fillId="0" borderId="0" xfId="0" applyFont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30CB-008B-4FEC-A251-D5E5466EA93E}">
  <dimension ref="A1:FY45"/>
  <sheetViews>
    <sheetView tabSelected="1" topLeftCell="K21" zoomScale="85" zoomScaleNormal="85" workbookViewId="0">
      <selection activeCell="A7" sqref="A7"/>
    </sheetView>
  </sheetViews>
  <sheetFormatPr baseColWidth="10" defaultRowHeight="14.4" x14ac:dyDescent="0.3"/>
  <cols>
    <col min="1" max="1" width="48.21875" bestFit="1" customWidth="1"/>
    <col min="6" max="6" width="25" bestFit="1" customWidth="1"/>
    <col min="7" max="7" width="18.109375" style="6" customWidth="1"/>
    <col min="8" max="8" width="11.5546875" style="6"/>
    <col min="9" max="9" width="12.77734375" style="6" customWidth="1"/>
    <col min="10" max="10" width="11.44140625" style="6" customWidth="1"/>
    <col min="11" max="11" width="10.33203125" style="6" customWidth="1"/>
    <col min="12" max="16" width="10.33203125" style="18" customWidth="1"/>
    <col min="17" max="21" width="10.33203125" style="7" customWidth="1"/>
    <col min="22" max="23" width="10.33203125" style="8" customWidth="1"/>
    <col min="24" max="24" width="9.21875" style="8" customWidth="1"/>
    <col min="25" max="25" width="10.33203125" style="8" customWidth="1"/>
    <col min="26" max="26" width="8.33203125" style="8" customWidth="1"/>
    <col min="27" max="31" width="10.33203125" style="19" customWidth="1"/>
    <col min="32" max="36" width="10.33203125" style="9" customWidth="1"/>
    <col min="37" max="41" width="11.5546875" style="40"/>
    <col min="42" max="42" width="14.44140625" style="41" customWidth="1"/>
    <col min="43" max="43" width="11.109375" style="41" customWidth="1"/>
    <col min="44" max="46" width="14.44140625" style="41" customWidth="1"/>
    <col min="47" max="51" width="11.5546875" style="20"/>
    <col min="52" max="56" width="11.5546875" style="42"/>
    <col min="57" max="61" width="11.5546875" style="20"/>
    <col min="62" max="66" width="11.5546875" style="43"/>
    <col min="67" max="71" width="11.5546875" style="44"/>
    <col min="72" max="76" width="11.5546875" style="20"/>
    <col min="77" max="81" width="11.5546875" style="45"/>
    <col min="82" max="86" width="11.5546875" style="20"/>
    <col min="87" max="91" width="11.5546875" style="30"/>
    <col min="92" max="96" width="11.5546875" style="20"/>
    <col min="97" max="101" width="11.5546875" style="46"/>
    <col min="102" max="106" width="11.5546875" style="47"/>
    <col min="107" max="111" width="11.5546875" style="20"/>
    <col min="112" max="116" width="11.5546875" style="9"/>
    <col min="117" max="121" width="11.5546875" style="30"/>
    <col min="122" max="126" width="11.5546875" style="20"/>
    <col min="127" max="131" width="11.5546875" style="9"/>
    <col min="132" max="136" width="11.5546875" style="20"/>
    <col min="137" max="141" width="11.5546875" style="9"/>
    <col min="142" max="146" width="11.5546875" style="20"/>
    <col min="147" max="151" width="11.5546875" style="9"/>
    <col min="152" max="156" width="11.5546875" style="20"/>
    <col min="157" max="161" width="11.5546875" style="9"/>
    <col min="162" max="166" width="11.5546875" style="48"/>
    <col min="167" max="171" width="11.5546875" style="20"/>
    <col min="172" max="176" width="11.5546875" style="49"/>
    <col min="177" max="181" width="11.5546875" style="7"/>
  </cols>
  <sheetData>
    <row r="1" spans="1:181" s="33" customFormat="1" x14ac:dyDescent="0.3">
      <c r="A1" s="33" t="s">
        <v>314</v>
      </c>
      <c r="B1" s="33" t="s">
        <v>0</v>
      </c>
      <c r="C1" s="33" t="s">
        <v>1</v>
      </c>
      <c r="D1" s="33" t="s">
        <v>2</v>
      </c>
      <c r="E1" s="33" t="s">
        <v>315</v>
      </c>
      <c r="F1" s="33" t="s">
        <v>316</v>
      </c>
      <c r="G1" s="58" t="s">
        <v>3</v>
      </c>
      <c r="H1" s="58"/>
      <c r="I1" s="58"/>
      <c r="J1" s="58"/>
      <c r="K1" s="58"/>
      <c r="L1" s="62" t="s">
        <v>4</v>
      </c>
      <c r="M1" s="62"/>
      <c r="N1" s="62"/>
      <c r="O1" s="62"/>
      <c r="P1" s="62"/>
      <c r="Q1" s="60" t="s">
        <v>5</v>
      </c>
      <c r="R1" s="60"/>
      <c r="S1" s="60"/>
      <c r="T1" s="60"/>
      <c r="U1" s="60"/>
      <c r="V1" s="53" t="s">
        <v>6</v>
      </c>
      <c r="W1" s="53"/>
      <c r="X1" s="53"/>
      <c r="Y1" s="53"/>
      <c r="Z1" s="53"/>
      <c r="AA1" s="63" t="s">
        <v>7</v>
      </c>
      <c r="AB1" s="63"/>
      <c r="AC1" s="63"/>
      <c r="AD1" s="63"/>
      <c r="AE1" s="63"/>
      <c r="AF1" s="51" t="s">
        <v>8</v>
      </c>
      <c r="AG1" s="51"/>
      <c r="AH1" s="51"/>
      <c r="AI1" s="51"/>
      <c r="AJ1" s="51"/>
      <c r="AK1" s="53" t="s">
        <v>9</v>
      </c>
      <c r="AL1" s="53"/>
      <c r="AM1" s="53"/>
      <c r="AN1" s="53"/>
      <c r="AO1" s="53"/>
      <c r="AP1" s="54" t="s">
        <v>10</v>
      </c>
      <c r="AQ1" s="54"/>
      <c r="AR1" s="54"/>
      <c r="AS1" s="54"/>
      <c r="AT1" s="54"/>
      <c r="AU1" s="52" t="s">
        <v>11</v>
      </c>
      <c r="AV1" s="52"/>
      <c r="AW1" s="52"/>
      <c r="AX1" s="52"/>
      <c r="AY1" s="52"/>
      <c r="AZ1" s="55" t="s">
        <v>12</v>
      </c>
      <c r="BA1" s="55"/>
      <c r="BB1" s="55"/>
      <c r="BC1" s="55"/>
      <c r="BD1" s="55"/>
      <c r="BE1" s="52" t="s">
        <v>13</v>
      </c>
      <c r="BF1" s="52"/>
      <c r="BG1" s="52"/>
      <c r="BH1" s="52"/>
      <c r="BI1" s="52"/>
      <c r="BJ1" s="64" t="s">
        <v>14</v>
      </c>
      <c r="BK1" s="64"/>
      <c r="BL1" s="64"/>
      <c r="BM1" s="64"/>
      <c r="BN1" s="64"/>
      <c r="BO1" s="65" t="s">
        <v>15</v>
      </c>
      <c r="BP1" s="65"/>
      <c r="BQ1" s="65"/>
      <c r="BR1" s="65"/>
      <c r="BS1" s="65"/>
      <c r="BT1" s="52" t="s">
        <v>16</v>
      </c>
      <c r="BU1" s="52"/>
      <c r="BV1" s="52"/>
      <c r="BW1" s="52"/>
      <c r="BX1" s="52"/>
      <c r="BY1" s="66" t="s">
        <v>17</v>
      </c>
      <c r="BZ1" s="66"/>
      <c r="CA1" s="66"/>
      <c r="CB1" s="66"/>
      <c r="CC1" s="66"/>
      <c r="CD1" s="52" t="s">
        <v>18</v>
      </c>
      <c r="CE1" s="52"/>
      <c r="CF1" s="52"/>
      <c r="CG1" s="52"/>
      <c r="CH1" s="52"/>
      <c r="CI1" s="58" t="s">
        <v>19</v>
      </c>
      <c r="CJ1" s="58"/>
      <c r="CK1" s="58"/>
      <c r="CL1" s="58"/>
      <c r="CM1" s="58"/>
      <c r="CN1" s="52" t="s">
        <v>20</v>
      </c>
      <c r="CO1" s="52"/>
      <c r="CP1" s="52"/>
      <c r="CQ1" s="52"/>
      <c r="CR1" s="52"/>
      <c r="CS1" s="59" t="s">
        <v>21</v>
      </c>
      <c r="CT1" s="59"/>
      <c r="CU1" s="59"/>
      <c r="CV1" s="59"/>
      <c r="CW1" s="59"/>
      <c r="CX1" s="56" t="s">
        <v>22</v>
      </c>
      <c r="CY1" s="56"/>
      <c r="CZ1" s="56"/>
      <c r="DA1" s="56"/>
      <c r="DB1" s="56"/>
      <c r="DC1" s="52" t="s">
        <v>23</v>
      </c>
      <c r="DD1" s="52"/>
      <c r="DE1" s="52"/>
      <c r="DF1" s="52"/>
      <c r="DG1" s="52"/>
      <c r="DH1" s="51" t="s">
        <v>24</v>
      </c>
      <c r="DI1" s="51"/>
      <c r="DJ1" s="51"/>
      <c r="DK1" s="51"/>
      <c r="DL1" s="51"/>
      <c r="DM1" s="58" t="s">
        <v>25</v>
      </c>
      <c r="DN1" s="58"/>
      <c r="DO1" s="58"/>
      <c r="DP1" s="58"/>
      <c r="DQ1" s="58"/>
      <c r="DR1" s="52" t="s">
        <v>26</v>
      </c>
      <c r="DS1" s="52"/>
      <c r="DT1" s="52"/>
      <c r="DU1" s="52"/>
      <c r="DV1" s="52"/>
      <c r="DW1" s="51" t="s">
        <v>27</v>
      </c>
      <c r="DX1" s="51"/>
      <c r="DY1" s="51"/>
      <c r="DZ1" s="51"/>
      <c r="EA1" s="51"/>
      <c r="EB1" s="52" t="s">
        <v>28</v>
      </c>
      <c r="EC1" s="52"/>
      <c r="ED1" s="52"/>
      <c r="EE1" s="52"/>
      <c r="EF1" s="52"/>
      <c r="EG1" s="51" t="s">
        <v>29</v>
      </c>
      <c r="EH1" s="51"/>
      <c r="EI1" s="51"/>
      <c r="EJ1" s="51"/>
      <c r="EK1" s="51"/>
      <c r="EL1" s="52" t="s">
        <v>30</v>
      </c>
      <c r="EM1" s="52"/>
      <c r="EN1" s="52"/>
      <c r="EO1" s="52"/>
      <c r="EP1" s="52"/>
      <c r="EQ1" s="51" t="s">
        <v>31</v>
      </c>
      <c r="ER1" s="51"/>
      <c r="ES1" s="51"/>
      <c r="ET1" s="51"/>
      <c r="EU1" s="51"/>
      <c r="EV1" s="52" t="s">
        <v>32</v>
      </c>
      <c r="EW1" s="52"/>
      <c r="EX1" s="52"/>
      <c r="EY1" s="52"/>
      <c r="EZ1" s="52"/>
      <c r="FA1" s="51" t="s">
        <v>33</v>
      </c>
      <c r="FB1" s="51"/>
      <c r="FC1" s="51"/>
      <c r="FD1" s="51"/>
      <c r="FE1" s="51"/>
      <c r="FF1" s="57" t="s">
        <v>34</v>
      </c>
      <c r="FG1" s="57"/>
      <c r="FH1" s="57"/>
      <c r="FI1" s="57"/>
      <c r="FJ1" s="57"/>
      <c r="FK1" s="52" t="s">
        <v>35</v>
      </c>
      <c r="FL1" s="52"/>
      <c r="FM1" s="52"/>
      <c r="FN1" s="52"/>
      <c r="FO1" s="52"/>
      <c r="FP1" s="61" t="s">
        <v>36</v>
      </c>
      <c r="FQ1" s="61"/>
      <c r="FR1" s="61"/>
      <c r="FS1" s="61"/>
      <c r="FT1" s="61"/>
      <c r="FU1" s="60" t="s">
        <v>37</v>
      </c>
      <c r="FV1" s="60"/>
      <c r="FW1" s="60"/>
      <c r="FX1" s="60"/>
      <c r="FY1" s="60"/>
    </row>
    <row r="2" spans="1:181" s="1" customFormat="1" x14ac:dyDescent="0.3">
      <c r="G2" s="2">
        <v>2017</v>
      </c>
      <c r="H2" s="2">
        <v>2018</v>
      </c>
      <c r="I2" s="2">
        <v>2019</v>
      </c>
      <c r="J2" s="2">
        <v>2020</v>
      </c>
      <c r="K2" s="2">
        <v>2021</v>
      </c>
      <c r="L2" s="16">
        <v>2017</v>
      </c>
      <c r="M2" s="16">
        <v>2018</v>
      </c>
      <c r="N2" s="16">
        <v>2019</v>
      </c>
      <c r="O2" s="16">
        <v>2020</v>
      </c>
      <c r="P2" s="16">
        <v>2021</v>
      </c>
      <c r="Q2" s="3">
        <v>2017</v>
      </c>
      <c r="R2" s="3">
        <v>2018</v>
      </c>
      <c r="S2" s="3">
        <v>2019</v>
      </c>
      <c r="T2" s="3">
        <v>2020</v>
      </c>
      <c r="U2" s="3">
        <v>2021</v>
      </c>
      <c r="V2" s="4">
        <v>2017</v>
      </c>
      <c r="W2" s="4">
        <v>2018</v>
      </c>
      <c r="X2" s="4">
        <v>2019</v>
      </c>
      <c r="Y2" s="4">
        <v>2020</v>
      </c>
      <c r="Z2" s="4">
        <v>2021</v>
      </c>
      <c r="AA2" s="17">
        <v>2017</v>
      </c>
      <c r="AB2" s="17">
        <v>2018</v>
      </c>
      <c r="AC2" s="17">
        <v>2019</v>
      </c>
      <c r="AD2" s="17">
        <v>2020</v>
      </c>
      <c r="AE2" s="17">
        <v>2021</v>
      </c>
      <c r="AF2" s="5">
        <v>2017</v>
      </c>
      <c r="AG2" s="5">
        <v>2018</v>
      </c>
      <c r="AH2" s="5">
        <v>2019</v>
      </c>
      <c r="AI2" s="5">
        <v>2020</v>
      </c>
      <c r="AJ2" s="5">
        <v>2021</v>
      </c>
      <c r="AK2" s="32">
        <v>2017</v>
      </c>
      <c r="AL2" s="32">
        <v>2018</v>
      </c>
      <c r="AM2" s="32">
        <v>2019</v>
      </c>
      <c r="AN2" s="32">
        <v>2020</v>
      </c>
      <c r="AO2" s="32">
        <v>2021</v>
      </c>
      <c r="AP2" s="34">
        <v>2017</v>
      </c>
      <c r="AQ2" s="34">
        <v>2018</v>
      </c>
      <c r="AR2" s="34">
        <v>2019</v>
      </c>
      <c r="AS2" s="34">
        <v>2020</v>
      </c>
      <c r="AT2" s="34">
        <v>2021</v>
      </c>
      <c r="AU2" s="33">
        <v>2017</v>
      </c>
      <c r="AV2" s="33">
        <v>2018</v>
      </c>
      <c r="AW2" s="33">
        <v>2019</v>
      </c>
      <c r="AX2" s="33">
        <v>2020</v>
      </c>
      <c r="AY2" s="33">
        <v>2021</v>
      </c>
      <c r="AZ2" s="35">
        <v>2017</v>
      </c>
      <c r="BA2" s="35">
        <v>2018</v>
      </c>
      <c r="BB2" s="35">
        <v>2019</v>
      </c>
      <c r="BC2" s="35">
        <v>2020</v>
      </c>
      <c r="BD2" s="35">
        <v>2021</v>
      </c>
      <c r="BE2" s="33">
        <v>2017</v>
      </c>
      <c r="BF2" s="33">
        <v>2018</v>
      </c>
      <c r="BG2" s="33">
        <v>2019</v>
      </c>
      <c r="BH2" s="33">
        <v>2020</v>
      </c>
      <c r="BI2" s="33">
        <v>2021</v>
      </c>
      <c r="BJ2" s="5">
        <v>2017</v>
      </c>
      <c r="BK2" s="5">
        <v>2018</v>
      </c>
      <c r="BL2" s="5">
        <v>2019</v>
      </c>
      <c r="BM2" s="5">
        <v>2020</v>
      </c>
      <c r="BN2" s="5">
        <v>2021</v>
      </c>
      <c r="BO2" s="5">
        <v>2017</v>
      </c>
      <c r="BP2" s="5">
        <v>2018</v>
      </c>
      <c r="BQ2" s="5">
        <v>2019</v>
      </c>
      <c r="BR2" s="5">
        <v>2020</v>
      </c>
      <c r="BS2" s="5">
        <v>2021</v>
      </c>
      <c r="BT2" s="5">
        <v>2017</v>
      </c>
      <c r="BU2" s="5">
        <v>2018</v>
      </c>
      <c r="BV2" s="5">
        <v>2019</v>
      </c>
      <c r="BW2" s="5">
        <v>2020</v>
      </c>
      <c r="BX2" s="5">
        <v>2021</v>
      </c>
      <c r="BY2" s="5">
        <v>2017</v>
      </c>
      <c r="BZ2" s="5">
        <v>2018</v>
      </c>
      <c r="CA2" s="5">
        <v>2019</v>
      </c>
      <c r="CB2" s="5">
        <v>2020</v>
      </c>
      <c r="CC2" s="5">
        <v>2021</v>
      </c>
      <c r="CD2" s="5">
        <v>2017</v>
      </c>
      <c r="CE2" s="5">
        <v>2018</v>
      </c>
      <c r="CF2" s="5">
        <v>2019</v>
      </c>
      <c r="CG2" s="5">
        <v>2020</v>
      </c>
      <c r="CH2" s="5">
        <v>2021</v>
      </c>
      <c r="CI2" s="5">
        <v>2017</v>
      </c>
      <c r="CJ2" s="5">
        <v>2018</v>
      </c>
      <c r="CK2" s="5">
        <v>2019</v>
      </c>
      <c r="CL2" s="5">
        <v>2020</v>
      </c>
      <c r="CM2" s="5">
        <v>2021</v>
      </c>
      <c r="CN2" s="5">
        <v>2017</v>
      </c>
      <c r="CO2" s="5">
        <v>2018</v>
      </c>
      <c r="CP2" s="5">
        <v>2019</v>
      </c>
      <c r="CQ2" s="5">
        <v>2020</v>
      </c>
      <c r="CR2" s="5">
        <v>2021</v>
      </c>
      <c r="CS2" s="39">
        <v>2017</v>
      </c>
      <c r="CT2" s="39">
        <v>2018</v>
      </c>
      <c r="CU2" s="39">
        <v>2019</v>
      </c>
      <c r="CV2" s="39">
        <v>2020</v>
      </c>
      <c r="CW2" s="39">
        <v>2021</v>
      </c>
      <c r="CX2" s="36">
        <v>2017</v>
      </c>
      <c r="CY2" s="36">
        <v>2018</v>
      </c>
      <c r="CZ2" s="36">
        <v>2019</v>
      </c>
      <c r="DA2" s="36">
        <v>2020</v>
      </c>
      <c r="DB2" s="36">
        <v>2021</v>
      </c>
      <c r="DC2" s="5">
        <v>2017</v>
      </c>
      <c r="DD2" s="5">
        <v>2018</v>
      </c>
      <c r="DE2" s="5">
        <v>2019</v>
      </c>
      <c r="DF2" s="5">
        <v>2020</v>
      </c>
      <c r="DG2" s="5">
        <v>2021</v>
      </c>
      <c r="DH2" s="5">
        <v>2017</v>
      </c>
      <c r="DI2" s="5">
        <v>2018</v>
      </c>
      <c r="DJ2" s="5">
        <v>2019</v>
      </c>
      <c r="DK2" s="5">
        <v>2020</v>
      </c>
      <c r="DL2" s="5">
        <v>2021</v>
      </c>
      <c r="DM2" s="5">
        <v>2017</v>
      </c>
      <c r="DN2" s="5">
        <v>2018</v>
      </c>
      <c r="DO2" s="5">
        <v>2019</v>
      </c>
      <c r="DP2" s="5">
        <v>2020</v>
      </c>
      <c r="DQ2" s="5">
        <v>2021</v>
      </c>
      <c r="DR2" s="5">
        <v>2017</v>
      </c>
      <c r="DS2" s="5">
        <v>2018</v>
      </c>
      <c r="DT2" s="5">
        <v>2019</v>
      </c>
      <c r="DU2" s="5">
        <v>2020</v>
      </c>
      <c r="DV2" s="5">
        <v>2021</v>
      </c>
      <c r="DW2" s="5">
        <v>2017</v>
      </c>
      <c r="DX2" s="5">
        <v>2018</v>
      </c>
      <c r="DY2" s="5">
        <v>2019</v>
      </c>
      <c r="DZ2" s="5">
        <v>2020</v>
      </c>
      <c r="EA2" s="5">
        <v>2021</v>
      </c>
      <c r="EB2" s="5">
        <v>2017</v>
      </c>
      <c r="EC2" s="5">
        <v>2018</v>
      </c>
      <c r="ED2" s="5">
        <v>2019</v>
      </c>
      <c r="EE2" s="5">
        <v>2020</v>
      </c>
      <c r="EF2" s="5">
        <v>2021</v>
      </c>
      <c r="EG2" s="5">
        <v>2017</v>
      </c>
      <c r="EH2" s="5">
        <v>2018</v>
      </c>
      <c r="EI2" s="5">
        <v>2019</v>
      </c>
      <c r="EJ2" s="5">
        <v>2020</v>
      </c>
      <c r="EK2" s="5">
        <v>2021</v>
      </c>
      <c r="EL2" s="5">
        <v>2017</v>
      </c>
      <c r="EM2" s="5">
        <v>2018</v>
      </c>
      <c r="EN2" s="5">
        <v>2019</v>
      </c>
      <c r="EO2" s="5">
        <v>2020</v>
      </c>
      <c r="EP2" s="5">
        <v>2021</v>
      </c>
      <c r="EQ2" s="5">
        <v>2017</v>
      </c>
      <c r="ER2" s="5">
        <v>2018</v>
      </c>
      <c r="ES2" s="5">
        <v>2019</v>
      </c>
      <c r="ET2" s="5">
        <v>2020</v>
      </c>
      <c r="EU2" s="5">
        <v>2021</v>
      </c>
      <c r="EV2" s="5">
        <v>2017</v>
      </c>
      <c r="EW2" s="5">
        <v>2018</v>
      </c>
      <c r="EX2" s="5">
        <v>2019</v>
      </c>
      <c r="EY2" s="5">
        <v>2020</v>
      </c>
      <c r="EZ2" s="5">
        <v>2021</v>
      </c>
      <c r="FA2" s="5">
        <v>2017</v>
      </c>
      <c r="FB2" s="5">
        <v>2018</v>
      </c>
      <c r="FC2" s="5">
        <v>2019</v>
      </c>
      <c r="FD2" s="5">
        <v>2020</v>
      </c>
      <c r="FE2" s="5">
        <v>2021</v>
      </c>
      <c r="FF2" s="37">
        <v>2017</v>
      </c>
      <c r="FG2" s="37">
        <v>2018</v>
      </c>
      <c r="FH2" s="37">
        <v>2019</v>
      </c>
      <c r="FI2" s="37">
        <v>2020</v>
      </c>
      <c r="FJ2" s="37">
        <v>2021</v>
      </c>
      <c r="FK2" s="33">
        <v>2017</v>
      </c>
      <c r="FL2" s="33">
        <v>2018</v>
      </c>
      <c r="FM2" s="33">
        <v>2019</v>
      </c>
      <c r="FN2" s="33">
        <v>2020</v>
      </c>
      <c r="FO2" s="33">
        <v>2021</v>
      </c>
      <c r="FP2" s="38">
        <v>2017</v>
      </c>
      <c r="FQ2" s="38">
        <v>2018</v>
      </c>
      <c r="FR2" s="38">
        <v>2019</v>
      </c>
      <c r="FS2" s="38">
        <v>2020</v>
      </c>
      <c r="FT2" s="38">
        <v>2021</v>
      </c>
      <c r="FU2" s="3">
        <v>2017</v>
      </c>
      <c r="FV2" s="3">
        <v>2018</v>
      </c>
      <c r="FW2" s="3">
        <v>2019</v>
      </c>
      <c r="FX2" s="3">
        <v>2020</v>
      </c>
      <c r="FY2" s="3">
        <v>2021</v>
      </c>
    </row>
    <row r="3" spans="1:181" s="26" customFormat="1" x14ac:dyDescent="0.3">
      <c r="A3" s="26" t="s">
        <v>38</v>
      </c>
      <c r="B3" s="26" t="s">
        <v>39</v>
      </c>
      <c r="D3" s="26" t="s">
        <v>40</v>
      </c>
      <c r="E3" s="26" t="s">
        <v>41</v>
      </c>
      <c r="F3" s="26" t="s">
        <v>42</v>
      </c>
      <c r="G3" s="26">
        <f>7235/2</f>
        <v>3617.5</v>
      </c>
      <c r="H3" s="26">
        <f>7791</f>
        <v>7791</v>
      </c>
      <c r="I3" s="26">
        <f>8367</f>
        <v>8367</v>
      </c>
      <c r="J3" s="26">
        <f>8213</f>
        <v>8213</v>
      </c>
      <c r="K3" s="26">
        <f>8874</f>
        <v>8874</v>
      </c>
      <c r="L3" s="26">
        <f>1579*1000</f>
        <v>1579000</v>
      </c>
      <c r="M3" s="26">
        <f>1879*1000</f>
        <v>1879000</v>
      </c>
      <c r="N3" s="26">
        <f>2260*1000</f>
        <v>2260000</v>
      </c>
      <c r="O3" s="26">
        <f>2020*1000000</f>
        <v>2020000000</v>
      </c>
      <c r="P3" s="26">
        <f>3460*1000</f>
        <v>3460000</v>
      </c>
      <c r="Q3" s="31" t="s">
        <v>151</v>
      </c>
      <c r="R3" s="31" t="s">
        <v>151</v>
      </c>
      <c r="S3" s="31" t="s">
        <v>151</v>
      </c>
      <c r="T3" s="31" t="s">
        <v>151</v>
      </c>
      <c r="U3" s="31" t="s">
        <v>151</v>
      </c>
      <c r="V3" s="26">
        <f>13308.4*1000000</f>
        <v>13308400000</v>
      </c>
      <c r="W3" s="26">
        <f>4949*1000000</f>
        <v>4949000000</v>
      </c>
      <c r="X3" s="26">
        <f>26863*1000000</f>
        <v>26863000000</v>
      </c>
      <c r="Y3" s="26">
        <f>27066*1000000</f>
        <v>27066000000</v>
      </c>
      <c r="Z3" s="26">
        <f>2285*1000000</f>
        <v>2285000000</v>
      </c>
      <c r="AA3" s="26">
        <f>3411.1*1000000</f>
        <v>3411100000</v>
      </c>
      <c r="AB3" s="26">
        <f>3933.7*1000000</f>
        <v>3933700000</v>
      </c>
      <c r="AC3" s="26">
        <f>12830*1000000</f>
        <v>12830000000</v>
      </c>
      <c r="AD3" s="26">
        <f>12794*1000000</f>
        <v>12794000000</v>
      </c>
      <c r="AE3" s="26">
        <f>1284*1000000</f>
        <v>1284000000</v>
      </c>
      <c r="AF3" s="31" t="s">
        <v>169</v>
      </c>
      <c r="AG3" s="31" t="s">
        <v>169</v>
      </c>
      <c r="AH3" s="31" t="s">
        <v>169</v>
      </c>
      <c r="AI3" s="31" t="s">
        <v>169</v>
      </c>
      <c r="AJ3" s="31" t="s">
        <v>169</v>
      </c>
      <c r="AK3" s="40" t="s">
        <v>43</v>
      </c>
      <c r="AL3" s="40" t="s">
        <v>44</v>
      </c>
      <c r="AM3" s="40" t="s">
        <v>44</v>
      </c>
      <c r="AN3" s="40" t="s">
        <v>44</v>
      </c>
      <c r="AO3" s="40"/>
      <c r="AP3" s="41" t="s">
        <v>45</v>
      </c>
      <c r="AQ3" s="41">
        <v>4.5999999999999996</v>
      </c>
      <c r="AR3" s="41">
        <v>4.8</v>
      </c>
      <c r="AS3" s="41">
        <v>4.7</v>
      </c>
      <c r="AT3" s="41"/>
      <c r="AU3" s="31" t="s">
        <v>46</v>
      </c>
      <c r="AV3" s="31">
        <v>50</v>
      </c>
      <c r="AW3" s="31">
        <v>50</v>
      </c>
      <c r="AX3" s="31">
        <v>47</v>
      </c>
      <c r="AY3" s="31"/>
      <c r="AZ3" s="42" t="s">
        <v>47</v>
      </c>
      <c r="BA3" s="42">
        <v>7.6</v>
      </c>
      <c r="BB3" s="42">
        <v>6.9</v>
      </c>
      <c r="BC3" s="42">
        <v>7.2</v>
      </c>
      <c r="BD3" s="42"/>
      <c r="BE3" s="31" t="s">
        <v>48</v>
      </c>
      <c r="BF3" s="31">
        <v>30</v>
      </c>
      <c r="BG3" s="31">
        <v>28</v>
      </c>
      <c r="BH3" s="31">
        <v>16</v>
      </c>
      <c r="BI3" s="31"/>
      <c r="BJ3" s="43" t="s">
        <v>49</v>
      </c>
      <c r="BK3" s="43">
        <v>6.8</v>
      </c>
      <c r="BL3" s="43">
        <v>7.1</v>
      </c>
      <c r="BM3" s="43">
        <v>6.1</v>
      </c>
      <c r="BN3" s="43"/>
      <c r="BO3" s="44" t="s">
        <v>50</v>
      </c>
      <c r="BP3" s="44">
        <v>20</v>
      </c>
      <c r="BQ3" s="44">
        <v>22</v>
      </c>
      <c r="BR3" s="44">
        <v>37</v>
      </c>
      <c r="BS3" s="44"/>
      <c r="BT3" s="31" t="s">
        <v>51</v>
      </c>
      <c r="BU3" s="31">
        <v>5.6</v>
      </c>
      <c r="BV3" s="31">
        <v>5.9</v>
      </c>
      <c r="BW3" s="31">
        <v>5.8</v>
      </c>
      <c r="BX3" s="31"/>
      <c r="BY3" s="45" t="s">
        <v>50</v>
      </c>
      <c r="BZ3" s="45">
        <v>20</v>
      </c>
      <c r="CA3" s="45">
        <v>22</v>
      </c>
      <c r="CB3" s="45">
        <v>21</v>
      </c>
      <c r="CC3" s="45"/>
      <c r="CD3" s="31" t="s">
        <v>47</v>
      </c>
      <c r="CE3" s="31">
        <v>7.6</v>
      </c>
      <c r="CF3" s="31">
        <v>6.9</v>
      </c>
      <c r="CG3" s="31">
        <v>7.2</v>
      </c>
      <c r="CH3" s="31"/>
      <c r="CI3" s="30" t="s">
        <v>48</v>
      </c>
      <c r="CJ3" s="30">
        <v>30</v>
      </c>
      <c r="CK3" s="30">
        <v>28</v>
      </c>
      <c r="CL3" s="30">
        <v>16</v>
      </c>
      <c r="CM3" s="30"/>
      <c r="CN3" s="31" t="s">
        <v>151</v>
      </c>
      <c r="CO3" s="31" t="s">
        <v>151</v>
      </c>
      <c r="CP3" s="31" t="s">
        <v>151</v>
      </c>
      <c r="CQ3" s="31">
        <v>3.1</v>
      </c>
      <c r="CR3" s="31"/>
      <c r="CS3" s="46" t="s">
        <v>151</v>
      </c>
      <c r="CT3" s="46" t="s">
        <v>151</v>
      </c>
      <c r="CU3" s="46" t="s">
        <v>151</v>
      </c>
      <c r="CV3" s="46" t="s">
        <v>151</v>
      </c>
      <c r="CW3" s="46"/>
      <c r="CX3" s="47" t="s">
        <v>51</v>
      </c>
      <c r="CY3" s="47">
        <v>5.6</v>
      </c>
      <c r="CZ3" s="47">
        <v>5.9</v>
      </c>
      <c r="DA3" s="47">
        <v>5.8</v>
      </c>
      <c r="DB3" s="47"/>
      <c r="DC3" s="31" t="s">
        <v>50</v>
      </c>
      <c r="DD3" s="31">
        <v>20</v>
      </c>
      <c r="DE3" s="31">
        <v>22</v>
      </c>
      <c r="DF3" s="31">
        <v>21</v>
      </c>
      <c r="DG3" s="31"/>
      <c r="DH3" s="9" t="s">
        <v>52</v>
      </c>
      <c r="DI3" s="9">
        <v>7.8</v>
      </c>
      <c r="DJ3" s="9">
        <v>7.6</v>
      </c>
      <c r="DK3" s="9">
        <v>8</v>
      </c>
      <c r="DL3" s="9"/>
      <c r="DM3" s="30" t="s">
        <v>53</v>
      </c>
      <c r="DN3" s="30">
        <v>6.4</v>
      </c>
      <c r="DO3" s="30">
        <v>6.5</v>
      </c>
      <c r="DP3" s="30">
        <v>6.8</v>
      </c>
      <c r="DQ3" s="30"/>
      <c r="DR3" s="31" t="s">
        <v>54</v>
      </c>
      <c r="DS3" s="31">
        <v>3.9</v>
      </c>
      <c r="DT3" s="31">
        <v>3.9</v>
      </c>
      <c r="DU3" s="31">
        <v>3.9</v>
      </c>
      <c r="DV3" s="31"/>
      <c r="DW3" s="9" t="s">
        <v>48</v>
      </c>
      <c r="DX3" s="9">
        <v>30</v>
      </c>
      <c r="DY3" s="9">
        <v>28</v>
      </c>
      <c r="DZ3" s="9">
        <v>26</v>
      </c>
      <c r="EA3" s="9"/>
      <c r="EB3" s="31" t="s">
        <v>55</v>
      </c>
      <c r="EC3" s="31">
        <v>6.8</v>
      </c>
      <c r="ED3" s="31">
        <v>6.5</v>
      </c>
      <c r="EE3" s="31">
        <v>7.2</v>
      </c>
      <c r="EF3" s="31"/>
      <c r="EG3" s="9" t="s">
        <v>56</v>
      </c>
      <c r="EH3" s="9">
        <v>3.7</v>
      </c>
      <c r="EI3" s="9">
        <v>3.4</v>
      </c>
      <c r="EJ3" s="9">
        <v>4.0999999999999996</v>
      </c>
      <c r="EK3" s="9"/>
      <c r="EL3" s="31" t="s">
        <v>151</v>
      </c>
      <c r="EM3" s="31" t="s">
        <v>151</v>
      </c>
      <c r="EN3" s="31" t="s">
        <v>151</v>
      </c>
      <c r="EO3" s="31" t="s">
        <v>151</v>
      </c>
      <c r="EP3" s="31"/>
      <c r="EQ3" s="9" t="s">
        <v>151</v>
      </c>
      <c r="ER3" s="9" t="s">
        <v>151</v>
      </c>
      <c r="ES3" s="9" t="s">
        <v>151</v>
      </c>
      <c r="ET3" s="9" t="s">
        <v>151</v>
      </c>
      <c r="EU3" s="9"/>
      <c r="EV3" s="31" t="s">
        <v>151</v>
      </c>
      <c r="EW3" s="31" t="s">
        <v>151</v>
      </c>
      <c r="EX3" s="31" t="s">
        <v>151</v>
      </c>
      <c r="EY3" s="31" t="s">
        <v>151</v>
      </c>
      <c r="EZ3" s="31"/>
      <c r="FA3" s="9" t="s">
        <v>151</v>
      </c>
      <c r="FB3" s="9" t="s">
        <v>151</v>
      </c>
      <c r="FC3" s="9" t="s">
        <v>151</v>
      </c>
      <c r="FD3" s="9" t="s">
        <v>151</v>
      </c>
      <c r="FE3" s="9"/>
      <c r="FF3" s="48" t="s">
        <v>47</v>
      </c>
      <c r="FG3" s="48">
        <v>7.6</v>
      </c>
      <c r="FH3" s="48">
        <v>6.9</v>
      </c>
      <c r="FI3" s="48">
        <v>7.2</v>
      </c>
      <c r="FJ3" s="48"/>
      <c r="FK3" s="31" t="s">
        <v>48</v>
      </c>
      <c r="FL3" s="31">
        <v>30</v>
      </c>
      <c r="FM3" s="31">
        <v>28</v>
      </c>
      <c r="FN3" s="31">
        <v>16</v>
      </c>
      <c r="FO3" s="31"/>
      <c r="FP3" s="49" t="s">
        <v>58</v>
      </c>
      <c r="FQ3" s="49">
        <v>5.4</v>
      </c>
      <c r="FR3" s="49">
        <v>5.6</v>
      </c>
      <c r="FS3" s="49">
        <v>5.5</v>
      </c>
      <c r="FT3" s="49"/>
      <c r="FU3" s="7" t="s">
        <v>54</v>
      </c>
      <c r="FV3" s="7">
        <v>6</v>
      </c>
      <c r="FW3" s="7">
        <v>5.5</v>
      </c>
      <c r="FX3" s="7">
        <v>5.7</v>
      </c>
      <c r="FY3" s="7"/>
    </row>
    <row r="4" spans="1:181" x14ac:dyDescent="0.3">
      <c r="A4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s="6">
        <v>3564</v>
      </c>
      <c r="H4" s="6">
        <v>4577</v>
      </c>
      <c r="I4" s="6">
        <v>5709</v>
      </c>
      <c r="J4" s="6">
        <v>6075</v>
      </c>
      <c r="K4" s="6">
        <v>12040</v>
      </c>
      <c r="L4" s="18" t="s">
        <v>151</v>
      </c>
      <c r="M4" s="18" t="s">
        <v>151</v>
      </c>
      <c r="N4" s="18" t="s">
        <v>151</v>
      </c>
      <c r="O4" s="18" t="s">
        <v>151</v>
      </c>
      <c r="P4" s="18" t="s">
        <v>151</v>
      </c>
      <c r="Q4" s="7" t="s">
        <v>151</v>
      </c>
      <c r="R4" s="7" t="s">
        <v>151</v>
      </c>
      <c r="S4" s="7" t="s">
        <v>151</v>
      </c>
      <c r="T4" s="7" t="s">
        <v>151</v>
      </c>
      <c r="U4" s="7" t="s">
        <v>151</v>
      </c>
      <c r="V4" s="8">
        <f>6177393*1000</f>
        <v>6177393000</v>
      </c>
      <c r="W4" s="8">
        <f>7176154*1000</f>
        <v>7176154000</v>
      </c>
      <c r="X4" s="8">
        <f>7598156*1000</f>
        <v>7598156000</v>
      </c>
      <c r="Y4" s="8">
        <f>7414131*1000</f>
        <v>7414131000</v>
      </c>
      <c r="Z4" s="8">
        <f>12557344*1000</f>
        <v>12557344000</v>
      </c>
      <c r="AA4" s="19">
        <f>3311353*1000</f>
        <v>3311353000</v>
      </c>
      <c r="AB4" s="19">
        <f>4099259*1000</f>
        <v>4099259000</v>
      </c>
      <c r="AC4" s="19">
        <f>4638279*1000</f>
        <v>4638279000</v>
      </c>
      <c r="AD4" s="19">
        <f>4480206*1000</f>
        <v>4480206000</v>
      </c>
      <c r="AE4" s="19">
        <f>10927103*1000</f>
        <v>10927103000</v>
      </c>
      <c r="AF4" s="9" t="s">
        <v>169</v>
      </c>
      <c r="AG4" s="9" t="s">
        <v>169</v>
      </c>
      <c r="AH4" s="9" t="s">
        <v>169</v>
      </c>
      <c r="AI4" s="9" t="s">
        <v>169</v>
      </c>
      <c r="AJ4" s="9" t="s">
        <v>169</v>
      </c>
      <c r="AK4" s="40" t="s">
        <v>65</v>
      </c>
      <c r="AL4" s="40" t="s">
        <v>65</v>
      </c>
      <c r="AM4" s="40" t="s">
        <v>65</v>
      </c>
      <c r="AN4" s="40" t="s">
        <v>171</v>
      </c>
      <c r="AP4" s="41" t="s">
        <v>66</v>
      </c>
      <c r="AQ4" s="41">
        <v>6.1</v>
      </c>
      <c r="AR4" s="41">
        <v>6.2</v>
      </c>
      <c r="AS4" s="41">
        <v>6.7</v>
      </c>
      <c r="AU4" s="20" t="s">
        <v>67</v>
      </c>
      <c r="AV4" s="20">
        <v>22</v>
      </c>
      <c r="AW4" s="20">
        <v>24</v>
      </c>
      <c r="AX4" s="20">
        <v>19</v>
      </c>
      <c r="AZ4" s="42" t="s">
        <v>68</v>
      </c>
      <c r="BA4" s="42">
        <v>4.2</v>
      </c>
      <c r="BB4" s="42">
        <v>4.2</v>
      </c>
      <c r="BC4" s="42">
        <v>7.2</v>
      </c>
      <c r="BE4" s="20" t="s">
        <v>69</v>
      </c>
      <c r="BF4" s="20">
        <v>28</v>
      </c>
      <c r="BG4" s="20">
        <v>24</v>
      </c>
      <c r="BH4" s="20">
        <v>37</v>
      </c>
      <c r="BJ4" s="43" t="s">
        <v>70</v>
      </c>
      <c r="BK4" s="43">
        <v>2.1</v>
      </c>
      <c r="BL4" s="43">
        <v>2.7</v>
      </c>
      <c r="BM4" s="43">
        <v>5.2</v>
      </c>
      <c r="BO4" s="44" t="s">
        <v>46</v>
      </c>
      <c r="BP4" s="44">
        <v>50</v>
      </c>
      <c r="BQ4" s="44">
        <v>52</v>
      </c>
      <c r="BR4" s="44">
        <v>44</v>
      </c>
      <c r="BT4" s="20" t="s">
        <v>71</v>
      </c>
      <c r="BU4" s="20">
        <v>8.6</v>
      </c>
      <c r="BV4" s="20">
        <v>8.6</v>
      </c>
      <c r="BW4" s="20">
        <v>10</v>
      </c>
      <c r="BY4" s="45" t="s">
        <v>57</v>
      </c>
      <c r="BZ4" s="45" t="s">
        <v>151</v>
      </c>
      <c r="CA4" s="45">
        <v>0</v>
      </c>
      <c r="CB4" s="45">
        <v>0</v>
      </c>
      <c r="CD4" s="20" t="s">
        <v>68</v>
      </c>
      <c r="CE4" s="20">
        <v>4.2</v>
      </c>
      <c r="CF4" s="20">
        <v>4.2</v>
      </c>
      <c r="CG4" s="20">
        <v>5.8</v>
      </c>
      <c r="CI4" s="30" t="s">
        <v>69</v>
      </c>
      <c r="CJ4" s="30">
        <v>28</v>
      </c>
      <c r="CK4" s="30">
        <v>24</v>
      </c>
      <c r="CL4" s="30">
        <v>19</v>
      </c>
      <c r="CN4" s="20" t="s">
        <v>72</v>
      </c>
      <c r="CO4" s="20">
        <v>1.4</v>
      </c>
      <c r="CP4" s="20">
        <v>1.6</v>
      </c>
      <c r="CQ4" s="20">
        <v>6.3</v>
      </c>
      <c r="CS4" s="46" t="s">
        <v>69</v>
      </c>
      <c r="CT4" s="46">
        <v>28</v>
      </c>
      <c r="CU4" s="46">
        <v>28</v>
      </c>
      <c r="CV4" s="46" t="s">
        <v>151</v>
      </c>
      <c r="CX4" s="47" t="s">
        <v>71</v>
      </c>
      <c r="CY4" s="47">
        <v>8.6</v>
      </c>
      <c r="CZ4" s="47">
        <v>8.6</v>
      </c>
      <c r="DA4" s="47">
        <v>9.6999999999999993</v>
      </c>
      <c r="DC4" s="20" t="s">
        <v>57</v>
      </c>
      <c r="DD4" s="20" t="s">
        <v>151</v>
      </c>
      <c r="DE4" s="20">
        <v>0</v>
      </c>
      <c r="DF4" s="20">
        <v>0</v>
      </c>
      <c r="DH4" s="9" t="s">
        <v>73</v>
      </c>
      <c r="DI4" s="9">
        <v>2.4</v>
      </c>
      <c r="DJ4" s="9">
        <v>2.4</v>
      </c>
      <c r="DK4" s="9">
        <v>2</v>
      </c>
      <c r="DM4" s="30" t="s">
        <v>74</v>
      </c>
      <c r="DN4" s="30">
        <v>4</v>
      </c>
      <c r="DO4" s="30">
        <v>4</v>
      </c>
      <c r="DP4" s="30">
        <v>4.7</v>
      </c>
      <c r="DS4" s="20" t="s">
        <v>151</v>
      </c>
      <c r="DT4" s="20" t="s">
        <v>151</v>
      </c>
      <c r="DU4" s="20" t="s">
        <v>151</v>
      </c>
      <c r="DW4" s="9" t="s">
        <v>57</v>
      </c>
      <c r="DX4" s="9" t="s">
        <v>151</v>
      </c>
      <c r="DY4" s="9">
        <v>0</v>
      </c>
      <c r="DZ4" s="9">
        <v>0</v>
      </c>
      <c r="EC4" s="20">
        <v>5.4</v>
      </c>
      <c r="ED4" s="20">
        <v>5.3</v>
      </c>
      <c r="EE4" s="20">
        <v>4.5</v>
      </c>
      <c r="EH4" s="9" t="s">
        <v>151</v>
      </c>
      <c r="EI4" s="9" t="s">
        <v>151</v>
      </c>
      <c r="EJ4" s="9" t="s">
        <v>151</v>
      </c>
      <c r="EM4" s="20" t="s">
        <v>151</v>
      </c>
      <c r="EN4" s="20" t="s">
        <v>151</v>
      </c>
      <c r="EO4" s="20" t="s">
        <v>151</v>
      </c>
      <c r="EQ4" s="9" t="s">
        <v>57</v>
      </c>
      <c r="ER4" s="9" t="s">
        <v>151</v>
      </c>
      <c r="ES4" s="9" t="s">
        <v>151</v>
      </c>
      <c r="ET4" s="9">
        <v>0</v>
      </c>
      <c r="EW4" s="20" t="s">
        <v>151</v>
      </c>
      <c r="EX4" s="20" t="s">
        <v>151</v>
      </c>
      <c r="EY4" s="20" t="s">
        <v>151</v>
      </c>
      <c r="FB4" s="9" t="s">
        <v>151</v>
      </c>
      <c r="FC4" s="9" t="s">
        <v>151</v>
      </c>
      <c r="FD4" s="9" t="s">
        <v>151</v>
      </c>
      <c r="FF4" s="48" t="s">
        <v>68</v>
      </c>
      <c r="FG4" s="48">
        <v>4.2</v>
      </c>
      <c r="FH4" s="48">
        <v>4.2</v>
      </c>
      <c r="FI4" s="48">
        <v>5.8</v>
      </c>
      <c r="FK4" s="20" t="s">
        <v>69</v>
      </c>
      <c r="FL4" s="20">
        <v>28</v>
      </c>
      <c r="FM4" s="20">
        <v>24</v>
      </c>
      <c r="FN4" s="20">
        <v>19</v>
      </c>
      <c r="FP4" s="49" t="s">
        <v>77</v>
      </c>
      <c r="FQ4" s="49">
        <v>5.8</v>
      </c>
      <c r="FR4" s="49">
        <v>5.9</v>
      </c>
      <c r="FS4" s="49">
        <v>4.0999999999999996</v>
      </c>
      <c r="FU4" s="7" t="s">
        <v>78</v>
      </c>
      <c r="FV4" s="7">
        <v>3</v>
      </c>
      <c r="FW4" s="7">
        <v>3.1</v>
      </c>
      <c r="FX4" s="7">
        <v>2.9</v>
      </c>
    </row>
    <row r="5" spans="1:181" s="10" customFormat="1" x14ac:dyDescent="0.3">
      <c r="A5" s="10" t="s">
        <v>79</v>
      </c>
      <c r="B5" s="10" t="s">
        <v>80</v>
      </c>
      <c r="C5" s="10" t="s">
        <v>81</v>
      </c>
      <c r="D5" s="10" t="s">
        <v>82</v>
      </c>
      <c r="E5" s="10" t="s">
        <v>83</v>
      </c>
      <c r="F5" s="10" t="s">
        <v>64</v>
      </c>
      <c r="L5" s="18"/>
      <c r="M5" s="18"/>
      <c r="N5" s="18"/>
      <c r="O5" s="18"/>
      <c r="P5" s="18"/>
      <c r="Q5" s="11"/>
      <c r="R5" s="11"/>
      <c r="S5" s="11"/>
      <c r="T5" s="11"/>
      <c r="U5" s="11"/>
      <c r="V5" s="10">
        <f>1835278*1000</f>
        <v>1835278000</v>
      </c>
      <c r="W5" s="10">
        <f>1972947*1000</f>
        <v>1972947000</v>
      </c>
      <c r="X5" s="10">
        <f>2610019*1000</f>
        <v>2610019000</v>
      </c>
      <c r="Y5" s="10">
        <v>2591123000</v>
      </c>
      <c r="Z5" s="10">
        <f>2801895*1000</f>
        <v>2801895000</v>
      </c>
      <c r="AA5" s="19">
        <f>(993788+239131)*1000</f>
        <v>1232919000</v>
      </c>
      <c r="AB5" s="19">
        <f>(1114657+243449)*1000</f>
        <v>1358106000</v>
      </c>
      <c r="AC5" s="19">
        <f>(17498123+281344)*1000</f>
        <v>17779467000</v>
      </c>
      <c r="AD5" s="19">
        <f>(1724714+299406)*1000</f>
        <v>2024120000</v>
      </c>
      <c r="AE5" s="19">
        <f>(1730188+366480)*1000</f>
        <v>2096668000</v>
      </c>
      <c r="AF5" s="11"/>
      <c r="AG5" s="11"/>
      <c r="AH5" s="11"/>
      <c r="AI5" s="11"/>
      <c r="AJ5" s="11"/>
      <c r="AK5" s="40" t="s">
        <v>84</v>
      </c>
      <c r="AL5" s="40" t="s">
        <v>84</v>
      </c>
      <c r="AM5" s="40" t="s">
        <v>171</v>
      </c>
      <c r="AN5" s="40"/>
      <c r="AO5" s="40"/>
      <c r="AP5" s="41" t="s">
        <v>85</v>
      </c>
      <c r="AQ5" s="41">
        <v>6.3</v>
      </c>
      <c r="AR5" s="41">
        <v>7.3</v>
      </c>
      <c r="AS5" s="41"/>
      <c r="AT5" s="41"/>
      <c r="AU5" s="11" t="s">
        <v>86</v>
      </c>
      <c r="AV5" s="11">
        <v>25</v>
      </c>
      <c r="AW5" s="11">
        <v>22</v>
      </c>
      <c r="AX5" s="11"/>
      <c r="AY5" s="11"/>
      <c r="AZ5" s="42" t="s">
        <v>87</v>
      </c>
      <c r="BA5" s="42">
        <v>3.1</v>
      </c>
      <c r="BB5" s="42"/>
      <c r="BC5" s="42">
        <v>4.0999999999999996</v>
      </c>
      <c r="BD5" s="42"/>
      <c r="BE5" s="11" t="s">
        <v>48</v>
      </c>
      <c r="BF5" s="11">
        <v>30</v>
      </c>
      <c r="BG5" s="11">
        <v>28</v>
      </c>
      <c r="BH5" s="11"/>
      <c r="BI5" s="11"/>
      <c r="BJ5" s="43" t="s">
        <v>88</v>
      </c>
      <c r="BK5" s="43">
        <v>4.5999999999999996</v>
      </c>
      <c r="BL5" s="43">
        <v>4.8</v>
      </c>
      <c r="BM5" s="43"/>
      <c r="BN5" s="43"/>
      <c r="BO5" s="44" t="s">
        <v>89</v>
      </c>
      <c r="BP5" s="44">
        <v>45</v>
      </c>
      <c r="BQ5" s="44">
        <v>50</v>
      </c>
      <c r="BR5" s="44"/>
      <c r="BS5" s="44"/>
      <c r="BT5" s="11" t="s">
        <v>66</v>
      </c>
      <c r="BU5" s="11">
        <v>7.4</v>
      </c>
      <c r="BV5" s="11">
        <v>7.4</v>
      </c>
      <c r="BW5" s="11"/>
      <c r="BX5" s="11"/>
      <c r="BY5" s="45"/>
      <c r="BZ5" s="45" t="s">
        <v>151</v>
      </c>
      <c r="CA5" s="45">
        <v>0</v>
      </c>
      <c r="CB5" s="45"/>
      <c r="CC5" s="45"/>
      <c r="CD5" s="11" t="s">
        <v>87</v>
      </c>
      <c r="CE5" s="11">
        <v>3.1</v>
      </c>
      <c r="CF5" s="11">
        <v>4.0999999999999996</v>
      </c>
      <c r="CG5" s="11"/>
      <c r="CH5" s="11"/>
      <c r="CI5" s="30" t="s">
        <v>48</v>
      </c>
      <c r="CJ5" s="30">
        <v>30</v>
      </c>
      <c r="CK5" s="30">
        <v>28</v>
      </c>
      <c r="CL5" s="30"/>
      <c r="CM5" s="30"/>
      <c r="CN5" s="11" t="s">
        <v>90</v>
      </c>
      <c r="CO5" s="11">
        <v>2.4</v>
      </c>
      <c r="CP5" s="11">
        <v>2.8</v>
      </c>
      <c r="CQ5" s="11"/>
      <c r="CR5" s="11"/>
      <c r="CS5" s="46" t="s">
        <v>86</v>
      </c>
      <c r="CT5" s="46">
        <v>25</v>
      </c>
      <c r="CU5" s="46">
        <v>28</v>
      </c>
      <c r="CV5" s="46"/>
      <c r="CW5" s="46"/>
      <c r="CX5" s="47" t="s">
        <v>66</v>
      </c>
      <c r="CY5" s="47">
        <v>7.4</v>
      </c>
      <c r="CZ5" s="47">
        <v>7.4</v>
      </c>
      <c r="DA5" s="47"/>
      <c r="DB5" s="47"/>
      <c r="DC5" s="11" t="s">
        <v>57</v>
      </c>
      <c r="DD5" s="11" t="s">
        <v>151</v>
      </c>
      <c r="DE5" s="11">
        <v>0</v>
      </c>
      <c r="DF5" s="11"/>
      <c r="DG5" s="11"/>
      <c r="DH5" s="9" t="s">
        <v>91</v>
      </c>
      <c r="DI5" s="9">
        <v>6</v>
      </c>
      <c r="DJ5" s="9">
        <v>6</v>
      </c>
      <c r="DK5" s="9"/>
      <c r="DL5" s="9"/>
      <c r="DM5" s="30" t="s">
        <v>92</v>
      </c>
      <c r="DN5" s="30">
        <v>6.3</v>
      </c>
      <c r="DO5" s="30">
        <v>6.3</v>
      </c>
      <c r="DP5" s="30"/>
      <c r="DQ5" s="30"/>
      <c r="DR5" s="11" t="s">
        <v>85</v>
      </c>
      <c r="DS5" s="11">
        <v>6.3</v>
      </c>
      <c r="DT5" s="11" t="s">
        <v>151</v>
      </c>
      <c r="DU5" s="11"/>
      <c r="DV5" s="11"/>
      <c r="DW5" s="9" t="s">
        <v>86</v>
      </c>
      <c r="DX5" s="9">
        <v>25</v>
      </c>
      <c r="DY5" s="9">
        <v>0</v>
      </c>
      <c r="DZ5" s="9"/>
      <c r="EA5" s="9"/>
      <c r="EB5" s="11" t="s">
        <v>93</v>
      </c>
      <c r="EC5" s="11">
        <v>5.5</v>
      </c>
      <c r="ED5" s="11">
        <v>5.5</v>
      </c>
      <c r="EE5" s="11"/>
      <c r="EF5" s="11"/>
      <c r="EG5" s="9" t="s">
        <v>88</v>
      </c>
      <c r="EH5" s="9">
        <v>4.8</v>
      </c>
      <c r="EI5" s="9" t="s">
        <v>151</v>
      </c>
      <c r="EJ5" s="9"/>
      <c r="EK5" s="9"/>
      <c r="EL5" s="11"/>
      <c r="EM5" s="11" t="s">
        <v>151</v>
      </c>
      <c r="EN5" s="11" t="s">
        <v>151</v>
      </c>
      <c r="EO5" s="11"/>
      <c r="EP5" s="11"/>
      <c r="EQ5" s="9" t="s">
        <v>57</v>
      </c>
      <c r="ER5" s="9" t="s">
        <v>151</v>
      </c>
      <c r="ES5" s="9">
        <v>0</v>
      </c>
      <c r="ET5" s="9"/>
      <c r="EU5" s="9"/>
      <c r="EV5" s="11"/>
      <c r="EW5" s="11" t="s">
        <v>151</v>
      </c>
      <c r="EX5" s="11" t="s">
        <v>151</v>
      </c>
      <c r="EY5" s="11"/>
      <c r="EZ5" s="11"/>
      <c r="FA5" s="9"/>
      <c r="FB5" s="9" t="s">
        <v>151</v>
      </c>
      <c r="FC5" s="9" t="s">
        <v>151</v>
      </c>
      <c r="FD5" s="9"/>
      <c r="FE5" s="9"/>
      <c r="FF5" s="48" t="s">
        <v>87</v>
      </c>
      <c r="FG5" s="48">
        <v>3.1</v>
      </c>
      <c r="FH5" s="48">
        <v>4.0999999999999996</v>
      </c>
      <c r="FI5" s="48"/>
      <c r="FJ5" s="48"/>
      <c r="FK5" s="11" t="s">
        <v>48</v>
      </c>
      <c r="FL5" s="11">
        <v>30</v>
      </c>
      <c r="FM5" s="11">
        <v>28</v>
      </c>
      <c r="FN5" s="11"/>
      <c r="FO5" s="11"/>
      <c r="FP5" s="49" t="s">
        <v>53</v>
      </c>
      <c r="FQ5" s="49">
        <v>6.2</v>
      </c>
      <c r="FR5" s="49">
        <v>6.2</v>
      </c>
      <c r="FS5" s="49"/>
      <c r="FT5" s="49"/>
      <c r="FU5" s="7" t="s">
        <v>94</v>
      </c>
      <c r="FV5" s="7">
        <v>2.2999999999999998</v>
      </c>
      <c r="FW5" s="7">
        <v>3.3</v>
      </c>
      <c r="FX5" s="7"/>
      <c r="FY5" s="7"/>
    </row>
    <row r="6" spans="1:181" s="10" customFormat="1" x14ac:dyDescent="0.3">
      <c r="A6" s="10" t="s">
        <v>95</v>
      </c>
      <c r="B6" s="10" t="s">
        <v>96</v>
      </c>
      <c r="C6" s="10" t="s">
        <v>97</v>
      </c>
      <c r="D6" s="10" t="s">
        <v>98</v>
      </c>
      <c r="E6" s="10" t="s">
        <v>63</v>
      </c>
      <c r="F6" s="10" t="s">
        <v>64</v>
      </c>
      <c r="G6" s="10">
        <v>2334</v>
      </c>
      <c r="H6" s="10">
        <v>2631</v>
      </c>
      <c r="L6" s="18" t="s">
        <v>151</v>
      </c>
      <c r="M6" s="18" t="s">
        <v>151</v>
      </c>
      <c r="N6" s="18"/>
      <c r="O6" s="18"/>
      <c r="P6" s="18"/>
      <c r="Q6" s="11" t="s">
        <v>151</v>
      </c>
      <c r="R6" s="11" t="s">
        <v>151</v>
      </c>
      <c r="S6" s="11"/>
      <c r="T6" s="11"/>
      <c r="U6" s="11"/>
      <c r="V6" s="10">
        <f>5246017*1000</f>
        <v>5246017000</v>
      </c>
      <c r="W6" s="10">
        <f>6072887*1000</f>
        <v>6072887000</v>
      </c>
      <c r="AA6" s="10">
        <f>2912993*1000</f>
        <v>2912993000</v>
      </c>
      <c r="AB6" s="10">
        <f>348940*1000</f>
        <v>348940000</v>
      </c>
      <c r="AF6" s="11"/>
      <c r="AG6" s="11"/>
      <c r="AH6" s="11" t="s">
        <v>170</v>
      </c>
      <c r="AI6" s="11"/>
      <c r="AJ6" s="11"/>
      <c r="AK6" s="40" t="s">
        <v>84</v>
      </c>
      <c r="AL6" s="40"/>
      <c r="AM6" s="40" t="s">
        <v>84</v>
      </c>
      <c r="AN6" s="40" t="s">
        <v>84</v>
      </c>
      <c r="AO6" s="40"/>
      <c r="AP6" s="41" t="s">
        <v>53</v>
      </c>
      <c r="AQ6" s="41"/>
      <c r="AR6" s="41">
        <v>5.5</v>
      </c>
      <c r="AS6" s="41">
        <v>5.5</v>
      </c>
      <c r="AT6" s="41"/>
      <c r="AU6" s="11" t="s">
        <v>67</v>
      </c>
      <c r="AV6" s="11"/>
      <c r="AW6" s="11">
        <v>24</v>
      </c>
      <c r="AX6" s="11">
        <v>21</v>
      </c>
      <c r="AY6" s="11"/>
      <c r="AZ6" s="42" t="s">
        <v>99</v>
      </c>
      <c r="BA6" s="42"/>
      <c r="BB6" s="42">
        <v>5.9</v>
      </c>
      <c r="BC6" s="42">
        <v>6.1</v>
      </c>
      <c r="BD6" s="42"/>
      <c r="BE6" s="11" t="s">
        <v>69</v>
      </c>
      <c r="BF6" s="11"/>
      <c r="BG6" s="11">
        <v>24</v>
      </c>
      <c r="BH6" s="11">
        <v>21</v>
      </c>
      <c r="BI6" s="11"/>
      <c r="BJ6" s="43" t="s">
        <v>70</v>
      </c>
      <c r="BK6" s="43"/>
      <c r="BL6" s="43">
        <v>3.3</v>
      </c>
      <c r="BM6" s="43">
        <v>4</v>
      </c>
      <c r="BN6" s="43"/>
      <c r="BO6" s="44" t="s">
        <v>46</v>
      </c>
      <c r="BP6" s="44"/>
      <c r="BQ6" s="44">
        <v>52</v>
      </c>
      <c r="BR6" s="44">
        <v>58</v>
      </c>
      <c r="BS6" s="44"/>
      <c r="BT6" s="11" t="s">
        <v>49</v>
      </c>
      <c r="BU6" s="11"/>
      <c r="BV6" s="11">
        <v>8.1</v>
      </c>
      <c r="BW6" s="11">
        <v>8.9</v>
      </c>
      <c r="BX6" s="11"/>
      <c r="BY6" s="45"/>
      <c r="BZ6" s="45"/>
      <c r="CA6" s="45">
        <v>0</v>
      </c>
      <c r="CB6" s="45">
        <v>0</v>
      </c>
      <c r="CC6" s="45"/>
      <c r="CD6" s="11" t="s">
        <v>99</v>
      </c>
      <c r="CE6" s="11"/>
      <c r="CF6" s="11">
        <v>5.9</v>
      </c>
      <c r="CG6" s="11">
        <v>6.1</v>
      </c>
      <c r="CH6" s="11"/>
      <c r="CI6" s="30" t="s">
        <v>69</v>
      </c>
      <c r="CJ6" s="30"/>
      <c r="CK6" s="30">
        <v>24</v>
      </c>
      <c r="CL6" s="30">
        <v>21</v>
      </c>
      <c r="CM6" s="30"/>
      <c r="CN6" s="11" t="s">
        <v>100</v>
      </c>
      <c r="CO6" s="11"/>
      <c r="CP6" s="11">
        <v>1.9</v>
      </c>
      <c r="CQ6" s="11">
        <v>3.6</v>
      </c>
      <c r="CR6" s="11"/>
      <c r="CS6" s="46" t="s">
        <v>69</v>
      </c>
      <c r="CT6" s="46"/>
      <c r="CU6" s="46">
        <v>28</v>
      </c>
      <c r="CV6" s="46">
        <v>29</v>
      </c>
      <c r="CW6" s="46"/>
      <c r="CX6" s="47" t="s">
        <v>49</v>
      </c>
      <c r="CY6" s="47"/>
      <c r="CZ6" s="47">
        <v>8.1</v>
      </c>
      <c r="DA6" s="47">
        <v>8.9</v>
      </c>
      <c r="DB6" s="47"/>
      <c r="DC6" s="11" t="s">
        <v>57</v>
      </c>
      <c r="DD6" s="11"/>
      <c r="DE6" s="11">
        <v>0</v>
      </c>
      <c r="DF6" s="11">
        <v>0</v>
      </c>
      <c r="DG6" s="11"/>
      <c r="DH6" s="9" t="s">
        <v>101</v>
      </c>
      <c r="DI6" s="9"/>
      <c r="DJ6" s="9">
        <v>2.1</v>
      </c>
      <c r="DK6" s="9">
        <v>2.1</v>
      </c>
      <c r="DL6" s="9"/>
      <c r="DM6" s="30" t="s">
        <v>74</v>
      </c>
      <c r="DN6" s="30"/>
      <c r="DO6" s="30">
        <v>3.3</v>
      </c>
      <c r="DP6" s="30">
        <v>4</v>
      </c>
      <c r="DQ6" s="30"/>
      <c r="DR6" s="11"/>
      <c r="DS6" s="11"/>
      <c r="DT6" s="11" t="s">
        <v>151</v>
      </c>
      <c r="DU6" s="11" t="s">
        <v>151</v>
      </c>
      <c r="DV6" s="11"/>
      <c r="DW6" s="9" t="s">
        <v>57</v>
      </c>
      <c r="DX6" s="9"/>
      <c r="DY6" s="9">
        <v>0</v>
      </c>
      <c r="DZ6" s="9">
        <v>0</v>
      </c>
      <c r="EA6" s="9"/>
      <c r="EB6" s="11"/>
      <c r="EC6" s="11"/>
      <c r="ED6" s="11">
        <v>6.6</v>
      </c>
      <c r="EE6" s="11">
        <v>6.6</v>
      </c>
      <c r="EF6" s="11"/>
      <c r="EG6" s="9"/>
      <c r="EH6" s="9"/>
      <c r="EI6" s="9" t="s">
        <v>151</v>
      </c>
      <c r="EJ6" s="9" t="s">
        <v>151</v>
      </c>
      <c r="EK6" s="9"/>
      <c r="EL6" s="11"/>
      <c r="EM6" s="11"/>
      <c r="EN6" s="11" t="s">
        <v>151</v>
      </c>
      <c r="EO6" s="11" t="s">
        <v>151</v>
      </c>
      <c r="EP6" s="11"/>
      <c r="EQ6" s="9" t="s">
        <v>57</v>
      </c>
      <c r="ER6" s="9"/>
      <c r="ES6" s="9">
        <v>0</v>
      </c>
      <c r="ET6" s="9">
        <v>0</v>
      </c>
      <c r="EU6" s="9"/>
      <c r="EV6" s="11"/>
      <c r="EW6" s="11"/>
      <c r="EX6" s="11" t="s">
        <v>151</v>
      </c>
      <c r="EY6" s="11" t="s">
        <v>151</v>
      </c>
      <c r="EZ6" s="11"/>
      <c r="FA6" s="9"/>
      <c r="FB6" s="9"/>
      <c r="FC6" s="9" t="s">
        <v>151</v>
      </c>
      <c r="FD6" s="9" t="s">
        <v>151</v>
      </c>
      <c r="FE6" s="9"/>
      <c r="FF6" s="48" t="s">
        <v>99</v>
      </c>
      <c r="FG6" s="48">
        <v>5.9</v>
      </c>
      <c r="FH6" s="48">
        <v>6.1</v>
      </c>
      <c r="FI6" s="48"/>
      <c r="FJ6" s="48"/>
      <c r="FK6" s="11" t="s">
        <v>69</v>
      </c>
      <c r="FL6" s="11"/>
      <c r="FM6" s="11">
        <v>24</v>
      </c>
      <c r="FN6" s="11">
        <v>21</v>
      </c>
      <c r="FO6" s="11"/>
      <c r="FP6" s="49" t="s">
        <v>56</v>
      </c>
      <c r="FQ6" s="49"/>
      <c r="FR6" s="49">
        <v>4.8</v>
      </c>
      <c r="FS6" s="49">
        <v>4.8</v>
      </c>
      <c r="FT6" s="49"/>
      <c r="FU6" s="7" t="s">
        <v>103</v>
      </c>
      <c r="FV6" s="7"/>
      <c r="FW6" s="7">
        <v>3.7</v>
      </c>
      <c r="FX6" s="7">
        <v>3.9</v>
      </c>
      <c r="FY6" s="7"/>
    </row>
    <row r="7" spans="1:181" x14ac:dyDescent="0.3">
      <c r="A7" s="12" t="s">
        <v>104</v>
      </c>
      <c r="B7" t="s">
        <v>105</v>
      </c>
      <c r="D7" t="s">
        <v>106</v>
      </c>
      <c r="E7" t="s">
        <v>41</v>
      </c>
      <c r="F7" t="s">
        <v>64</v>
      </c>
      <c r="G7" s="6">
        <v>2573</v>
      </c>
      <c r="H7" s="6">
        <v>2632</v>
      </c>
      <c r="I7" s="6">
        <v>2539</v>
      </c>
      <c r="J7" s="6">
        <v>2444</v>
      </c>
      <c r="K7" s="6">
        <v>1852</v>
      </c>
      <c r="L7" s="18">
        <v>27726</v>
      </c>
      <c r="M7" s="18">
        <v>386573</v>
      </c>
      <c r="N7" s="18">
        <v>374895</v>
      </c>
      <c r="O7" s="18">
        <v>148535</v>
      </c>
      <c r="P7" s="18">
        <v>165650</v>
      </c>
      <c r="Q7" s="7" t="s">
        <v>151</v>
      </c>
      <c r="R7" s="7" t="s">
        <v>151</v>
      </c>
      <c r="S7" s="7" t="s">
        <v>151</v>
      </c>
      <c r="T7" s="7" t="s">
        <v>151</v>
      </c>
      <c r="U7" s="7" t="s">
        <v>151</v>
      </c>
      <c r="V7" s="8">
        <f>11590.1*1000000</f>
        <v>11590100000</v>
      </c>
      <c r="W7" s="8">
        <f>12968.1*1000000</f>
        <v>12968100000</v>
      </c>
      <c r="X7" s="8">
        <f>14146.8*1000000</f>
        <v>14146800000</v>
      </c>
      <c r="Y7" s="8">
        <f>14278.2*1000000</f>
        <v>14278200000</v>
      </c>
      <c r="Z7" s="8">
        <f>15368.2*1000000</f>
        <v>15368200000</v>
      </c>
      <c r="AA7" s="19">
        <f>8437.7*1000000</f>
        <v>8437700000.000001</v>
      </c>
      <c r="AB7" s="19">
        <f>9881.8*1000000</f>
        <v>9881800000</v>
      </c>
      <c r="AC7" s="19">
        <f>10888.2*1000000</f>
        <v>10888200000</v>
      </c>
      <c r="AD7" s="19">
        <f>11619.2*1000000</f>
        <v>11619200000</v>
      </c>
      <c r="AE7" s="19">
        <f>12170.4*1000000</f>
        <v>12170400000</v>
      </c>
      <c r="AF7" s="9" t="s">
        <v>169</v>
      </c>
      <c r="AG7" s="9" t="s">
        <v>169</v>
      </c>
      <c r="AH7" s="9" t="s">
        <v>169</v>
      </c>
      <c r="AI7" s="9" t="s">
        <v>169</v>
      </c>
      <c r="AJ7" s="9" t="s">
        <v>169</v>
      </c>
      <c r="AK7" s="40" t="s">
        <v>43</v>
      </c>
      <c r="AP7" s="41" t="s">
        <v>107</v>
      </c>
      <c r="AU7" s="20" t="s">
        <v>67</v>
      </c>
      <c r="AZ7" s="42" t="s">
        <v>108</v>
      </c>
      <c r="BE7" s="20" t="s">
        <v>69</v>
      </c>
      <c r="BJ7" s="43" t="s">
        <v>45</v>
      </c>
      <c r="BO7" s="44" t="s">
        <v>46</v>
      </c>
      <c r="BT7" s="20" t="s">
        <v>66</v>
      </c>
      <c r="BY7" s="45" t="s">
        <v>57</v>
      </c>
      <c r="CD7" s="20" t="s">
        <v>108</v>
      </c>
      <c r="CI7" s="30" t="s">
        <v>69</v>
      </c>
      <c r="CN7" s="20" t="s">
        <v>109</v>
      </c>
      <c r="CS7" s="46" t="s">
        <v>69</v>
      </c>
      <c r="CX7" s="47" t="s">
        <v>66</v>
      </c>
      <c r="DC7" s="20" t="s">
        <v>57</v>
      </c>
      <c r="DH7" s="9" t="s">
        <v>93</v>
      </c>
      <c r="DM7" s="30" t="s">
        <v>110</v>
      </c>
      <c r="DR7" s="20" t="s">
        <v>111</v>
      </c>
      <c r="DW7" s="9" t="s">
        <v>57</v>
      </c>
      <c r="EB7" s="20" t="s">
        <v>112</v>
      </c>
      <c r="EG7" s="9" t="s">
        <v>110</v>
      </c>
      <c r="EL7" s="20" t="s">
        <v>45</v>
      </c>
      <c r="EQ7" s="9" t="s">
        <v>57</v>
      </c>
      <c r="EV7" s="20" t="s">
        <v>113</v>
      </c>
      <c r="FA7" s="9" t="s">
        <v>54</v>
      </c>
      <c r="FF7" s="48" t="s">
        <v>108</v>
      </c>
      <c r="FK7" s="20" t="s">
        <v>69</v>
      </c>
      <c r="FP7" s="49" t="s">
        <v>114</v>
      </c>
      <c r="FU7" s="7" t="s">
        <v>51</v>
      </c>
    </row>
    <row r="8" spans="1:181" x14ac:dyDescent="0.3">
      <c r="A8" s="12" t="s">
        <v>115</v>
      </c>
      <c r="B8" t="s">
        <v>116</v>
      </c>
      <c r="D8" t="s">
        <v>117</v>
      </c>
      <c r="E8" t="s">
        <v>118</v>
      </c>
      <c r="F8" t="s">
        <v>42</v>
      </c>
      <c r="G8">
        <v>360</v>
      </c>
      <c r="H8">
        <v>295</v>
      </c>
      <c r="I8">
        <v>287</v>
      </c>
      <c r="J8">
        <v>295</v>
      </c>
      <c r="K8">
        <v>317</v>
      </c>
      <c r="L8" s="18" t="s">
        <v>151</v>
      </c>
      <c r="M8" s="18" t="s">
        <v>151</v>
      </c>
      <c r="N8" s="18" t="s">
        <v>151</v>
      </c>
      <c r="O8" s="18" t="s">
        <v>151</v>
      </c>
      <c r="P8" s="18" t="s">
        <v>151</v>
      </c>
      <c r="Q8" s="20" t="s">
        <v>151</v>
      </c>
      <c r="R8" s="20" t="s">
        <v>151</v>
      </c>
      <c r="S8" s="20" t="s">
        <v>151</v>
      </c>
      <c r="T8" s="20" t="s">
        <v>151</v>
      </c>
      <c r="U8" s="20" t="s">
        <v>151</v>
      </c>
      <c r="V8">
        <f>2885*1000000</f>
        <v>2885000000</v>
      </c>
      <c r="W8">
        <f>4234*1000000</f>
        <v>4234000000</v>
      </c>
      <c r="X8">
        <f>2140*1000000</f>
        <v>2140000000</v>
      </c>
      <c r="Y8">
        <f>1690*1000000</f>
        <v>1690000000</v>
      </c>
      <c r="Z8">
        <f>1849*1000000</f>
        <v>1849000000</v>
      </c>
      <c r="AA8" s="19">
        <f>(2885-971)*1000000</f>
        <v>1914000000</v>
      </c>
      <c r="AB8" s="19">
        <f>(4234-2968)*1000000</f>
        <v>1266000000</v>
      </c>
      <c r="AC8" s="19">
        <f>(2140-2034)*1000000</f>
        <v>106000000</v>
      </c>
      <c r="AD8" s="19">
        <f>(1690-1608)*1000000</f>
        <v>82000000</v>
      </c>
      <c r="AE8" s="19">
        <f>(1849-1750)*1000000</f>
        <v>99000000</v>
      </c>
      <c r="AF8" s="20" t="s">
        <v>170</v>
      </c>
      <c r="AG8" s="20" t="s">
        <v>170</v>
      </c>
      <c r="AH8" s="20" t="s">
        <v>170</v>
      </c>
      <c r="AI8" s="20" t="s">
        <v>170</v>
      </c>
      <c r="AJ8" s="20" t="s">
        <v>170</v>
      </c>
      <c r="AK8" s="40" t="s">
        <v>43</v>
      </c>
      <c r="AL8" s="40" t="s">
        <v>43</v>
      </c>
      <c r="AP8" s="41" t="s">
        <v>111</v>
      </c>
      <c r="AQ8" s="41">
        <v>9.1999999999999993</v>
      </c>
      <c r="AU8" s="20" t="s">
        <v>107</v>
      </c>
      <c r="AV8" s="20">
        <v>8</v>
      </c>
      <c r="AZ8" s="42" t="s">
        <v>56</v>
      </c>
      <c r="BA8" s="42">
        <v>5.0999999999999996</v>
      </c>
      <c r="BE8" s="20" t="s">
        <v>119</v>
      </c>
      <c r="BF8" s="20">
        <v>58</v>
      </c>
      <c r="BJ8" s="43" t="s">
        <v>56</v>
      </c>
      <c r="BK8" s="43">
        <v>5.5</v>
      </c>
      <c r="BO8" s="44" t="s">
        <v>120</v>
      </c>
      <c r="BP8" s="44">
        <v>34</v>
      </c>
      <c r="BT8" s="20" t="s">
        <v>111</v>
      </c>
      <c r="BU8" s="20">
        <v>9.1999999999999993</v>
      </c>
      <c r="BY8" s="45" t="s">
        <v>107</v>
      </c>
      <c r="BZ8" s="45">
        <v>8</v>
      </c>
      <c r="CD8" s="20" t="s">
        <v>121</v>
      </c>
      <c r="CE8" s="20">
        <v>7.8</v>
      </c>
      <c r="CI8" s="30" t="s">
        <v>122</v>
      </c>
      <c r="CJ8" s="30">
        <v>16</v>
      </c>
      <c r="CN8" s="20" t="s">
        <v>58</v>
      </c>
      <c r="CO8" s="20">
        <v>5.7</v>
      </c>
      <c r="CS8" s="46" t="s">
        <v>122</v>
      </c>
      <c r="CT8" s="46">
        <v>16</v>
      </c>
      <c r="CX8" s="47" t="s">
        <v>123</v>
      </c>
      <c r="CY8" s="47">
        <v>9.6999999999999993</v>
      </c>
      <c r="DC8" s="20" t="s">
        <v>57</v>
      </c>
      <c r="DD8" s="20" t="s">
        <v>151</v>
      </c>
      <c r="DH8" s="9" t="s">
        <v>124</v>
      </c>
      <c r="DI8" s="9">
        <v>0.8</v>
      </c>
      <c r="DM8" s="30" t="s">
        <v>125</v>
      </c>
      <c r="DN8" s="30">
        <v>4.7</v>
      </c>
      <c r="DR8" s="20" t="s">
        <v>126</v>
      </c>
      <c r="DS8" s="20">
        <v>8.8000000000000007</v>
      </c>
      <c r="DW8" s="9" t="s">
        <v>57</v>
      </c>
      <c r="DX8" s="9" t="s">
        <v>151</v>
      </c>
      <c r="EB8" s="20" t="s">
        <v>127</v>
      </c>
      <c r="EC8" s="20">
        <v>1.4</v>
      </c>
      <c r="EG8" s="9" t="s">
        <v>128</v>
      </c>
      <c r="EH8" s="9">
        <v>3.8</v>
      </c>
      <c r="EL8" s="20" t="s">
        <v>129</v>
      </c>
      <c r="EM8" s="20">
        <v>9.8000000000000007</v>
      </c>
      <c r="EQ8" s="9" t="s">
        <v>57</v>
      </c>
      <c r="ER8" s="9" t="s">
        <v>151</v>
      </c>
      <c r="EV8" s="20" t="s">
        <v>130</v>
      </c>
      <c r="EW8" s="20">
        <v>3.71</v>
      </c>
      <c r="FA8" s="9" t="s">
        <v>49</v>
      </c>
      <c r="FB8" s="9">
        <v>6.5</v>
      </c>
      <c r="FF8" s="48" t="s">
        <v>131</v>
      </c>
      <c r="FG8" s="48">
        <v>9.1</v>
      </c>
      <c r="FK8" s="20" t="s">
        <v>57</v>
      </c>
      <c r="FL8" s="20" t="s">
        <v>151</v>
      </c>
      <c r="FP8" s="49" t="s">
        <v>132</v>
      </c>
      <c r="FQ8" s="49">
        <v>0.4</v>
      </c>
      <c r="FU8" s="7" t="s">
        <v>133</v>
      </c>
      <c r="FV8" s="7">
        <v>4.0999999999999996</v>
      </c>
    </row>
    <row r="9" spans="1:181" s="10" customFormat="1" x14ac:dyDescent="0.3">
      <c r="A9" s="10" t="s">
        <v>134</v>
      </c>
      <c r="B9" s="10" t="s">
        <v>135</v>
      </c>
      <c r="C9" s="10" t="s">
        <v>136</v>
      </c>
      <c r="D9" s="10" t="s">
        <v>137</v>
      </c>
      <c r="E9" s="10" t="s">
        <v>63</v>
      </c>
      <c r="F9" s="10" t="s">
        <v>64</v>
      </c>
      <c r="H9" s="10">
        <v>3318</v>
      </c>
      <c r="I9" s="10">
        <v>3403</v>
      </c>
      <c r="L9" s="18"/>
      <c r="M9" s="18">
        <v>8745</v>
      </c>
      <c r="N9" s="18">
        <v>8146</v>
      </c>
      <c r="O9" s="18"/>
      <c r="P9" s="18"/>
      <c r="Q9" s="11" t="s">
        <v>151</v>
      </c>
      <c r="R9" s="11" t="s">
        <v>151</v>
      </c>
      <c r="S9" s="11"/>
      <c r="T9" s="11"/>
      <c r="U9" s="11"/>
      <c r="V9" s="10">
        <f>2010446*1000</f>
        <v>2010446000</v>
      </c>
      <c r="W9" s="10">
        <f>2045492*1000</f>
        <v>2045492000</v>
      </c>
      <c r="AA9" s="19">
        <f>1281453*1000</f>
        <v>1281453000</v>
      </c>
      <c r="AB9" s="19">
        <f>1298891*1000</f>
        <v>1298891000</v>
      </c>
      <c r="AC9" s="19"/>
      <c r="AD9" s="19"/>
      <c r="AE9" s="19"/>
      <c r="AF9" s="11"/>
      <c r="AG9" s="11" t="s">
        <v>169</v>
      </c>
      <c r="AH9" s="11"/>
      <c r="AI9" s="11"/>
      <c r="AJ9" s="11"/>
      <c r="AK9" s="40" t="s">
        <v>43</v>
      </c>
      <c r="AL9" s="40" t="s">
        <v>171</v>
      </c>
      <c r="AM9" s="40" t="s">
        <v>171</v>
      </c>
      <c r="AN9" s="40"/>
      <c r="AO9" s="40"/>
      <c r="AP9" s="41" t="s">
        <v>102</v>
      </c>
      <c r="AQ9" s="41">
        <v>6.8</v>
      </c>
      <c r="AR9" s="41">
        <v>5.9</v>
      </c>
      <c r="AS9" s="41"/>
      <c r="AT9" s="41"/>
      <c r="AU9" s="11" t="s">
        <v>67</v>
      </c>
      <c r="AV9" s="11">
        <v>21</v>
      </c>
      <c r="AW9" s="11">
        <v>17</v>
      </c>
      <c r="AX9" s="11"/>
      <c r="AY9" s="11"/>
      <c r="AZ9" s="42" t="s">
        <v>52</v>
      </c>
      <c r="BA9" s="42">
        <v>4.9000000000000004</v>
      </c>
      <c r="BB9" s="42">
        <v>4.5</v>
      </c>
      <c r="BC9" s="42"/>
      <c r="BD9" s="42"/>
      <c r="BE9" s="11" t="s">
        <v>69</v>
      </c>
      <c r="BF9" s="11">
        <v>58</v>
      </c>
      <c r="BG9" s="11">
        <v>61</v>
      </c>
      <c r="BH9" s="11"/>
      <c r="BI9" s="11"/>
      <c r="BJ9" s="43" t="s">
        <v>93</v>
      </c>
      <c r="BK9" s="43">
        <v>2.6</v>
      </c>
      <c r="BL9" s="43">
        <v>5.4</v>
      </c>
      <c r="BM9" s="43"/>
      <c r="BN9" s="43"/>
      <c r="BO9" s="44" t="s">
        <v>46</v>
      </c>
      <c r="BP9" s="44">
        <v>21</v>
      </c>
      <c r="BQ9" s="44">
        <v>22</v>
      </c>
      <c r="BR9" s="44"/>
      <c r="BS9" s="44"/>
      <c r="BT9" s="11" t="s">
        <v>123</v>
      </c>
      <c r="BU9" s="11">
        <v>10</v>
      </c>
      <c r="BV9" s="11">
        <v>10</v>
      </c>
      <c r="BW9" s="11"/>
      <c r="BX9" s="11"/>
      <c r="BY9" s="45" t="s">
        <v>57</v>
      </c>
      <c r="BZ9" s="45" t="s">
        <v>151</v>
      </c>
      <c r="CA9" s="45">
        <v>0</v>
      </c>
      <c r="CB9" s="45"/>
      <c r="CC9" s="45"/>
      <c r="CD9" s="11" t="s">
        <v>52</v>
      </c>
      <c r="CE9" s="11">
        <v>4.4000000000000004</v>
      </c>
      <c r="CF9" s="11">
        <v>2.7</v>
      </c>
      <c r="CG9" s="11"/>
      <c r="CH9" s="11"/>
      <c r="CI9" s="30" t="s">
        <v>69</v>
      </c>
      <c r="CJ9" s="30">
        <v>21</v>
      </c>
      <c r="CK9" s="30">
        <v>22</v>
      </c>
      <c r="CL9" s="30"/>
      <c r="CM9" s="30"/>
      <c r="CN9" s="11" t="s">
        <v>54</v>
      </c>
      <c r="CO9" s="11" t="s">
        <v>151</v>
      </c>
      <c r="CP9" s="11" t="s">
        <v>151</v>
      </c>
      <c r="CQ9" s="11"/>
      <c r="CR9" s="11"/>
      <c r="CS9" s="46" t="s">
        <v>69</v>
      </c>
      <c r="CT9" s="46">
        <v>0</v>
      </c>
      <c r="CU9" s="46">
        <v>0</v>
      </c>
      <c r="CV9" s="46"/>
      <c r="CW9" s="46"/>
      <c r="CX9" s="47" t="s">
        <v>123</v>
      </c>
      <c r="CY9" s="47">
        <v>10</v>
      </c>
      <c r="CZ9" s="47">
        <v>10</v>
      </c>
      <c r="DA9" s="47"/>
      <c r="DB9" s="47"/>
      <c r="DC9" s="11" t="s">
        <v>57</v>
      </c>
      <c r="DD9" s="11">
        <v>0</v>
      </c>
      <c r="DE9" s="11">
        <v>0</v>
      </c>
      <c r="DF9" s="11"/>
      <c r="DG9" s="11"/>
      <c r="DH9" s="9" t="s">
        <v>101</v>
      </c>
      <c r="DI9" s="9">
        <v>2.4</v>
      </c>
      <c r="DJ9" s="9">
        <v>2.5</v>
      </c>
      <c r="DK9" s="9"/>
      <c r="DL9" s="9"/>
      <c r="DM9" s="30" t="s">
        <v>138</v>
      </c>
      <c r="DN9" s="30">
        <v>6.8</v>
      </c>
      <c r="DO9" s="30">
        <v>6.3</v>
      </c>
      <c r="DP9" s="30"/>
      <c r="DQ9" s="30"/>
      <c r="DR9" s="11"/>
      <c r="DS9" s="11">
        <v>7.5</v>
      </c>
      <c r="DT9" s="11" t="s">
        <v>151</v>
      </c>
      <c r="DU9" s="11"/>
      <c r="DV9" s="11"/>
      <c r="DW9" s="9" t="s">
        <v>57</v>
      </c>
      <c r="DX9" s="9">
        <v>0</v>
      </c>
      <c r="DY9" s="9">
        <v>0</v>
      </c>
      <c r="DZ9" s="9"/>
      <c r="EA9" s="9"/>
      <c r="EB9" s="11"/>
      <c r="EC9" s="11">
        <v>5.2</v>
      </c>
      <c r="ED9" s="11">
        <v>5</v>
      </c>
      <c r="EE9" s="11"/>
      <c r="EF9" s="11"/>
      <c r="EG9" s="9"/>
      <c r="EH9" s="9">
        <v>5.7</v>
      </c>
      <c r="EI9" s="9" t="s">
        <v>151</v>
      </c>
      <c r="EJ9" s="9"/>
      <c r="EK9" s="9"/>
      <c r="EL9" s="11"/>
      <c r="EM9" s="11">
        <v>4.4000000000000004</v>
      </c>
      <c r="EN9" s="11">
        <v>2.7</v>
      </c>
      <c r="EO9" s="11"/>
      <c r="EP9" s="11"/>
      <c r="EQ9" s="9" t="s">
        <v>57</v>
      </c>
      <c r="ER9" s="9">
        <v>21</v>
      </c>
      <c r="ES9" s="9">
        <v>22</v>
      </c>
      <c r="ET9" s="9"/>
      <c r="EU9" s="9"/>
      <c r="EV9" s="11"/>
      <c r="EW9" s="11">
        <v>7.8</v>
      </c>
      <c r="EX9" s="11">
        <v>7.9</v>
      </c>
      <c r="EY9" s="11"/>
      <c r="EZ9" s="11"/>
      <c r="FA9" s="9"/>
      <c r="FB9" s="9">
        <v>5.2</v>
      </c>
      <c r="FC9" s="9">
        <v>3.6</v>
      </c>
      <c r="FD9" s="9"/>
      <c r="FE9" s="9"/>
      <c r="FF9" s="48" t="s">
        <v>52</v>
      </c>
      <c r="FG9" s="48">
        <v>8</v>
      </c>
      <c r="FH9" s="48" t="s">
        <v>151</v>
      </c>
      <c r="FI9" s="48"/>
      <c r="FJ9" s="48"/>
      <c r="FK9" s="11" t="s">
        <v>69</v>
      </c>
      <c r="FL9" s="11">
        <v>0</v>
      </c>
      <c r="FM9" s="11"/>
      <c r="FN9" s="11"/>
      <c r="FO9" s="11"/>
      <c r="FP9" s="49" t="s">
        <v>68</v>
      </c>
      <c r="FQ9" s="49"/>
      <c r="FR9" s="49">
        <v>1.6</v>
      </c>
      <c r="FS9" s="49"/>
      <c r="FT9" s="49"/>
      <c r="FU9" s="7" t="s">
        <v>51</v>
      </c>
      <c r="FV9" s="7"/>
      <c r="FW9" s="7">
        <v>0</v>
      </c>
      <c r="FX9" s="7"/>
      <c r="FY9" s="7"/>
    </row>
    <row r="10" spans="1:181" s="26" customFormat="1" x14ac:dyDescent="0.3">
      <c r="A10" s="26" t="s">
        <v>325</v>
      </c>
      <c r="B10" s="26" t="s">
        <v>141</v>
      </c>
      <c r="D10" s="50" t="s">
        <v>326</v>
      </c>
      <c r="E10" s="26" t="s">
        <v>83</v>
      </c>
      <c r="F10" s="26" t="s">
        <v>142</v>
      </c>
      <c r="G10" s="26">
        <v>6685</v>
      </c>
      <c r="H10" s="26">
        <v>7540</v>
      </c>
      <c r="I10" s="26">
        <v>8105</v>
      </c>
      <c r="J10" s="26">
        <v>6921</v>
      </c>
      <c r="K10" s="26">
        <v>6399</v>
      </c>
      <c r="L10" s="26" t="s">
        <v>311</v>
      </c>
      <c r="M10" s="26" t="s">
        <v>311</v>
      </c>
      <c r="N10" s="26" t="s">
        <v>311</v>
      </c>
      <c r="O10" s="26" t="s">
        <v>312</v>
      </c>
      <c r="P10" s="26" t="s">
        <v>312</v>
      </c>
      <c r="Q10" s="31" t="s">
        <v>151</v>
      </c>
      <c r="R10" s="31" t="s">
        <v>151</v>
      </c>
      <c r="S10" s="31" t="s">
        <v>151</v>
      </c>
      <c r="T10" s="31" t="s">
        <v>151</v>
      </c>
      <c r="U10" s="31" t="s">
        <v>151</v>
      </c>
      <c r="V10" s="26">
        <f>4490978*1000</f>
        <v>4490978000</v>
      </c>
      <c r="W10" s="26">
        <f>5193307*1000</f>
        <v>5193307000</v>
      </c>
      <c r="X10" s="26">
        <f>6249446*1000</f>
        <v>6249446000</v>
      </c>
      <c r="Y10" s="26">
        <f>4428486*1000</f>
        <v>4428486000</v>
      </c>
      <c r="Z10" s="26">
        <f>4521162*1000</f>
        <v>4521162000</v>
      </c>
      <c r="AA10" s="26">
        <f>(4490978-1177854)*1000</f>
        <v>3313124000</v>
      </c>
      <c r="AB10" s="26">
        <f>(5193307-1442023)*1000</f>
        <v>3751284000</v>
      </c>
      <c r="AC10" s="26">
        <f>(6249446-1592154)*1000</f>
        <v>4657292000</v>
      </c>
      <c r="AD10" s="26">
        <f>(4428486-1394709)*1000</f>
        <v>3033777000</v>
      </c>
      <c r="AE10" s="26">
        <f>(4521162-1746186)*1000</f>
        <v>2774976000</v>
      </c>
      <c r="AF10" s="31" t="s">
        <v>170</v>
      </c>
      <c r="AG10" s="31" t="s">
        <v>170</v>
      </c>
      <c r="AH10" s="31" t="s">
        <v>170</v>
      </c>
      <c r="AI10" s="31" t="s">
        <v>170</v>
      </c>
      <c r="AJ10" s="31" t="s">
        <v>170</v>
      </c>
      <c r="AK10" s="40" t="s">
        <v>44</v>
      </c>
      <c r="AL10" s="40"/>
      <c r="AM10" s="40" t="s">
        <v>171</v>
      </c>
      <c r="AN10" s="40" t="s">
        <v>44</v>
      </c>
      <c r="AO10" s="40"/>
      <c r="AP10" s="41" t="s">
        <v>47</v>
      </c>
      <c r="AQ10" s="41"/>
      <c r="AR10" s="41">
        <v>6.9</v>
      </c>
      <c r="AS10" s="41">
        <v>6.9</v>
      </c>
      <c r="AT10" s="41"/>
      <c r="AU10" s="31" t="s">
        <v>143</v>
      </c>
      <c r="AV10" s="31"/>
      <c r="AW10" s="31">
        <v>24</v>
      </c>
      <c r="AX10" s="31">
        <v>26</v>
      </c>
      <c r="AY10" s="31"/>
      <c r="AZ10" s="42" t="s">
        <v>88</v>
      </c>
      <c r="BA10" s="42"/>
      <c r="BB10" s="42">
        <v>5.2</v>
      </c>
      <c r="BC10" s="42">
        <v>5.2</v>
      </c>
      <c r="BD10" s="42"/>
      <c r="BE10" s="31" t="s">
        <v>144</v>
      </c>
      <c r="BF10" s="31"/>
      <c r="BG10" s="31">
        <v>44</v>
      </c>
      <c r="BH10" s="31">
        <v>30</v>
      </c>
      <c r="BI10" s="31"/>
      <c r="BJ10" s="43" t="s">
        <v>87</v>
      </c>
      <c r="BK10" s="43"/>
      <c r="BL10" s="43">
        <v>1.5</v>
      </c>
      <c r="BM10" s="43">
        <v>2.9</v>
      </c>
      <c r="BN10" s="43"/>
      <c r="BO10" s="44" t="s">
        <v>143</v>
      </c>
      <c r="BP10" s="44"/>
      <c r="BQ10" s="44">
        <v>32</v>
      </c>
      <c r="BR10" s="44">
        <v>44</v>
      </c>
      <c r="BS10" s="44"/>
      <c r="BT10" s="31" t="s">
        <v>47</v>
      </c>
      <c r="BU10" s="31"/>
      <c r="BV10" s="31">
        <v>6.9</v>
      </c>
      <c r="BW10" s="31">
        <v>6.9</v>
      </c>
      <c r="BX10" s="31"/>
      <c r="BY10" s="45" t="s">
        <v>143</v>
      </c>
      <c r="BZ10" s="45"/>
      <c r="CA10" s="45">
        <v>24</v>
      </c>
      <c r="CB10" s="45">
        <v>26</v>
      </c>
      <c r="CC10" s="45"/>
      <c r="CD10" s="31" t="s">
        <v>88</v>
      </c>
      <c r="CE10" s="31"/>
      <c r="CF10" s="31">
        <v>5.2</v>
      </c>
      <c r="CG10" s="31">
        <v>5.2</v>
      </c>
      <c r="CH10" s="31"/>
      <c r="CI10" s="30" t="s">
        <v>144</v>
      </c>
      <c r="CJ10" s="30"/>
      <c r="CK10" s="30">
        <v>44</v>
      </c>
      <c r="CL10" s="30">
        <v>30</v>
      </c>
      <c r="CM10" s="30"/>
      <c r="CN10" s="31"/>
      <c r="CO10" s="31"/>
      <c r="CP10" s="31" t="s">
        <v>151</v>
      </c>
      <c r="CQ10" s="31">
        <v>6.9</v>
      </c>
      <c r="CR10" s="31"/>
      <c r="CS10" s="46" t="s">
        <v>57</v>
      </c>
      <c r="CT10" s="46"/>
      <c r="CU10" s="46">
        <v>0</v>
      </c>
      <c r="CV10" s="46" t="s">
        <v>151</v>
      </c>
      <c r="CW10" s="46"/>
      <c r="CX10" s="47" t="s">
        <v>47</v>
      </c>
      <c r="CY10" s="47"/>
      <c r="CZ10" s="47">
        <v>6.9</v>
      </c>
      <c r="DA10" s="47">
        <v>6.9</v>
      </c>
      <c r="DB10" s="47"/>
      <c r="DC10" s="31" t="s">
        <v>143</v>
      </c>
      <c r="DD10" s="31"/>
      <c r="DE10" s="31">
        <v>24</v>
      </c>
      <c r="DF10" s="31">
        <v>26</v>
      </c>
      <c r="DG10" s="31"/>
      <c r="DH10" s="9" t="s">
        <v>76</v>
      </c>
      <c r="DI10" s="9"/>
      <c r="DJ10" s="9">
        <v>3.4</v>
      </c>
      <c r="DK10" s="9">
        <v>3.4</v>
      </c>
      <c r="DL10" s="9"/>
      <c r="DM10" s="30" t="s">
        <v>78</v>
      </c>
      <c r="DN10" s="30"/>
      <c r="DO10" s="30">
        <v>3.3</v>
      </c>
      <c r="DP10" s="30">
        <v>3.3</v>
      </c>
      <c r="DQ10" s="30"/>
      <c r="DR10" s="31"/>
      <c r="DS10" s="31"/>
      <c r="DT10" s="31" t="s">
        <v>151</v>
      </c>
      <c r="DU10" s="31" t="s">
        <v>151</v>
      </c>
      <c r="DV10" s="31"/>
      <c r="DW10" s="9" t="s">
        <v>57</v>
      </c>
      <c r="DX10" s="9"/>
      <c r="DY10" s="9">
        <v>0</v>
      </c>
      <c r="DZ10" s="9">
        <v>0</v>
      </c>
      <c r="EA10" s="9"/>
      <c r="EB10" s="31"/>
      <c r="EC10" s="31"/>
      <c r="ED10" s="31">
        <v>2.7</v>
      </c>
      <c r="EE10" s="31">
        <v>2.7</v>
      </c>
      <c r="EF10" s="31"/>
      <c r="EG10" s="9"/>
      <c r="EH10" s="9"/>
      <c r="EI10" s="9" t="s">
        <v>151</v>
      </c>
      <c r="EJ10" s="9" t="s">
        <v>151</v>
      </c>
      <c r="EK10" s="9"/>
      <c r="EL10" s="31" t="s">
        <v>102</v>
      </c>
      <c r="EM10" s="31"/>
      <c r="EN10" s="31">
        <v>5</v>
      </c>
      <c r="EO10" s="31">
        <v>4.8</v>
      </c>
      <c r="EP10" s="31"/>
      <c r="EQ10" s="9" t="s">
        <v>145</v>
      </c>
      <c r="ER10" s="9"/>
      <c r="ES10" s="9">
        <v>39</v>
      </c>
      <c r="ET10" s="9">
        <v>25</v>
      </c>
      <c r="EU10" s="9"/>
      <c r="EV10" s="31" t="s">
        <v>121</v>
      </c>
      <c r="EW10" s="31"/>
      <c r="EX10" s="31">
        <v>7.4</v>
      </c>
      <c r="EY10" s="31">
        <v>7.5</v>
      </c>
      <c r="EZ10" s="31"/>
      <c r="FA10" s="9" t="s">
        <v>92</v>
      </c>
      <c r="FB10" s="9"/>
      <c r="FC10" s="9">
        <v>5.4</v>
      </c>
      <c r="FD10" s="9">
        <v>5.3</v>
      </c>
      <c r="FE10" s="9"/>
      <c r="FF10" s="48" t="s">
        <v>49</v>
      </c>
      <c r="FG10" s="48">
        <v>8.6999999999999993</v>
      </c>
      <c r="FH10" s="48">
        <v>7</v>
      </c>
      <c r="FI10" s="48">
        <v>6.9</v>
      </c>
      <c r="FJ10" s="48"/>
      <c r="FK10" s="31" t="s">
        <v>45</v>
      </c>
      <c r="FL10" s="31">
        <v>0</v>
      </c>
      <c r="FM10" s="31">
        <v>5</v>
      </c>
      <c r="FN10" s="31">
        <v>5</v>
      </c>
      <c r="FO10" s="31"/>
      <c r="FP10" s="49" t="s">
        <v>100</v>
      </c>
      <c r="FQ10" s="49">
        <v>2.1</v>
      </c>
      <c r="FR10" s="49">
        <v>1.3</v>
      </c>
      <c r="FS10" s="49">
        <v>1.3</v>
      </c>
      <c r="FT10" s="49"/>
      <c r="FU10" s="7" t="s">
        <v>146</v>
      </c>
      <c r="FV10" s="7">
        <v>3.8</v>
      </c>
      <c r="FW10" s="7">
        <v>2</v>
      </c>
      <c r="FX10" s="7">
        <v>1.9</v>
      </c>
      <c r="FY10" s="7"/>
    </row>
    <row r="11" spans="1:181" s="26" customFormat="1" x14ac:dyDescent="0.3">
      <c r="A11" s="26" t="s">
        <v>147</v>
      </c>
      <c r="B11" s="26" t="s">
        <v>148</v>
      </c>
      <c r="C11" s="26" t="s">
        <v>149</v>
      </c>
      <c r="D11" s="26" t="s">
        <v>150</v>
      </c>
      <c r="E11" s="26" t="s">
        <v>63</v>
      </c>
      <c r="F11" s="26" t="s">
        <v>64</v>
      </c>
      <c r="G11" s="26">
        <v>15979</v>
      </c>
      <c r="H11" s="26">
        <v>15806</v>
      </c>
      <c r="I11" s="26">
        <v>16035</v>
      </c>
      <c r="L11" s="26">
        <v>220148</v>
      </c>
      <c r="M11" s="26">
        <f>230051</f>
        <v>230051</v>
      </c>
      <c r="N11" s="26">
        <v>355989</v>
      </c>
      <c r="Q11" s="31" t="s">
        <v>151</v>
      </c>
      <c r="R11" s="31" t="s">
        <v>151</v>
      </c>
      <c r="S11" s="31" t="s">
        <v>151</v>
      </c>
      <c r="T11" s="31"/>
      <c r="U11" s="31"/>
      <c r="V11" s="26">
        <f>40057260*1000</f>
        <v>40057260000</v>
      </c>
      <c r="W11" s="26">
        <f>79673581*1000</f>
        <v>79673581000</v>
      </c>
      <c r="X11" s="26">
        <f>81618*1000000</f>
        <v>81618000000</v>
      </c>
      <c r="AA11" s="26">
        <f>28294282*1000</f>
        <v>28294282000</v>
      </c>
      <c r="AB11" s="26">
        <f>63341834*1000</f>
        <v>63341834000</v>
      </c>
      <c r="AC11" s="26">
        <f>66715*1000000</f>
        <v>66715000000</v>
      </c>
      <c r="AF11" s="31" t="s">
        <v>169</v>
      </c>
      <c r="AG11" s="31" t="s">
        <v>170</v>
      </c>
      <c r="AH11" s="31" t="s">
        <v>169</v>
      </c>
      <c r="AI11" s="31"/>
      <c r="AJ11" s="31"/>
      <c r="AK11" s="40" t="s">
        <v>44</v>
      </c>
      <c r="AL11" s="40" t="s">
        <v>44</v>
      </c>
      <c r="AM11" s="40" t="s">
        <v>84</v>
      </c>
      <c r="AN11" s="40" t="s">
        <v>84</v>
      </c>
      <c r="AO11" s="40"/>
      <c r="AP11" s="41" t="s">
        <v>125</v>
      </c>
      <c r="AQ11" s="41">
        <v>6.5</v>
      </c>
      <c r="AR11" s="41">
        <v>5.9</v>
      </c>
      <c r="AS11" s="41">
        <v>7.8</v>
      </c>
      <c r="AT11" s="41"/>
      <c r="AU11" s="31" t="s">
        <v>67</v>
      </c>
      <c r="AV11" s="31">
        <v>22</v>
      </c>
      <c r="AW11" s="31">
        <v>24</v>
      </c>
      <c r="AX11" s="31">
        <v>19</v>
      </c>
      <c r="AY11" s="31"/>
      <c r="AZ11" s="42" t="s">
        <v>47</v>
      </c>
      <c r="BA11" s="42">
        <v>6.4</v>
      </c>
      <c r="BB11" s="42">
        <v>2.2999999999999998</v>
      </c>
      <c r="BC11" s="42">
        <v>5.2</v>
      </c>
      <c r="BD11" s="42"/>
      <c r="BE11" s="31" t="s">
        <v>69</v>
      </c>
      <c r="BF11" s="31">
        <v>28</v>
      </c>
      <c r="BG11" s="31">
        <v>24</v>
      </c>
      <c r="BH11" s="31">
        <v>37</v>
      </c>
      <c r="BI11" s="31"/>
      <c r="BJ11" s="43" t="s">
        <v>58</v>
      </c>
      <c r="BK11" s="43">
        <v>4.8</v>
      </c>
      <c r="BL11" s="43">
        <v>4.5</v>
      </c>
      <c r="BM11" s="43">
        <v>3.9</v>
      </c>
      <c r="BN11" s="43"/>
      <c r="BO11" s="44" t="s">
        <v>46</v>
      </c>
      <c r="BP11" s="44">
        <v>50</v>
      </c>
      <c r="BQ11" s="44">
        <v>52</v>
      </c>
      <c r="BR11" s="44">
        <v>44</v>
      </c>
      <c r="BS11" s="44"/>
      <c r="BT11" s="31" t="s">
        <v>123</v>
      </c>
      <c r="BU11" s="31">
        <v>10</v>
      </c>
      <c r="BV11" s="31">
        <v>10</v>
      </c>
      <c r="BW11" s="31">
        <v>10</v>
      </c>
      <c r="BX11" s="31"/>
      <c r="BY11" s="45" t="s">
        <v>57</v>
      </c>
      <c r="BZ11" s="45">
        <v>0</v>
      </c>
      <c r="CA11" s="45">
        <v>0</v>
      </c>
      <c r="CB11" s="45">
        <v>0</v>
      </c>
      <c r="CC11" s="45"/>
      <c r="CD11" s="31" t="s">
        <v>47</v>
      </c>
      <c r="CE11" s="31">
        <v>6.4</v>
      </c>
      <c r="CF11" s="31">
        <v>2.2999999999999998</v>
      </c>
      <c r="CG11" s="31">
        <v>2.2000000000000002</v>
      </c>
      <c r="CH11" s="31"/>
      <c r="CI11" s="30" t="s">
        <v>69</v>
      </c>
      <c r="CJ11" s="30">
        <v>28</v>
      </c>
      <c r="CK11" s="30">
        <v>24</v>
      </c>
      <c r="CL11" s="30">
        <v>19</v>
      </c>
      <c r="CM11" s="30"/>
      <c r="CN11" s="31" t="s">
        <v>152</v>
      </c>
      <c r="CO11" s="31">
        <v>4.9000000000000004</v>
      </c>
      <c r="CP11" s="31">
        <v>4.5</v>
      </c>
      <c r="CQ11" s="31">
        <v>5.3</v>
      </c>
      <c r="CR11" s="31"/>
      <c r="CS11" s="46" t="s">
        <v>69</v>
      </c>
      <c r="CT11" s="46">
        <v>28</v>
      </c>
      <c r="CU11" s="46">
        <v>28</v>
      </c>
      <c r="CV11" s="46">
        <v>0</v>
      </c>
      <c r="CW11" s="46"/>
      <c r="CX11" s="47" t="s">
        <v>123</v>
      </c>
      <c r="CY11" s="47">
        <v>10</v>
      </c>
      <c r="CZ11" s="47">
        <v>10</v>
      </c>
      <c r="DA11" s="47">
        <v>10</v>
      </c>
      <c r="DB11" s="47"/>
      <c r="DC11" s="31" t="s">
        <v>57</v>
      </c>
      <c r="DD11" s="31">
        <v>0</v>
      </c>
      <c r="DE11" s="31">
        <v>0</v>
      </c>
      <c r="DF11" s="31">
        <v>0</v>
      </c>
      <c r="DG11" s="31"/>
      <c r="DH11" s="9" t="s">
        <v>70</v>
      </c>
      <c r="DI11" s="9">
        <v>2.6</v>
      </c>
      <c r="DJ11" s="9">
        <v>2.7</v>
      </c>
      <c r="DK11" s="9">
        <v>2.9</v>
      </c>
      <c r="DL11" s="9"/>
      <c r="DM11" s="30" t="s">
        <v>85</v>
      </c>
      <c r="DN11" s="30">
        <v>6.3</v>
      </c>
      <c r="DO11" s="30">
        <v>63</v>
      </c>
      <c r="DP11" s="30">
        <v>7</v>
      </c>
      <c r="DQ11" s="30"/>
      <c r="DR11" s="31" t="s">
        <v>58</v>
      </c>
      <c r="DS11" s="31">
        <v>6</v>
      </c>
      <c r="DT11" s="31" t="s">
        <v>151</v>
      </c>
      <c r="DU11" s="31" t="s">
        <v>151</v>
      </c>
      <c r="DV11" s="31"/>
      <c r="DW11" s="9" t="s">
        <v>57</v>
      </c>
      <c r="DX11" s="9">
        <v>0</v>
      </c>
      <c r="DY11" s="9">
        <v>0</v>
      </c>
      <c r="DZ11" s="9">
        <v>0</v>
      </c>
      <c r="EA11" s="9"/>
      <c r="EB11" s="31" t="s">
        <v>153</v>
      </c>
      <c r="EC11" s="31">
        <v>6</v>
      </c>
      <c r="ED11" s="31">
        <v>5.9</v>
      </c>
      <c r="EE11" s="31">
        <v>4.4000000000000004</v>
      </c>
      <c r="EF11" s="31"/>
      <c r="EG11" s="9" t="s">
        <v>109</v>
      </c>
      <c r="EH11" s="9">
        <v>5</v>
      </c>
      <c r="EI11" s="9" t="s">
        <v>151</v>
      </c>
      <c r="EJ11" s="9" t="s">
        <v>151</v>
      </c>
      <c r="EK11" s="9"/>
      <c r="EL11" s="31" t="s">
        <v>109</v>
      </c>
      <c r="EM11" s="31">
        <v>4.2</v>
      </c>
      <c r="EN11" s="31">
        <v>3</v>
      </c>
      <c r="EO11" s="31">
        <v>2.8</v>
      </c>
      <c r="EP11" s="31"/>
      <c r="EQ11" s="9" t="s">
        <v>57</v>
      </c>
      <c r="ER11" s="9">
        <v>0</v>
      </c>
      <c r="ES11" s="9">
        <v>0</v>
      </c>
      <c r="ET11" s="9">
        <v>0</v>
      </c>
      <c r="EU11" s="9"/>
      <c r="EV11" s="31" t="s">
        <v>154</v>
      </c>
      <c r="EW11" s="31">
        <v>8.7200000000000006</v>
      </c>
      <c r="EX11" s="31">
        <v>8.9</v>
      </c>
      <c r="EY11" s="31">
        <v>9.8000000000000007</v>
      </c>
      <c r="EZ11" s="31"/>
      <c r="FA11" s="9" t="s">
        <v>91</v>
      </c>
      <c r="FB11" s="9">
        <v>5.9</v>
      </c>
      <c r="FC11" s="9">
        <v>4.9000000000000004</v>
      </c>
      <c r="FD11" s="9">
        <v>5.6</v>
      </c>
      <c r="FE11" s="9"/>
      <c r="FF11" s="48" t="s">
        <v>47</v>
      </c>
      <c r="FG11" s="48">
        <v>6.4</v>
      </c>
      <c r="FH11" s="48">
        <v>2.2999999999999998</v>
      </c>
      <c r="FI11" s="48">
        <v>2.2000000000000002</v>
      </c>
      <c r="FJ11" s="48"/>
      <c r="FK11" s="31" t="s">
        <v>69</v>
      </c>
      <c r="FL11" s="31">
        <v>28</v>
      </c>
      <c r="FM11" s="31">
        <v>24</v>
      </c>
      <c r="FN11" s="31">
        <v>19</v>
      </c>
      <c r="FO11" s="31"/>
      <c r="FP11" s="49" t="s">
        <v>88</v>
      </c>
      <c r="FQ11" s="49">
        <v>4.7</v>
      </c>
      <c r="FR11" s="49">
        <v>4.7</v>
      </c>
      <c r="FS11" s="49">
        <v>4.8</v>
      </c>
      <c r="FT11" s="49"/>
      <c r="FU11" s="7" t="s">
        <v>75</v>
      </c>
      <c r="FV11" s="7">
        <v>4.0999999999999996</v>
      </c>
      <c r="FW11" s="7">
        <v>0</v>
      </c>
      <c r="FX11" s="7">
        <v>0</v>
      </c>
      <c r="FY11" s="7"/>
    </row>
    <row r="12" spans="1:181" s="26" customFormat="1" x14ac:dyDescent="0.3">
      <c r="A12" s="12" t="s">
        <v>155</v>
      </c>
      <c r="B12" s="26" t="s">
        <v>156</v>
      </c>
      <c r="C12" s="26" t="s">
        <v>157</v>
      </c>
      <c r="D12" s="26" t="s">
        <v>158</v>
      </c>
      <c r="E12" s="26" t="s">
        <v>41</v>
      </c>
      <c r="F12" s="26" t="s">
        <v>142</v>
      </c>
      <c r="G12" s="26">
        <v>45636</v>
      </c>
      <c r="H12" s="26">
        <v>47394</v>
      </c>
      <c r="I12" s="26">
        <v>61216</v>
      </c>
      <c r="J12" s="26">
        <v>56621</v>
      </c>
      <c r="K12" s="26">
        <v>77958</v>
      </c>
      <c r="L12" s="26">
        <f>(3208+855+3864)*1000</f>
        <v>7927000</v>
      </c>
      <c r="M12" s="26">
        <f>(3291+820+3899)*1000</f>
        <v>8010000</v>
      </c>
      <c r="N12" s="26">
        <f>(4631+1553+3682)*1000</f>
        <v>9866000</v>
      </c>
      <c r="O12" s="26">
        <f>(6825+1366+4233)*1000</f>
        <v>12424000</v>
      </c>
      <c r="P12" s="26" t="s">
        <v>313</v>
      </c>
      <c r="Q12" s="31" t="s">
        <v>151</v>
      </c>
      <c r="R12" s="31" t="s">
        <v>151</v>
      </c>
      <c r="S12" s="31" t="s">
        <v>151</v>
      </c>
      <c r="T12" s="31" t="s">
        <v>151</v>
      </c>
      <c r="U12" s="31" t="s">
        <v>151</v>
      </c>
      <c r="V12" s="26">
        <f>38388*1000000</f>
        <v>38388000000</v>
      </c>
      <c r="W12" s="26">
        <f>38812*1000000</f>
        <v>38812000000</v>
      </c>
      <c r="X12" s="26">
        <f>97557*1000000</f>
        <v>97557000000</v>
      </c>
      <c r="Y12" s="26">
        <f>96250*1000000</f>
        <v>96250000000</v>
      </c>
      <c r="Z12" s="26">
        <f>161395*1000000</f>
        <v>161395000000</v>
      </c>
      <c r="AA12" s="26">
        <f>23579*1000000</f>
        <v>23579000000</v>
      </c>
      <c r="AB12" s="26">
        <f>24280*1000000</f>
        <v>24280000000</v>
      </c>
      <c r="AC12" s="26">
        <f>48238*1000000</f>
        <v>48238000000</v>
      </c>
      <c r="AD12" s="26">
        <f>48953*1000000</f>
        <v>48953000000</v>
      </c>
      <c r="AE12" s="26">
        <f>87117*1000000</f>
        <v>87117000000</v>
      </c>
      <c r="AF12" s="31" t="s">
        <v>169</v>
      </c>
      <c r="AG12" s="31" t="s">
        <v>169</v>
      </c>
      <c r="AH12" s="31" t="s">
        <v>169</v>
      </c>
      <c r="AI12" s="31" t="s">
        <v>169</v>
      </c>
      <c r="AJ12" s="31" t="s">
        <v>169</v>
      </c>
      <c r="AK12" s="40" t="s">
        <v>44</v>
      </c>
      <c r="AL12" s="40" t="s">
        <v>44</v>
      </c>
      <c r="AM12" s="40"/>
      <c r="AN12" s="40"/>
      <c r="AO12" s="40"/>
      <c r="AP12" s="41" t="s">
        <v>77</v>
      </c>
      <c r="AQ12" s="41">
        <v>3.9</v>
      </c>
      <c r="AR12" s="41"/>
      <c r="AS12" s="41"/>
      <c r="AT12" s="41"/>
      <c r="AU12" s="31" t="s">
        <v>67</v>
      </c>
      <c r="AV12" s="31">
        <v>21</v>
      </c>
      <c r="AW12" s="31"/>
      <c r="AX12" s="31"/>
      <c r="AY12" s="31"/>
      <c r="AZ12" s="42" t="s">
        <v>159</v>
      </c>
      <c r="BA12" s="42">
        <v>4.3</v>
      </c>
      <c r="BB12" s="42"/>
      <c r="BC12" s="42"/>
      <c r="BD12" s="42"/>
      <c r="BE12" s="31" t="s">
        <v>160</v>
      </c>
      <c r="BF12" s="31">
        <v>58</v>
      </c>
      <c r="BG12" s="31"/>
      <c r="BH12" s="31"/>
      <c r="BI12" s="31"/>
      <c r="BJ12" s="43" t="s">
        <v>161</v>
      </c>
      <c r="BK12" s="43">
        <v>7.9</v>
      </c>
      <c r="BL12" s="43"/>
      <c r="BM12" s="43"/>
      <c r="BN12" s="43"/>
      <c r="BO12" s="44" t="s">
        <v>67</v>
      </c>
      <c r="BP12" s="44">
        <v>21</v>
      </c>
      <c r="BQ12" s="44"/>
      <c r="BR12" s="44"/>
      <c r="BS12" s="44"/>
      <c r="BT12" s="31" t="s">
        <v>77</v>
      </c>
      <c r="BU12" s="31">
        <v>3.9</v>
      </c>
      <c r="BV12" s="31"/>
      <c r="BW12" s="31"/>
      <c r="BX12" s="31"/>
      <c r="BY12" s="45" t="s">
        <v>67</v>
      </c>
      <c r="BZ12" s="45">
        <v>21</v>
      </c>
      <c r="CA12" s="45"/>
      <c r="CB12" s="45"/>
      <c r="CC12" s="45"/>
      <c r="CD12" s="31" t="s">
        <v>159</v>
      </c>
      <c r="CE12" s="31">
        <v>4.3</v>
      </c>
      <c r="CF12" s="31"/>
      <c r="CG12" s="31"/>
      <c r="CH12" s="31"/>
      <c r="CI12" s="30" t="s">
        <v>160</v>
      </c>
      <c r="CJ12" s="30">
        <v>58</v>
      </c>
      <c r="CK12" s="30"/>
      <c r="CL12" s="30"/>
      <c r="CM12" s="30"/>
      <c r="CN12" s="31">
        <v>0</v>
      </c>
      <c r="CO12" s="31" t="s">
        <v>151</v>
      </c>
      <c r="CP12" s="31"/>
      <c r="CQ12" s="31"/>
      <c r="CR12" s="31"/>
      <c r="CS12" s="46" t="s">
        <v>57</v>
      </c>
      <c r="CT12" s="46">
        <v>0</v>
      </c>
      <c r="CU12" s="46"/>
      <c r="CV12" s="46"/>
      <c r="CW12" s="46"/>
      <c r="CX12" s="47" t="s">
        <v>77</v>
      </c>
      <c r="CY12" s="47">
        <v>3.9</v>
      </c>
      <c r="CZ12" s="47"/>
      <c r="DA12" s="47"/>
      <c r="DB12" s="47"/>
      <c r="DC12" s="31" t="s">
        <v>67</v>
      </c>
      <c r="DD12" s="31">
        <v>21</v>
      </c>
      <c r="DE12" s="31"/>
      <c r="DF12" s="31"/>
      <c r="DG12" s="31"/>
      <c r="DH12" s="9" t="s">
        <v>85</v>
      </c>
      <c r="DI12" s="9">
        <v>4.2</v>
      </c>
      <c r="DJ12" s="9"/>
      <c r="DK12" s="9"/>
      <c r="DL12" s="9"/>
      <c r="DM12" s="30" t="s">
        <v>56</v>
      </c>
      <c r="DN12" s="30">
        <v>3.3</v>
      </c>
      <c r="DO12" s="30"/>
      <c r="DP12" s="30"/>
      <c r="DQ12" s="30"/>
      <c r="DR12" s="31" t="s">
        <v>162</v>
      </c>
      <c r="DS12" s="31">
        <v>8.8000000000000007</v>
      </c>
      <c r="DT12" s="31"/>
      <c r="DU12" s="31"/>
      <c r="DV12" s="31"/>
      <c r="DW12" s="9" t="s">
        <v>57</v>
      </c>
      <c r="DX12" s="9">
        <v>0</v>
      </c>
      <c r="DY12" s="9"/>
      <c r="DZ12" s="9"/>
      <c r="EA12" s="9"/>
      <c r="EB12" s="31" t="s">
        <v>163</v>
      </c>
      <c r="EC12" s="31">
        <v>4.9000000000000004</v>
      </c>
      <c r="ED12" s="31"/>
      <c r="EE12" s="31"/>
      <c r="EF12" s="31"/>
      <c r="EG12" s="9" t="s">
        <v>47</v>
      </c>
      <c r="EH12" s="9">
        <v>6.7</v>
      </c>
      <c r="EI12" s="9"/>
      <c r="EJ12" s="9"/>
      <c r="EK12" s="9"/>
      <c r="EL12" s="31" t="s">
        <v>159</v>
      </c>
      <c r="EM12" s="31">
        <v>0</v>
      </c>
      <c r="EN12" s="31"/>
      <c r="EO12" s="31"/>
      <c r="EP12" s="31"/>
      <c r="EQ12" s="9" t="s">
        <v>69</v>
      </c>
      <c r="ER12" s="9">
        <v>26</v>
      </c>
      <c r="ES12" s="9"/>
      <c r="ET12" s="9"/>
      <c r="EU12" s="9"/>
      <c r="EV12" s="31" t="s">
        <v>49</v>
      </c>
      <c r="EW12" s="31">
        <v>8.6</v>
      </c>
      <c r="EX12" s="31"/>
      <c r="EY12" s="31"/>
      <c r="EZ12" s="31"/>
      <c r="FA12" s="9" t="s">
        <v>90</v>
      </c>
      <c r="FB12" s="9">
        <v>1.6</v>
      </c>
      <c r="FC12" s="9"/>
      <c r="FD12" s="9"/>
      <c r="FE12" s="9"/>
      <c r="FF12" s="48" t="s">
        <v>78</v>
      </c>
      <c r="FG12" s="48">
        <v>7.8</v>
      </c>
      <c r="FH12" s="48"/>
      <c r="FI12" s="48"/>
      <c r="FJ12" s="48"/>
      <c r="FK12" s="31" t="s">
        <v>69</v>
      </c>
      <c r="FL12" s="31">
        <v>32</v>
      </c>
      <c r="FM12" s="31"/>
      <c r="FN12" s="31"/>
      <c r="FO12" s="31"/>
      <c r="FP12" s="49" t="s">
        <v>164</v>
      </c>
      <c r="FQ12" s="49">
        <v>34</v>
      </c>
      <c r="FR12" s="49"/>
      <c r="FS12" s="49"/>
      <c r="FT12" s="49"/>
      <c r="FU12" s="7" t="s">
        <v>114</v>
      </c>
      <c r="FV12" s="7">
        <v>4.2</v>
      </c>
      <c r="FW12" s="7"/>
      <c r="FX12" s="7"/>
      <c r="FY12" s="7"/>
    </row>
    <row r="13" spans="1:181" s="26" customFormat="1" x14ac:dyDescent="0.3">
      <c r="A13" s="26" t="s">
        <v>165</v>
      </c>
      <c r="B13" s="26" t="s">
        <v>166</v>
      </c>
      <c r="C13" s="26" t="s">
        <v>167</v>
      </c>
      <c r="D13" s="26" t="s">
        <v>168</v>
      </c>
      <c r="E13" s="26" t="s">
        <v>41</v>
      </c>
      <c r="F13" s="26" t="s">
        <v>42</v>
      </c>
      <c r="G13" s="26">
        <v>75813</v>
      </c>
      <c r="H13" s="26">
        <v>80220</v>
      </c>
      <c r="I13" s="26">
        <v>86279</v>
      </c>
      <c r="J13" s="26">
        <v>83624</v>
      </c>
      <c r="K13" s="26">
        <v>85375</v>
      </c>
      <c r="L13" s="26">
        <f>35981*1000</f>
        <v>35981000</v>
      </c>
      <c r="M13" s="26">
        <f>39165*1000</f>
        <v>39165000</v>
      </c>
      <c r="N13" s="26">
        <f>36491*1000</f>
        <v>36491000</v>
      </c>
      <c r="O13" s="26">
        <f>61478*1000</f>
        <v>61478000</v>
      </c>
      <c r="P13" s="26">
        <f>66125*1000</f>
        <v>66125000</v>
      </c>
      <c r="Q13" s="31">
        <f>826*1000</f>
        <v>826000</v>
      </c>
      <c r="R13" s="31">
        <f>955*1000</f>
        <v>955000</v>
      </c>
      <c r="S13" s="31">
        <f>888*1000</f>
        <v>888000</v>
      </c>
      <c r="T13" s="31">
        <f>824*1000</f>
        <v>824000</v>
      </c>
      <c r="U13" s="31">
        <f>889*1000</f>
        <v>889000</v>
      </c>
      <c r="V13" s="26">
        <f>63227*1000000</f>
        <v>63227000000</v>
      </c>
      <c r="W13" s="26">
        <f>56636*1000000</f>
        <v>56636000000</v>
      </c>
      <c r="X13" s="26">
        <f>55399*1000000</f>
        <v>55399000000</v>
      </c>
      <c r="Y13" s="26">
        <f>56117*1000000</f>
        <v>56117000000</v>
      </c>
      <c r="Z13" s="26">
        <f>72271*1000000</f>
        <v>72271000000</v>
      </c>
      <c r="AA13" s="26">
        <f>31802*1000000</f>
        <v>31802000000</v>
      </c>
      <c r="AB13" s="26">
        <f>23244*1000000</f>
        <v>23244000000</v>
      </c>
      <c r="AC13" s="26">
        <f>26562*1000000</f>
        <v>26562000000</v>
      </c>
      <c r="AD13" s="26">
        <f>25263*1000000</f>
        <v>25263000000</v>
      </c>
      <c r="AE13" s="26">
        <f>26683*1000000</f>
        <v>26683000000</v>
      </c>
      <c r="AF13" s="31" t="s">
        <v>169</v>
      </c>
      <c r="AG13" s="31" t="s">
        <v>169</v>
      </c>
      <c r="AH13" s="31" t="s">
        <v>169</v>
      </c>
      <c r="AI13" s="31" t="s">
        <v>169</v>
      </c>
      <c r="AJ13" s="31" t="s">
        <v>170</v>
      </c>
      <c r="AK13" s="40" t="s">
        <v>44</v>
      </c>
      <c r="AL13" s="40" t="s">
        <v>44</v>
      </c>
      <c r="AM13" s="40" t="s">
        <v>171</v>
      </c>
      <c r="AN13" s="40" t="s">
        <v>44</v>
      </c>
      <c r="AO13" s="40"/>
      <c r="AP13" s="41" t="s">
        <v>172</v>
      </c>
      <c r="AQ13" s="41">
        <v>5.6</v>
      </c>
      <c r="AR13" s="41">
        <v>4.7</v>
      </c>
      <c r="AS13" s="41">
        <v>5.5</v>
      </c>
      <c r="AT13" s="41"/>
      <c r="AU13" s="31" t="s">
        <v>46</v>
      </c>
      <c r="AV13" s="31">
        <v>50</v>
      </c>
      <c r="AW13" s="31">
        <v>50</v>
      </c>
      <c r="AX13" s="31">
        <v>47</v>
      </c>
      <c r="AY13" s="31"/>
      <c r="AZ13" s="42" t="s">
        <v>110</v>
      </c>
      <c r="BA13" s="42">
        <v>5.8</v>
      </c>
      <c r="BB13" s="42">
        <v>6.9</v>
      </c>
      <c r="BC13" s="42">
        <v>5.5</v>
      </c>
      <c r="BD13" s="42"/>
      <c r="BE13" s="31" t="s">
        <v>48</v>
      </c>
      <c r="BF13" s="31">
        <v>30</v>
      </c>
      <c r="BG13" s="31">
        <v>28</v>
      </c>
      <c r="BH13" s="31">
        <v>16</v>
      </c>
      <c r="BI13" s="31"/>
      <c r="BJ13" s="43" t="s">
        <v>133</v>
      </c>
      <c r="BK13" s="43">
        <v>5.6</v>
      </c>
      <c r="BL13" s="43">
        <v>5.5</v>
      </c>
      <c r="BM13" s="43">
        <v>5.4</v>
      </c>
      <c r="BN13" s="43"/>
      <c r="BO13" s="44" t="s">
        <v>50</v>
      </c>
      <c r="BP13" s="44">
        <v>20</v>
      </c>
      <c r="BQ13" s="44">
        <v>22</v>
      </c>
      <c r="BR13" s="44">
        <v>37</v>
      </c>
      <c r="BS13" s="44"/>
      <c r="BT13" s="31" t="s">
        <v>172</v>
      </c>
      <c r="BU13" s="31">
        <v>4.5999999999999996</v>
      </c>
      <c r="BV13" s="31">
        <v>4.0999999999999996</v>
      </c>
      <c r="BW13" s="31">
        <v>7.1</v>
      </c>
      <c r="BX13" s="31"/>
      <c r="BY13" s="45" t="s">
        <v>50</v>
      </c>
      <c r="BZ13" s="45">
        <v>20</v>
      </c>
      <c r="CA13" s="45">
        <v>22</v>
      </c>
      <c r="CB13" s="45">
        <v>21</v>
      </c>
      <c r="CC13" s="45"/>
      <c r="CD13" s="31" t="s">
        <v>110</v>
      </c>
      <c r="CE13" s="31">
        <v>5.8</v>
      </c>
      <c r="CF13" s="31">
        <v>6.9</v>
      </c>
      <c r="CG13" s="31">
        <v>5.5</v>
      </c>
      <c r="CH13" s="31"/>
      <c r="CI13" s="30" t="s">
        <v>48</v>
      </c>
      <c r="CJ13" s="30">
        <v>30</v>
      </c>
      <c r="CK13" s="30">
        <v>28</v>
      </c>
      <c r="CL13" s="30">
        <v>16</v>
      </c>
      <c r="CM13" s="30"/>
      <c r="CN13" s="31"/>
      <c r="CO13" s="31" t="s">
        <v>151</v>
      </c>
      <c r="CP13" s="31" t="s">
        <v>151</v>
      </c>
      <c r="CQ13" s="31">
        <v>3.7</v>
      </c>
      <c r="CR13" s="31"/>
      <c r="CS13" s="46" t="s">
        <v>57</v>
      </c>
      <c r="CT13" s="46" t="s">
        <v>151</v>
      </c>
      <c r="CU13" s="46">
        <v>0</v>
      </c>
      <c r="CV13" s="46">
        <v>0</v>
      </c>
      <c r="CW13" s="46"/>
      <c r="CX13" s="47" t="s">
        <v>172</v>
      </c>
      <c r="CY13" s="47">
        <v>4.5999999999999996</v>
      </c>
      <c r="CZ13" s="47">
        <v>4.0999999999999996</v>
      </c>
      <c r="DA13" s="47">
        <v>7.1</v>
      </c>
      <c r="DB13" s="47"/>
      <c r="DC13" s="31" t="s">
        <v>50</v>
      </c>
      <c r="DD13" s="31">
        <v>20</v>
      </c>
      <c r="DE13" s="31">
        <v>22</v>
      </c>
      <c r="DF13" s="31">
        <v>21</v>
      </c>
      <c r="DG13" s="31"/>
      <c r="DH13" s="9" t="s">
        <v>173</v>
      </c>
      <c r="DI13" s="9">
        <v>7.5</v>
      </c>
      <c r="DJ13" s="9">
        <v>7.5</v>
      </c>
      <c r="DK13" s="9">
        <v>7</v>
      </c>
      <c r="DL13" s="9"/>
      <c r="DM13" s="30" t="s">
        <v>111</v>
      </c>
      <c r="DN13" s="30">
        <v>5.0999999999999996</v>
      </c>
      <c r="DO13" s="30">
        <v>4.7</v>
      </c>
      <c r="DP13" s="30">
        <v>7.1</v>
      </c>
      <c r="DQ13" s="30"/>
      <c r="DR13" s="31" t="s">
        <v>172</v>
      </c>
      <c r="DS13" s="31">
        <v>6.2</v>
      </c>
      <c r="DT13" s="31">
        <v>5.2</v>
      </c>
      <c r="DU13" s="31">
        <v>4.2</v>
      </c>
      <c r="DV13" s="31"/>
      <c r="DW13" s="9" t="s">
        <v>48</v>
      </c>
      <c r="DX13" s="9">
        <v>30</v>
      </c>
      <c r="DY13" s="9">
        <v>28</v>
      </c>
      <c r="DZ13" s="9">
        <v>26</v>
      </c>
      <c r="EA13" s="9"/>
      <c r="EB13" s="31" t="s">
        <v>161</v>
      </c>
      <c r="EC13" s="31">
        <v>6.9</v>
      </c>
      <c r="ED13" s="31">
        <v>7.1</v>
      </c>
      <c r="EE13" s="31">
        <v>6.8</v>
      </c>
      <c r="EF13" s="31"/>
      <c r="EG13" s="9" t="s">
        <v>164</v>
      </c>
      <c r="EH13" s="9">
        <v>6.1</v>
      </c>
      <c r="EI13" s="9">
        <v>5.3</v>
      </c>
      <c r="EJ13" s="9">
        <v>4</v>
      </c>
      <c r="EK13" s="9"/>
      <c r="EL13" s="31" t="s">
        <v>174</v>
      </c>
      <c r="EM13" s="31">
        <v>34</v>
      </c>
      <c r="EN13" s="31">
        <v>3.2</v>
      </c>
      <c r="EO13" s="31">
        <v>2.7</v>
      </c>
      <c r="EP13" s="31"/>
      <c r="EQ13" s="9" t="s">
        <v>57</v>
      </c>
      <c r="ER13" s="9" t="s">
        <v>151</v>
      </c>
      <c r="ES13" s="9">
        <v>0</v>
      </c>
      <c r="ET13" s="9">
        <v>0</v>
      </c>
      <c r="EU13" s="9"/>
      <c r="EV13" s="31" t="s">
        <v>175</v>
      </c>
      <c r="EW13" s="31">
        <v>8.3000000000000007</v>
      </c>
      <c r="EX13" s="31">
        <v>8.5</v>
      </c>
      <c r="EY13" s="31">
        <v>8.8000000000000007</v>
      </c>
      <c r="EZ13" s="31"/>
      <c r="FA13" s="9" t="s">
        <v>92</v>
      </c>
      <c r="FB13" s="9">
        <v>4.7</v>
      </c>
      <c r="FC13" s="9">
        <v>4.7</v>
      </c>
      <c r="FD13" s="9">
        <v>4.5</v>
      </c>
      <c r="FE13" s="9"/>
      <c r="FF13" s="48" t="s">
        <v>110</v>
      </c>
      <c r="FG13" s="48">
        <v>5.8</v>
      </c>
      <c r="FH13" s="48">
        <v>6.9</v>
      </c>
      <c r="FI13" s="48">
        <v>5.5</v>
      </c>
      <c r="FJ13" s="48"/>
      <c r="FK13" s="31" t="s">
        <v>48</v>
      </c>
      <c r="FL13" s="31">
        <v>30</v>
      </c>
      <c r="FM13" s="31">
        <v>28</v>
      </c>
      <c r="FN13" s="31">
        <v>16</v>
      </c>
      <c r="FO13" s="31"/>
      <c r="FP13" s="49" t="s">
        <v>71</v>
      </c>
      <c r="FQ13" s="49">
        <v>6.4</v>
      </c>
      <c r="FR13" s="49">
        <v>6.2</v>
      </c>
      <c r="FS13" s="49">
        <v>5.5</v>
      </c>
      <c r="FT13" s="49"/>
      <c r="FU13" s="7" t="s">
        <v>103</v>
      </c>
      <c r="FV13" s="7">
        <v>5.2</v>
      </c>
      <c r="FW13" s="7">
        <v>6.1</v>
      </c>
      <c r="FX13" s="7">
        <v>4</v>
      </c>
      <c r="FY13" s="7"/>
    </row>
    <row r="14" spans="1:181" s="26" customFormat="1" x14ac:dyDescent="0.3">
      <c r="A14" s="26" t="s">
        <v>176</v>
      </c>
      <c r="B14" s="26" t="s">
        <v>177</v>
      </c>
      <c r="C14" s="26" t="s">
        <v>178</v>
      </c>
      <c r="D14" s="26" t="s">
        <v>179</v>
      </c>
      <c r="E14" s="26" t="s">
        <v>180</v>
      </c>
      <c r="F14" s="26" t="s">
        <v>64</v>
      </c>
      <c r="G14" s="26">
        <v>15046</v>
      </c>
      <c r="H14" s="26">
        <v>13880</v>
      </c>
      <c r="I14" s="26">
        <v>12990</v>
      </c>
      <c r="J14" s="26">
        <v>13142</v>
      </c>
      <c r="K14" s="26">
        <v>13395</v>
      </c>
      <c r="L14" s="26">
        <v>20944250.899999999</v>
      </c>
      <c r="M14" s="26">
        <v>21012020.199999999</v>
      </c>
      <c r="N14" s="26">
        <v>2035903.3</v>
      </c>
      <c r="O14" s="26">
        <v>16959830.199999999</v>
      </c>
      <c r="P14" s="26">
        <v>682184</v>
      </c>
      <c r="Q14" s="31">
        <v>318.39999999999998</v>
      </c>
      <c r="R14" s="31">
        <v>241.8</v>
      </c>
      <c r="S14" s="31">
        <v>230.71</v>
      </c>
      <c r="T14" s="31">
        <v>77190.8</v>
      </c>
      <c r="U14" s="31">
        <v>86315</v>
      </c>
      <c r="V14" s="26">
        <f>184485*1000</f>
        <v>184485000</v>
      </c>
      <c r="W14" s="26">
        <f>14119631*1000</f>
        <v>14119631000</v>
      </c>
      <c r="X14" s="26">
        <f>21711249*1000</f>
        <v>21711249000</v>
      </c>
      <c r="Y14" s="26">
        <f>182191*1000</f>
        <v>182191000</v>
      </c>
      <c r="Z14" s="26">
        <f>81253*1000</f>
        <v>81253000</v>
      </c>
      <c r="AA14" s="26">
        <f>615683*1000</f>
        <v>615683000</v>
      </c>
      <c r="AB14" s="26">
        <f>(909220+6098830)*1000</f>
        <v>7008050000</v>
      </c>
      <c r="AC14" s="26">
        <f>(14666102+1272949)*1000</f>
        <v>15939051000</v>
      </c>
      <c r="AD14" s="26">
        <f>250649*1000</f>
        <v>250649000</v>
      </c>
      <c r="AE14" s="26">
        <f>16281*1000</f>
        <v>16281000</v>
      </c>
      <c r="AF14" s="31" t="s">
        <v>170</v>
      </c>
      <c r="AG14" s="31" t="s">
        <v>170</v>
      </c>
      <c r="AH14" s="31" t="s">
        <v>170</v>
      </c>
      <c r="AI14" s="31" t="s">
        <v>170</v>
      </c>
      <c r="AJ14" s="31" t="s">
        <v>170</v>
      </c>
      <c r="AK14" s="40" t="s">
        <v>43</v>
      </c>
      <c r="AL14" s="40" t="s">
        <v>43</v>
      </c>
      <c r="AM14" s="40" t="s">
        <v>44</v>
      </c>
      <c r="AN14" s="40" t="s">
        <v>44</v>
      </c>
      <c r="AO14" s="40"/>
      <c r="AP14" s="41" t="s">
        <v>172</v>
      </c>
      <c r="AQ14" s="41">
        <v>6.9</v>
      </c>
      <c r="AR14" s="41">
        <v>6.7</v>
      </c>
      <c r="AS14" s="41">
        <v>6.3</v>
      </c>
      <c r="AT14" s="41"/>
      <c r="AU14" s="31" t="s">
        <v>67</v>
      </c>
      <c r="AV14" s="31">
        <v>22</v>
      </c>
      <c r="AW14" s="31">
        <v>24</v>
      </c>
      <c r="AX14" s="31">
        <v>21</v>
      </c>
      <c r="AY14" s="31"/>
      <c r="AZ14" s="42" t="s">
        <v>181</v>
      </c>
      <c r="BA14" s="42">
        <v>7.5</v>
      </c>
      <c r="BB14" s="42">
        <v>7.7</v>
      </c>
      <c r="BC14" s="42">
        <v>7.7</v>
      </c>
      <c r="BD14" s="42"/>
      <c r="BE14" s="31" t="s">
        <v>69</v>
      </c>
      <c r="BF14" s="31">
        <v>28</v>
      </c>
      <c r="BG14" s="31">
        <v>24</v>
      </c>
      <c r="BH14" s="31">
        <v>21</v>
      </c>
      <c r="BI14" s="31"/>
      <c r="BJ14" s="43" t="s">
        <v>66</v>
      </c>
      <c r="BK14" s="43">
        <v>5.2</v>
      </c>
      <c r="BL14" s="43">
        <v>4.4000000000000004</v>
      </c>
      <c r="BM14" s="43">
        <v>4.5999999999999996</v>
      </c>
      <c r="BN14" s="43"/>
      <c r="BO14" s="44" t="s">
        <v>46</v>
      </c>
      <c r="BP14" s="44">
        <v>50</v>
      </c>
      <c r="BQ14" s="44">
        <v>52</v>
      </c>
      <c r="BR14" s="44">
        <v>58</v>
      </c>
      <c r="BS14" s="44"/>
      <c r="BT14" s="31" t="s">
        <v>182</v>
      </c>
      <c r="BU14" s="31">
        <v>10</v>
      </c>
      <c r="BV14" s="31">
        <v>5</v>
      </c>
      <c r="BW14" s="31">
        <v>10</v>
      </c>
      <c r="BX14" s="31"/>
      <c r="BY14" s="45" t="s">
        <v>57</v>
      </c>
      <c r="BZ14" s="45">
        <v>0</v>
      </c>
      <c r="CA14" s="45">
        <v>0</v>
      </c>
      <c r="CB14" s="45">
        <v>0</v>
      </c>
      <c r="CC14" s="45"/>
      <c r="CD14" s="31" t="s">
        <v>181</v>
      </c>
      <c r="CE14" s="31">
        <v>7.5</v>
      </c>
      <c r="CF14" s="31">
        <v>7.7</v>
      </c>
      <c r="CG14" s="31">
        <v>7.7</v>
      </c>
      <c r="CH14" s="31"/>
      <c r="CI14" s="30" t="s">
        <v>69</v>
      </c>
      <c r="CJ14" s="30">
        <v>28</v>
      </c>
      <c r="CK14" s="30">
        <v>24</v>
      </c>
      <c r="CL14" s="30">
        <v>21</v>
      </c>
      <c r="CM14" s="30"/>
      <c r="CN14" s="31" t="s">
        <v>99</v>
      </c>
      <c r="CO14" s="31">
        <v>4.7</v>
      </c>
      <c r="CP14" s="31">
        <v>4.4000000000000004</v>
      </c>
      <c r="CQ14" s="31">
        <v>4.8</v>
      </c>
      <c r="CR14" s="31"/>
      <c r="CS14" s="46" t="s">
        <v>69</v>
      </c>
      <c r="CT14" s="46">
        <v>28</v>
      </c>
      <c r="CU14" s="46">
        <v>28</v>
      </c>
      <c r="CV14" s="46">
        <v>29</v>
      </c>
      <c r="CW14" s="46"/>
      <c r="CX14" s="47" t="s">
        <v>182</v>
      </c>
      <c r="CY14" s="47">
        <v>10</v>
      </c>
      <c r="CZ14" s="47">
        <v>5</v>
      </c>
      <c r="DA14" s="47">
        <v>10</v>
      </c>
      <c r="DB14" s="47"/>
      <c r="DC14" s="31" t="s">
        <v>57</v>
      </c>
      <c r="DD14" s="31">
        <v>0</v>
      </c>
      <c r="DE14" s="31">
        <v>0</v>
      </c>
      <c r="DF14" s="31">
        <v>0</v>
      </c>
      <c r="DG14" s="31"/>
      <c r="DH14" s="9" t="s">
        <v>101</v>
      </c>
      <c r="DI14" s="9">
        <v>2.1</v>
      </c>
      <c r="DJ14" s="9">
        <v>2</v>
      </c>
      <c r="DK14" s="9">
        <v>2</v>
      </c>
      <c r="DL14" s="9"/>
      <c r="DM14" s="30" t="s">
        <v>110</v>
      </c>
      <c r="DN14" s="30">
        <v>6.3</v>
      </c>
      <c r="DO14" s="30">
        <v>0</v>
      </c>
      <c r="DP14" s="30">
        <v>7</v>
      </c>
      <c r="DQ14" s="30"/>
      <c r="DR14" s="31" t="s">
        <v>152</v>
      </c>
      <c r="DS14" s="31">
        <v>6</v>
      </c>
      <c r="DT14" s="31" t="s">
        <v>151</v>
      </c>
      <c r="DU14" s="31" t="s">
        <v>151</v>
      </c>
      <c r="DV14" s="31"/>
      <c r="DW14" s="9" t="s">
        <v>57</v>
      </c>
      <c r="DX14" s="9">
        <v>0</v>
      </c>
      <c r="DY14" s="9">
        <v>0</v>
      </c>
      <c r="DZ14" s="9">
        <v>0</v>
      </c>
      <c r="EA14" s="9"/>
      <c r="EB14" s="31" t="s">
        <v>183</v>
      </c>
      <c r="EC14" s="31">
        <v>6</v>
      </c>
      <c r="ED14" s="31">
        <v>6.1</v>
      </c>
      <c r="EE14" s="31">
        <v>6.3</v>
      </c>
      <c r="EF14" s="31"/>
      <c r="EG14" s="9" t="s">
        <v>45</v>
      </c>
      <c r="EH14" s="9">
        <v>5</v>
      </c>
      <c r="EI14" s="9" t="s">
        <v>151</v>
      </c>
      <c r="EJ14" s="9" t="s">
        <v>151</v>
      </c>
      <c r="EK14" s="9"/>
      <c r="EL14" s="31" t="s">
        <v>159</v>
      </c>
      <c r="EM14" s="31">
        <v>2.9</v>
      </c>
      <c r="EN14" s="31" t="s">
        <v>151</v>
      </c>
      <c r="EO14" s="31" t="s">
        <v>151</v>
      </c>
      <c r="EP14" s="31"/>
      <c r="EQ14" s="9" t="s">
        <v>57</v>
      </c>
      <c r="ER14" s="9">
        <v>0</v>
      </c>
      <c r="ES14" s="9">
        <v>0</v>
      </c>
      <c r="ET14" s="9">
        <v>0</v>
      </c>
      <c r="EU14" s="9"/>
      <c r="EV14" s="31" t="s">
        <v>184</v>
      </c>
      <c r="EW14" s="31">
        <v>8.9700000000000006</v>
      </c>
      <c r="EX14" s="31" t="s">
        <v>151</v>
      </c>
      <c r="EY14" s="31" t="s">
        <v>151</v>
      </c>
      <c r="EZ14" s="31"/>
      <c r="FA14" s="9" t="s">
        <v>54</v>
      </c>
      <c r="FB14" s="9">
        <v>4.9000000000000004</v>
      </c>
      <c r="FC14" s="9" t="s">
        <v>151</v>
      </c>
      <c r="FD14" s="9" t="s">
        <v>151</v>
      </c>
      <c r="FE14" s="9"/>
      <c r="FF14" s="48" t="s">
        <v>181</v>
      </c>
      <c r="FG14" s="48">
        <v>7.5</v>
      </c>
      <c r="FH14" s="48">
        <v>7.7</v>
      </c>
      <c r="FI14" s="48">
        <v>7.7</v>
      </c>
      <c r="FJ14" s="48"/>
      <c r="FK14" s="31" t="s">
        <v>69</v>
      </c>
      <c r="FL14" s="31">
        <v>28</v>
      </c>
      <c r="FM14" s="31">
        <v>24</v>
      </c>
      <c r="FN14" s="31">
        <v>21</v>
      </c>
      <c r="FO14" s="31"/>
      <c r="FP14" s="49" t="s">
        <v>140</v>
      </c>
      <c r="FQ14" s="49">
        <v>4.2</v>
      </c>
      <c r="FR14" s="49">
        <v>4.3</v>
      </c>
      <c r="FS14" s="49">
        <v>4.4000000000000004</v>
      </c>
      <c r="FT14" s="49"/>
      <c r="FU14" s="7" t="s">
        <v>185</v>
      </c>
      <c r="FV14" s="7">
        <v>4.7</v>
      </c>
      <c r="FW14" s="7">
        <v>5</v>
      </c>
      <c r="FX14" s="7">
        <v>5.0999999999999996</v>
      </c>
      <c r="FY14" s="7"/>
    </row>
    <row r="15" spans="1:181" x14ac:dyDescent="0.3">
      <c r="A15" t="s">
        <v>186</v>
      </c>
      <c r="B15" t="s">
        <v>187</v>
      </c>
      <c r="D15" t="s">
        <v>188</v>
      </c>
      <c r="E15" t="s">
        <v>189</v>
      </c>
      <c r="F15" t="s">
        <v>64</v>
      </c>
      <c r="G15" s="6">
        <v>17422</v>
      </c>
      <c r="H15" s="6">
        <v>25819</v>
      </c>
      <c r="I15" s="6">
        <v>26122</v>
      </c>
      <c r="J15" s="6">
        <v>24447</v>
      </c>
      <c r="K15" s="6">
        <v>25720</v>
      </c>
      <c r="L15" s="18">
        <v>44600</v>
      </c>
      <c r="M15" s="18">
        <v>228574</v>
      </c>
      <c r="N15" s="18">
        <v>2737601</v>
      </c>
      <c r="O15" s="18">
        <v>2751881</v>
      </c>
      <c r="P15" s="18">
        <v>1168283</v>
      </c>
      <c r="Q15" s="7">
        <v>37.9</v>
      </c>
      <c r="R15" s="7">
        <v>33</v>
      </c>
      <c r="S15" s="7">
        <v>33</v>
      </c>
      <c r="T15" s="7">
        <v>22</v>
      </c>
      <c r="U15" s="7">
        <v>25</v>
      </c>
      <c r="V15" s="8">
        <f>14276*1000000</f>
        <v>14276000000</v>
      </c>
      <c r="W15" s="8">
        <f>16067*1000000</f>
        <v>16067000000</v>
      </c>
      <c r="X15" s="8">
        <f>12137*1000000</f>
        <v>12137000000</v>
      </c>
      <c r="Y15" s="8">
        <f>14678*1000000</f>
        <v>14678000000</v>
      </c>
      <c r="Z15" s="8">
        <f>14205*1000000</f>
        <v>14205000000</v>
      </c>
      <c r="AA15" s="19">
        <f>10733*1000000</f>
        <v>10733000000</v>
      </c>
      <c r="AB15" s="19">
        <f>11644*1000000</f>
        <v>11644000000</v>
      </c>
      <c r="AC15" s="19">
        <f>6745*1000000</f>
        <v>6745000000</v>
      </c>
      <c r="AD15" s="19">
        <f>10340*1000000</f>
        <v>10340000000</v>
      </c>
      <c r="AE15" s="19">
        <f>10027*1000000</f>
        <v>10027000000</v>
      </c>
      <c r="AF15" s="9" t="s">
        <v>170</v>
      </c>
      <c r="AG15" s="9" t="s">
        <v>170</v>
      </c>
      <c r="AH15" s="9" t="s">
        <v>170</v>
      </c>
      <c r="AI15" s="9" t="s">
        <v>170</v>
      </c>
      <c r="AJ15" s="9" t="s">
        <v>170</v>
      </c>
      <c r="AK15" s="40" t="s">
        <v>190</v>
      </c>
      <c r="AL15" s="40" t="s">
        <v>43</v>
      </c>
      <c r="AM15" s="40" t="s">
        <v>44</v>
      </c>
      <c r="AN15" s="40" t="s">
        <v>44</v>
      </c>
      <c r="AP15" s="41" t="s">
        <v>191</v>
      </c>
      <c r="AQ15" s="41">
        <v>8.6</v>
      </c>
      <c r="AR15" s="41">
        <v>8.5</v>
      </c>
      <c r="AS15" s="41">
        <v>9.5</v>
      </c>
      <c r="AU15" s="20" t="s">
        <v>67</v>
      </c>
      <c r="AV15" s="20">
        <v>22</v>
      </c>
      <c r="AW15" s="20">
        <v>24</v>
      </c>
      <c r="AX15" s="20">
        <v>19</v>
      </c>
      <c r="AZ15" s="42" t="s">
        <v>192</v>
      </c>
      <c r="BA15" s="42">
        <v>9.6</v>
      </c>
      <c r="BB15" s="42">
        <v>9.6</v>
      </c>
      <c r="BC15" s="42">
        <v>8.5</v>
      </c>
      <c r="BE15" s="20" t="s">
        <v>69</v>
      </c>
      <c r="BF15" s="20">
        <v>28</v>
      </c>
      <c r="BG15" s="20">
        <v>24</v>
      </c>
      <c r="BH15" s="20">
        <v>37</v>
      </c>
      <c r="BJ15" s="43" t="s">
        <v>66</v>
      </c>
      <c r="BK15" s="43">
        <v>3.9</v>
      </c>
      <c r="BL15" s="43">
        <v>3.8</v>
      </c>
      <c r="BM15" s="43">
        <v>3.2</v>
      </c>
      <c r="BO15" s="44" t="s">
        <v>46</v>
      </c>
      <c r="BP15" s="44">
        <v>50</v>
      </c>
      <c r="BQ15" s="44">
        <v>52</v>
      </c>
      <c r="BR15" s="44">
        <v>44</v>
      </c>
      <c r="BT15" s="20" t="s">
        <v>181</v>
      </c>
      <c r="BU15" s="20">
        <v>8</v>
      </c>
      <c r="BV15" s="20">
        <v>8</v>
      </c>
      <c r="BW15" s="20">
        <v>8</v>
      </c>
      <c r="BY15" s="45" t="s">
        <v>57</v>
      </c>
      <c r="BZ15" s="45">
        <v>0</v>
      </c>
      <c r="CA15" s="45">
        <v>0</v>
      </c>
      <c r="CB15" s="45">
        <v>0</v>
      </c>
      <c r="CD15" s="20" t="s">
        <v>192</v>
      </c>
      <c r="CE15" s="20">
        <v>9.6</v>
      </c>
      <c r="CF15" s="20">
        <v>9.6</v>
      </c>
      <c r="CG15" s="20">
        <v>9.6</v>
      </c>
      <c r="CI15" s="30" t="s">
        <v>69</v>
      </c>
      <c r="CJ15" s="30">
        <v>28</v>
      </c>
      <c r="CK15" s="30">
        <v>24</v>
      </c>
      <c r="CL15" s="30">
        <v>19</v>
      </c>
      <c r="CN15" s="20" t="s">
        <v>138</v>
      </c>
      <c r="CO15" s="20">
        <v>4.7</v>
      </c>
      <c r="CP15" s="20">
        <v>4.4000000000000004</v>
      </c>
      <c r="CQ15" s="20">
        <v>7.3</v>
      </c>
      <c r="CS15" s="46" t="s">
        <v>69</v>
      </c>
      <c r="CT15" s="46">
        <v>28</v>
      </c>
      <c r="CU15" s="46">
        <v>28</v>
      </c>
      <c r="CV15" s="46">
        <v>0</v>
      </c>
      <c r="CX15" s="47" t="s">
        <v>181</v>
      </c>
      <c r="CY15" s="47">
        <v>8</v>
      </c>
      <c r="CZ15" s="47">
        <v>8</v>
      </c>
      <c r="DA15" s="47">
        <v>8</v>
      </c>
      <c r="DC15" s="20" t="s">
        <v>57</v>
      </c>
      <c r="DD15" s="20">
        <v>0</v>
      </c>
      <c r="DE15" s="20">
        <v>0</v>
      </c>
      <c r="DF15" s="20">
        <v>0</v>
      </c>
      <c r="DH15" s="9" t="s">
        <v>93</v>
      </c>
      <c r="DI15" s="9">
        <v>5.3</v>
      </c>
      <c r="DJ15" s="9">
        <v>5.3</v>
      </c>
      <c r="DK15" s="9">
        <v>5.3</v>
      </c>
      <c r="DM15" s="30" t="s">
        <v>138</v>
      </c>
      <c r="DN15" s="30">
        <v>6.3</v>
      </c>
      <c r="DO15" s="30">
        <v>6.3</v>
      </c>
      <c r="DP15" s="30">
        <v>6.3</v>
      </c>
      <c r="DR15" s="20" t="s">
        <v>123</v>
      </c>
      <c r="DS15" s="20">
        <v>10</v>
      </c>
      <c r="DT15" s="20" t="s">
        <v>151</v>
      </c>
      <c r="DU15" s="20" t="s">
        <v>151</v>
      </c>
      <c r="DW15" s="9" t="s">
        <v>57</v>
      </c>
      <c r="DX15" s="9">
        <v>0</v>
      </c>
      <c r="DY15" s="9">
        <v>0</v>
      </c>
      <c r="DZ15" s="9">
        <v>0</v>
      </c>
      <c r="EB15" s="20" t="s">
        <v>112</v>
      </c>
      <c r="EC15" s="20">
        <v>3.4</v>
      </c>
      <c r="ED15" s="20">
        <v>3.4</v>
      </c>
      <c r="EE15" s="20">
        <v>3.4</v>
      </c>
      <c r="EG15" s="9" t="s">
        <v>172</v>
      </c>
      <c r="EH15" s="9">
        <v>7.3</v>
      </c>
      <c r="EI15" s="9" t="s">
        <v>151</v>
      </c>
      <c r="EJ15" s="9" t="s">
        <v>151</v>
      </c>
      <c r="EL15" s="20" t="s">
        <v>58</v>
      </c>
      <c r="EM15" s="20">
        <v>5.2</v>
      </c>
      <c r="EN15" s="20">
        <v>1.2</v>
      </c>
      <c r="EO15" s="20">
        <v>3.2</v>
      </c>
      <c r="EQ15" s="9" t="s">
        <v>57</v>
      </c>
      <c r="ER15" s="9">
        <v>0</v>
      </c>
      <c r="ES15" s="9">
        <v>0</v>
      </c>
      <c r="ET15" s="9">
        <v>0</v>
      </c>
      <c r="EV15" s="20" t="s">
        <v>193</v>
      </c>
      <c r="EW15" s="20">
        <v>8.26</v>
      </c>
      <c r="EX15" s="20">
        <v>8.6999999999999993</v>
      </c>
      <c r="EY15" s="20">
        <v>9.1999999999999993</v>
      </c>
      <c r="FA15" s="9" t="s">
        <v>49</v>
      </c>
      <c r="FB15" s="9">
        <v>6.5</v>
      </c>
      <c r="FC15" s="9">
        <v>2.9</v>
      </c>
      <c r="FD15" s="9">
        <v>5.4</v>
      </c>
      <c r="FF15" s="48" t="s">
        <v>192</v>
      </c>
      <c r="FG15" s="48">
        <v>9.6</v>
      </c>
      <c r="FH15" s="48">
        <v>9.6</v>
      </c>
      <c r="FI15" s="48">
        <v>9.6</v>
      </c>
      <c r="FK15" s="20" t="s">
        <v>69</v>
      </c>
      <c r="FL15" s="20">
        <v>28</v>
      </c>
      <c r="FM15" s="20">
        <v>24</v>
      </c>
      <c r="FN15" s="20">
        <v>19</v>
      </c>
      <c r="FP15" s="49" t="s">
        <v>174</v>
      </c>
      <c r="FQ15" s="49">
        <v>3.7</v>
      </c>
      <c r="FR15" s="49">
        <v>3.7</v>
      </c>
      <c r="FS15" s="49">
        <v>3.7</v>
      </c>
      <c r="FU15" s="7" t="s">
        <v>77</v>
      </c>
      <c r="FV15" s="7">
        <v>6.3</v>
      </c>
      <c r="FW15" s="7">
        <v>6.3</v>
      </c>
      <c r="FX15" s="7">
        <v>6.3</v>
      </c>
    </row>
    <row r="16" spans="1:181" x14ac:dyDescent="0.3">
      <c r="A16" t="s">
        <v>194</v>
      </c>
      <c r="B16" t="s">
        <v>195</v>
      </c>
      <c r="D16" t="s">
        <v>196</v>
      </c>
      <c r="E16" t="s">
        <v>63</v>
      </c>
      <c r="F16" t="s">
        <v>64</v>
      </c>
      <c r="AK16" s="40" t="s">
        <v>44</v>
      </c>
      <c r="AL16" s="40" t="s">
        <v>44</v>
      </c>
      <c r="AM16" s="40" t="s">
        <v>84</v>
      </c>
      <c r="AP16" s="41" t="s">
        <v>125</v>
      </c>
      <c r="AQ16" s="41">
        <v>6.5</v>
      </c>
      <c r="AR16" s="41">
        <v>5.9</v>
      </c>
      <c r="AU16" s="20" t="s">
        <v>67</v>
      </c>
      <c r="AV16" s="20">
        <v>22</v>
      </c>
      <c r="AW16" s="20">
        <v>24</v>
      </c>
      <c r="AZ16" s="42" t="s">
        <v>47</v>
      </c>
      <c r="BA16" s="42">
        <v>6.4</v>
      </c>
      <c r="BB16" s="42">
        <v>2.2999999999999998</v>
      </c>
      <c r="BE16" s="20" t="s">
        <v>69</v>
      </c>
      <c r="BF16" s="20">
        <v>28</v>
      </c>
      <c r="BG16" s="20">
        <v>24</v>
      </c>
      <c r="BJ16" s="43" t="s">
        <v>58</v>
      </c>
      <c r="BK16" s="43">
        <v>5.2</v>
      </c>
      <c r="BL16" s="43">
        <v>4.5</v>
      </c>
      <c r="BO16" s="44" t="s">
        <v>46</v>
      </c>
      <c r="BP16" s="44">
        <v>50</v>
      </c>
      <c r="BQ16" s="44">
        <v>52</v>
      </c>
      <c r="BT16" s="20" t="s">
        <v>123</v>
      </c>
      <c r="BU16" s="20">
        <v>10</v>
      </c>
      <c r="BV16" s="20">
        <v>10</v>
      </c>
      <c r="BY16" s="45" t="s">
        <v>57</v>
      </c>
      <c r="BZ16" s="45">
        <v>0</v>
      </c>
      <c r="CA16" s="45">
        <v>0</v>
      </c>
      <c r="CD16" s="20" t="s">
        <v>47</v>
      </c>
      <c r="CE16" s="20">
        <v>6.4</v>
      </c>
      <c r="CF16" s="20">
        <v>2.2999999999999998</v>
      </c>
      <c r="CI16" s="30" t="s">
        <v>69</v>
      </c>
      <c r="CJ16" s="30">
        <v>28</v>
      </c>
      <c r="CK16" s="30">
        <v>24</v>
      </c>
      <c r="CN16" s="20" t="s">
        <v>152</v>
      </c>
      <c r="CO16" s="20">
        <v>4.9000000000000004</v>
      </c>
      <c r="CP16" s="20">
        <v>4.5</v>
      </c>
      <c r="CS16" s="46" t="s">
        <v>69</v>
      </c>
      <c r="CT16" s="46">
        <v>28</v>
      </c>
      <c r="CU16" s="46">
        <v>28</v>
      </c>
      <c r="CX16" s="47" t="s">
        <v>123</v>
      </c>
      <c r="CY16" s="47">
        <v>10</v>
      </c>
      <c r="CZ16" s="47">
        <v>10</v>
      </c>
      <c r="DC16" s="20" t="s">
        <v>57</v>
      </c>
      <c r="DD16" s="20">
        <v>0</v>
      </c>
      <c r="DE16" s="20">
        <v>0</v>
      </c>
      <c r="DH16" s="9" t="s">
        <v>70</v>
      </c>
      <c r="DI16" s="9">
        <v>2.6</v>
      </c>
      <c r="DJ16" s="9">
        <v>2.7</v>
      </c>
      <c r="DM16" s="30" t="s">
        <v>85</v>
      </c>
      <c r="DN16" s="30">
        <v>6.3</v>
      </c>
      <c r="DO16" s="30">
        <v>6.3</v>
      </c>
      <c r="DR16" s="20" t="s">
        <v>58</v>
      </c>
      <c r="DS16" s="20">
        <v>6</v>
      </c>
      <c r="DT16" s="20" t="s">
        <v>151</v>
      </c>
      <c r="DW16" s="9" t="s">
        <v>57</v>
      </c>
      <c r="DX16" s="9">
        <v>0</v>
      </c>
      <c r="DY16" s="9">
        <v>0</v>
      </c>
      <c r="EB16" s="20" t="s">
        <v>153</v>
      </c>
      <c r="EC16" s="20">
        <v>6</v>
      </c>
      <c r="ED16" s="20">
        <v>5.9</v>
      </c>
      <c r="EG16" s="9" t="s">
        <v>109</v>
      </c>
      <c r="EH16" s="9">
        <v>5</v>
      </c>
      <c r="EI16" s="9">
        <v>0</v>
      </c>
      <c r="EL16" s="20" t="s">
        <v>109</v>
      </c>
      <c r="EM16" s="20">
        <v>4.2</v>
      </c>
      <c r="EN16" s="20">
        <v>3</v>
      </c>
      <c r="EQ16" s="9" t="s">
        <v>57</v>
      </c>
      <c r="ER16" s="9">
        <v>0</v>
      </c>
      <c r="ES16" s="9">
        <v>0</v>
      </c>
      <c r="EV16" s="20" t="s">
        <v>154</v>
      </c>
      <c r="EW16" s="20">
        <v>8.7200000000000006</v>
      </c>
      <c r="EX16" s="20">
        <v>8.9</v>
      </c>
      <c r="FA16" s="9" t="s">
        <v>91</v>
      </c>
      <c r="FB16" s="9">
        <v>5.9</v>
      </c>
      <c r="FC16" s="9">
        <v>4.9000000000000004</v>
      </c>
      <c r="FF16" s="48" t="s">
        <v>47</v>
      </c>
      <c r="FG16" s="48">
        <v>6.4</v>
      </c>
      <c r="FH16" s="48">
        <v>2.2999999999999998</v>
      </c>
      <c r="FK16" s="20" t="s">
        <v>69</v>
      </c>
      <c r="FL16" s="20">
        <v>28</v>
      </c>
      <c r="FM16" s="20">
        <v>24</v>
      </c>
      <c r="FP16" s="49" t="s">
        <v>88</v>
      </c>
      <c r="FQ16" s="49">
        <v>4.7</v>
      </c>
      <c r="FR16" s="49">
        <v>4.7</v>
      </c>
      <c r="FU16" s="7" t="s">
        <v>75</v>
      </c>
      <c r="FV16" s="7">
        <v>4.0999999999999996</v>
      </c>
      <c r="FW16" s="7">
        <v>0</v>
      </c>
    </row>
    <row r="17" spans="1:181" x14ac:dyDescent="0.3">
      <c r="A17" t="s">
        <v>197</v>
      </c>
      <c r="B17" t="s">
        <v>198</v>
      </c>
      <c r="D17" t="s">
        <v>199</v>
      </c>
      <c r="E17" t="s">
        <v>41</v>
      </c>
      <c r="F17" t="s">
        <v>42</v>
      </c>
      <c r="G17" s="6">
        <v>1062</v>
      </c>
      <c r="H17" s="6">
        <v>1091</v>
      </c>
      <c r="I17" s="6">
        <v>1110</v>
      </c>
      <c r="J17" s="6">
        <v>1229</v>
      </c>
      <c r="K17" s="6">
        <f>379+674</f>
        <v>1053</v>
      </c>
      <c r="L17" s="18" t="s">
        <v>151</v>
      </c>
      <c r="M17" s="18" t="s">
        <v>151</v>
      </c>
      <c r="N17" s="18">
        <v>4092000</v>
      </c>
      <c r="O17" s="18">
        <f>4296000</f>
        <v>4296000</v>
      </c>
      <c r="P17" s="18">
        <f>4664*1000</f>
        <v>4664000</v>
      </c>
      <c r="Q17" s="7" t="s">
        <v>151</v>
      </c>
      <c r="R17" s="7" t="s">
        <v>151</v>
      </c>
      <c r="S17" s="7">
        <v>129000</v>
      </c>
      <c r="T17" s="7">
        <f>134000</f>
        <v>134000</v>
      </c>
      <c r="U17" s="7">
        <f>130*1000</f>
        <v>130000</v>
      </c>
      <c r="V17" s="23">
        <f>1326.5*1000000</f>
        <v>1326500000</v>
      </c>
      <c r="W17" s="23">
        <f>1464.4*1000000</f>
        <v>1464400000</v>
      </c>
      <c r="X17" s="23">
        <f>1742.4*1000000</f>
        <v>1742400000</v>
      </c>
      <c r="Y17" s="23">
        <f>1824.8*1000000</f>
        <v>1824800000</v>
      </c>
      <c r="Z17" s="23">
        <f>2453.5*1000000</f>
        <v>2453500000</v>
      </c>
      <c r="AA17" s="23">
        <f>492060*1000</f>
        <v>492060000</v>
      </c>
      <c r="AB17" s="23">
        <f>637.6*1000000</f>
        <v>637600000</v>
      </c>
      <c r="AC17" s="23">
        <f>883.4*1000000</f>
        <v>883400000</v>
      </c>
      <c r="AD17" s="23">
        <f>922.3*1000000</f>
        <v>922300000</v>
      </c>
      <c r="AE17" s="23">
        <f>1460.2*1000000</f>
        <v>1460200000</v>
      </c>
      <c r="AF17" s="9" t="s">
        <v>169</v>
      </c>
      <c r="AG17" s="9" t="s">
        <v>169</v>
      </c>
      <c r="AH17" s="9" t="s">
        <v>169</v>
      </c>
      <c r="AI17" s="9" t="s">
        <v>169</v>
      </c>
      <c r="AJ17" s="9" t="s">
        <v>169</v>
      </c>
      <c r="AK17" s="40" t="s">
        <v>44</v>
      </c>
      <c r="AL17" s="40" t="s">
        <v>44</v>
      </c>
      <c r="AM17" s="40" t="s">
        <v>171</v>
      </c>
      <c r="AN17" s="40" t="s">
        <v>171</v>
      </c>
      <c r="AP17" s="41" t="s">
        <v>93</v>
      </c>
      <c r="AQ17" s="41">
        <v>4.0999999999999996</v>
      </c>
      <c r="AR17" s="41">
        <v>4.4000000000000004</v>
      </c>
      <c r="AS17" s="41">
        <v>5</v>
      </c>
      <c r="AU17" s="20" t="s">
        <v>46</v>
      </c>
      <c r="AV17" s="20">
        <v>50</v>
      </c>
      <c r="AW17" s="20">
        <v>50</v>
      </c>
      <c r="AX17" s="20">
        <v>47</v>
      </c>
      <c r="AZ17" s="42" t="s">
        <v>93</v>
      </c>
      <c r="BA17" s="42">
        <v>8.3000000000000007</v>
      </c>
      <c r="BB17" s="42">
        <v>7.1</v>
      </c>
      <c r="BC17" s="42">
        <v>5.5</v>
      </c>
      <c r="BE17" s="20" t="s">
        <v>48</v>
      </c>
      <c r="BF17" s="20">
        <v>30</v>
      </c>
      <c r="BG17" s="20">
        <v>28</v>
      </c>
      <c r="BH17" s="20">
        <v>16</v>
      </c>
      <c r="BJ17" s="43" t="s">
        <v>53</v>
      </c>
      <c r="BK17" s="43">
        <v>6.1</v>
      </c>
      <c r="BL17" s="43">
        <v>5.6</v>
      </c>
      <c r="BM17" s="43">
        <v>6</v>
      </c>
      <c r="BO17" s="44" t="s">
        <v>50</v>
      </c>
      <c r="BP17" s="44">
        <v>20</v>
      </c>
      <c r="BQ17" s="44">
        <v>22</v>
      </c>
      <c r="BR17" s="44">
        <v>37</v>
      </c>
      <c r="BT17" s="20" t="s">
        <v>66</v>
      </c>
      <c r="BU17" s="20">
        <v>4.5999999999999996</v>
      </c>
      <c r="BV17" s="20">
        <v>5.5</v>
      </c>
      <c r="BW17" s="20">
        <v>5.9</v>
      </c>
      <c r="BY17" s="45" t="s">
        <v>50</v>
      </c>
      <c r="BZ17" s="45">
        <v>20</v>
      </c>
      <c r="CA17" s="45">
        <v>22</v>
      </c>
      <c r="CB17" s="45">
        <v>21</v>
      </c>
      <c r="CD17" s="20" t="s">
        <v>93</v>
      </c>
      <c r="CE17" s="20">
        <v>8.3000000000000007</v>
      </c>
      <c r="CF17" s="20">
        <v>7.1</v>
      </c>
      <c r="CG17" s="20">
        <v>5.5</v>
      </c>
      <c r="CI17" s="30" t="s">
        <v>48</v>
      </c>
      <c r="CJ17" s="30">
        <v>30</v>
      </c>
      <c r="CK17" s="30">
        <v>28</v>
      </c>
      <c r="CL17" s="30">
        <v>16</v>
      </c>
      <c r="CO17" s="20" t="s">
        <v>151</v>
      </c>
      <c r="CP17" s="20" t="s">
        <v>151</v>
      </c>
      <c r="CQ17" s="20">
        <v>6.6</v>
      </c>
      <c r="CS17" s="46" t="s">
        <v>57</v>
      </c>
      <c r="CT17" s="46" t="s">
        <v>151</v>
      </c>
      <c r="CU17" s="46" t="s">
        <v>151</v>
      </c>
      <c r="CV17" s="46" t="s">
        <v>151</v>
      </c>
      <c r="CX17" s="47" t="s">
        <v>66</v>
      </c>
      <c r="CY17" s="47">
        <v>4.5999999999999996</v>
      </c>
      <c r="CZ17" s="47">
        <v>5.5</v>
      </c>
      <c r="DA17" s="47">
        <v>5.9</v>
      </c>
      <c r="DC17" s="20" t="s">
        <v>50</v>
      </c>
      <c r="DD17" s="20">
        <v>20</v>
      </c>
      <c r="DE17" s="20">
        <v>22</v>
      </c>
      <c r="DF17" s="20">
        <v>21</v>
      </c>
      <c r="DH17" s="9" t="s">
        <v>200</v>
      </c>
      <c r="DI17" s="9">
        <v>8.4</v>
      </c>
      <c r="DJ17" s="9">
        <v>8.4</v>
      </c>
      <c r="DK17" s="9">
        <v>8.4</v>
      </c>
      <c r="DM17" s="30" t="s">
        <v>47</v>
      </c>
      <c r="DN17" s="30">
        <v>6</v>
      </c>
      <c r="DO17" s="30">
        <v>6.9</v>
      </c>
      <c r="DP17" s="30">
        <v>7.3</v>
      </c>
      <c r="DR17" s="20" t="s">
        <v>56</v>
      </c>
      <c r="DS17" s="20">
        <v>3.8</v>
      </c>
      <c r="DT17" s="20">
        <v>3.5</v>
      </c>
      <c r="DU17" s="20">
        <v>4.2</v>
      </c>
      <c r="DW17" s="9" t="s">
        <v>48</v>
      </c>
      <c r="DX17" s="9">
        <v>30</v>
      </c>
      <c r="DY17" s="9">
        <v>28</v>
      </c>
      <c r="DZ17" s="9">
        <v>26</v>
      </c>
      <c r="EB17" s="20" t="s">
        <v>201</v>
      </c>
      <c r="EC17" s="20">
        <v>7.4</v>
      </c>
      <c r="ED17" s="20">
        <v>7.4</v>
      </c>
      <c r="EE17" s="20">
        <v>7.4</v>
      </c>
      <c r="EG17" s="9" t="s">
        <v>125</v>
      </c>
      <c r="EH17" s="9">
        <v>4.2</v>
      </c>
      <c r="EI17" s="9">
        <v>3.9</v>
      </c>
      <c r="EJ17" s="9">
        <v>4.5999999999999996</v>
      </c>
      <c r="EM17" s="20" t="s">
        <v>151</v>
      </c>
      <c r="EN17" s="20" t="s">
        <v>151</v>
      </c>
      <c r="EO17" s="20" t="s">
        <v>151</v>
      </c>
      <c r="EQ17" s="9" t="s">
        <v>57</v>
      </c>
      <c r="ER17" s="9" t="s">
        <v>151</v>
      </c>
      <c r="ES17" s="9">
        <v>0</v>
      </c>
      <c r="ET17" s="9" t="s">
        <v>151</v>
      </c>
      <c r="EW17" s="20" t="s">
        <v>151</v>
      </c>
      <c r="EX17" s="20" t="s">
        <v>151</v>
      </c>
      <c r="EY17" s="20" t="s">
        <v>151</v>
      </c>
      <c r="FB17" s="9" t="s">
        <v>151</v>
      </c>
      <c r="FC17" s="9" t="s">
        <v>151</v>
      </c>
      <c r="FD17" s="9" t="s">
        <v>151</v>
      </c>
      <c r="FF17" s="48" t="s">
        <v>93</v>
      </c>
      <c r="FG17" s="48">
        <v>8.3000000000000007</v>
      </c>
      <c r="FH17" s="48">
        <v>7.1</v>
      </c>
      <c r="FI17" s="48">
        <v>5.5</v>
      </c>
      <c r="FK17" s="20" t="s">
        <v>48</v>
      </c>
      <c r="FL17" s="20">
        <v>30</v>
      </c>
      <c r="FM17" s="20">
        <v>28</v>
      </c>
      <c r="FN17" s="20">
        <v>16</v>
      </c>
      <c r="FP17" s="49" t="s">
        <v>202</v>
      </c>
      <c r="FQ17" s="49">
        <v>5.0999999999999996</v>
      </c>
      <c r="FR17" s="49">
        <v>5.0999999999999996</v>
      </c>
      <c r="FS17" s="49">
        <v>5.0999999999999996</v>
      </c>
      <c r="FU17" s="7" t="s">
        <v>56</v>
      </c>
      <c r="FV17" s="7">
        <v>6.4</v>
      </c>
      <c r="FW17" s="7">
        <v>5.2</v>
      </c>
      <c r="FX17" s="7">
        <v>3.6</v>
      </c>
    </row>
    <row r="18" spans="1:181" x14ac:dyDescent="0.3">
      <c r="A18" t="s">
        <v>203</v>
      </c>
      <c r="B18" t="s">
        <v>204</v>
      </c>
      <c r="C18" t="s">
        <v>205</v>
      </c>
      <c r="D18" t="s">
        <v>206</v>
      </c>
      <c r="E18" t="s">
        <v>83</v>
      </c>
      <c r="F18" t="s">
        <v>64</v>
      </c>
      <c r="G18" s="6">
        <v>20673</v>
      </c>
      <c r="H18" s="6">
        <v>21961</v>
      </c>
      <c r="I18" s="6">
        <v>23668</v>
      </c>
      <c r="J18" s="6">
        <v>21218</v>
      </c>
      <c r="K18" s="6">
        <v>18419</v>
      </c>
      <c r="L18" s="18">
        <v>209668</v>
      </c>
      <c r="M18" s="18">
        <v>244029</v>
      </c>
      <c r="N18" s="18">
        <v>227612</v>
      </c>
      <c r="O18" s="18">
        <v>171395</v>
      </c>
      <c r="P18" s="18">
        <v>163520</v>
      </c>
      <c r="Q18" s="7" t="s">
        <v>151</v>
      </c>
      <c r="R18" s="7" t="s">
        <v>151</v>
      </c>
      <c r="S18" s="7" t="s">
        <v>151</v>
      </c>
      <c r="T18" s="7" t="s">
        <v>151</v>
      </c>
      <c r="U18" s="7" t="s">
        <v>151</v>
      </c>
      <c r="V18" s="8">
        <f>10832.4*1000000</f>
        <v>10832400000</v>
      </c>
      <c r="W18" s="8">
        <f>11449.1*1000000</f>
        <v>11449100000</v>
      </c>
      <c r="X18" s="8">
        <f>12627.3*1000000</f>
        <v>12627300000</v>
      </c>
      <c r="Y18" s="8">
        <f>14081.2*1000000</f>
        <v>14081200000</v>
      </c>
      <c r="Z18" s="8">
        <f>16240*1000000</f>
        <v>16240000000</v>
      </c>
      <c r="AA18" s="19">
        <f>(5543.6+1260.1)*1000000</f>
        <v>6803700000.000001</v>
      </c>
      <c r="AB18" s="19">
        <f>(5656.9+1415.4)*1000000</f>
        <v>7072299999.999999</v>
      </c>
      <c r="AC18" s="19">
        <f>(6548.9+1455.2)*1000000</f>
        <v>8004099999.999999</v>
      </c>
      <c r="AD18" s="19">
        <f>(8460.7+1861.8)*1000000</f>
        <v>10322500000</v>
      </c>
      <c r="AE18" s="19">
        <f>(16240-3909)*1000000</f>
        <v>12331000000</v>
      </c>
      <c r="AF18" s="9" t="s">
        <v>170</v>
      </c>
      <c r="AG18" s="9" t="s">
        <v>170</v>
      </c>
      <c r="AH18" s="9" t="s">
        <v>170</v>
      </c>
      <c r="AI18" s="9" t="s">
        <v>170</v>
      </c>
      <c r="AJ18" s="9" t="s">
        <v>170</v>
      </c>
      <c r="AK18" s="40" t="s">
        <v>43</v>
      </c>
      <c r="AL18" s="40" t="s">
        <v>43</v>
      </c>
      <c r="AM18" s="40" t="s">
        <v>43</v>
      </c>
      <c r="AN18" s="40" t="s">
        <v>43</v>
      </c>
      <c r="AP18" s="41" t="s">
        <v>207</v>
      </c>
      <c r="AQ18" s="41">
        <v>7.6</v>
      </c>
      <c r="AR18" s="41">
        <v>7.6</v>
      </c>
      <c r="AS18" s="41">
        <v>10</v>
      </c>
      <c r="AU18" s="20" t="s">
        <v>67</v>
      </c>
      <c r="AV18" s="20">
        <v>22</v>
      </c>
      <c r="AW18" s="20">
        <v>24</v>
      </c>
      <c r="AX18" s="20">
        <v>19</v>
      </c>
      <c r="AZ18" s="42" t="s">
        <v>52</v>
      </c>
      <c r="BA18" s="42">
        <v>8.1</v>
      </c>
      <c r="BB18" s="42">
        <v>7.7</v>
      </c>
      <c r="BC18" s="42">
        <v>6.4</v>
      </c>
      <c r="BE18" s="20" t="s">
        <v>69</v>
      </c>
      <c r="BF18" s="20">
        <v>28</v>
      </c>
      <c r="BG18" s="20">
        <v>24</v>
      </c>
      <c r="BH18" s="20">
        <v>37</v>
      </c>
      <c r="BJ18" s="43" t="s">
        <v>91</v>
      </c>
      <c r="BK18" s="43">
        <v>5.8</v>
      </c>
      <c r="BL18" s="43">
        <v>5.4</v>
      </c>
      <c r="BM18" s="43">
        <v>6.3</v>
      </c>
      <c r="BO18" s="44" t="s">
        <v>46</v>
      </c>
      <c r="BP18" s="44">
        <v>50</v>
      </c>
      <c r="BQ18" s="44">
        <v>52</v>
      </c>
      <c r="BR18" s="44">
        <v>44</v>
      </c>
      <c r="BT18" s="20" t="s">
        <v>107</v>
      </c>
      <c r="BU18" s="20">
        <v>8.6999999999999993</v>
      </c>
      <c r="BV18" s="20">
        <v>8.6</v>
      </c>
      <c r="BW18" s="20">
        <v>8.6</v>
      </c>
      <c r="BY18" s="45" t="s">
        <v>57</v>
      </c>
      <c r="BZ18" s="45">
        <v>0</v>
      </c>
      <c r="CA18" s="45">
        <v>0</v>
      </c>
      <c r="CB18" s="45">
        <v>0</v>
      </c>
      <c r="CD18" s="20" t="s">
        <v>52</v>
      </c>
      <c r="CE18" s="20">
        <v>8.1</v>
      </c>
      <c r="CF18" s="20">
        <v>7.7</v>
      </c>
      <c r="CG18" s="20">
        <v>7.3</v>
      </c>
      <c r="CI18" s="30" t="s">
        <v>69</v>
      </c>
      <c r="CJ18" s="30">
        <v>28</v>
      </c>
      <c r="CK18" s="30">
        <v>24</v>
      </c>
      <c r="CL18" s="30">
        <v>19</v>
      </c>
      <c r="CN18" s="20" t="s">
        <v>54</v>
      </c>
      <c r="CO18" s="20">
        <v>5.7</v>
      </c>
      <c r="CP18" s="20">
        <v>5.6</v>
      </c>
      <c r="CQ18" s="20">
        <v>8</v>
      </c>
      <c r="CS18" s="46" t="s">
        <v>69</v>
      </c>
      <c r="CT18" s="46">
        <v>28</v>
      </c>
      <c r="CU18" s="46">
        <v>28</v>
      </c>
      <c r="CV18" s="46">
        <v>0</v>
      </c>
      <c r="CX18" s="47" t="s">
        <v>107</v>
      </c>
      <c r="CY18" s="47">
        <v>8.6999999999999993</v>
      </c>
      <c r="CZ18" s="47">
        <v>8.6</v>
      </c>
      <c r="DA18" s="47">
        <v>8.6</v>
      </c>
      <c r="DC18" s="20" t="s">
        <v>57</v>
      </c>
      <c r="DD18" s="20">
        <v>0</v>
      </c>
      <c r="DE18" s="20">
        <v>0</v>
      </c>
      <c r="DF18" s="20">
        <v>0</v>
      </c>
      <c r="DH18" s="9" t="s">
        <v>56</v>
      </c>
      <c r="DI18" s="9">
        <v>5.3</v>
      </c>
      <c r="DJ18" s="9">
        <v>5.4</v>
      </c>
      <c r="DK18" s="9">
        <v>5.4</v>
      </c>
      <c r="DM18" s="30" t="s">
        <v>85</v>
      </c>
      <c r="DN18" s="30">
        <v>7</v>
      </c>
      <c r="DO18" s="30">
        <v>7</v>
      </c>
      <c r="DP18" s="30">
        <v>7</v>
      </c>
      <c r="DR18" s="20" t="s">
        <v>209</v>
      </c>
      <c r="DS18" s="20">
        <v>8.6</v>
      </c>
      <c r="DT18" s="20" t="s">
        <v>151</v>
      </c>
      <c r="DU18" s="20" t="s">
        <v>151</v>
      </c>
      <c r="DW18" s="9" t="s">
        <v>57</v>
      </c>
      <c r="DX18" s="9">
        <v>0</v>
      </c>
      <c r="DY18" s="9">
        <v>0</v>
      </c>
      <c r="DZ18" s="9">
        <v>0</v>
      </c>
      <c r="EB18" s="20" t="s">
        <v>210</v>
      </c>
      <c r="EC18" s="20">
        <v>3.4</v>
      </c>
      <c r="ED18" s="20">
        <v>3.4</v>
      </c>
      <c r="EE18" s="20">
        <v>3.4</v>
      </c>
      <c r="EG18" s="9" t="s">
        <v>45</v>
      </c>
      <c r="EH18" s="9">
        <v>5</v>
      </c>
      <c r="EI18" s="9" t="s">
        <v>151</v>
      </c>
      <c r="EJ18" s="9" t="s">
        <v>151</v>
      </c>
      <c r="EL18" s="20" t="s">
        <v>75</v>
      </c>
      <c r="EM18" s="20">
        <v>4.5</v>
      </c>
      <c r="EN18" s="20">
        <v>5.9</v>
      </c>
      <c r="EO18" s="20">
        <v>6.3</v>
      </c>
      <c r="EQ18" s="9" t="s">
        <v>57</v>
      </c>
      <c r="ER18" s="9">
        <v>0</v>
      </c>
      <c r="ES18" s="9">
        <v>0</v>
      </c>
      <c r="ET18" s="9">
        <v>0</v>
      </c>
      <c r="EV18" s="20" t="s">
        <v>211</v>
      </c>
      <c r="EW18" s="20">
        <v>9.0500000000000007</v>
      </c>
      <c r="EX18" s="20">
        <v>8.4</v>
      </c>
      <c r="EY18" s="20">
        <v>8</v>
      </c>
      <c r="FA18" s="9" t="s">
        <v>49</v>
      </c>
      <c r="FB18" s="9">
        <v>6.5</v>
      </c>
      <c r="FC18" s="9">
        <v>7.7</v>
      </c>
      <c r="FD18" s="9">
        <v>7.3</v>
      </c>
      <c r="FF18" s="48" t="s">
        <v>52</v>
      </c>
      <c r="FG18" s="48">
        <v>8.1</v>
      </c>
      <c r="FI18" s="48">
        <v>7.3</v>
      </c>
      <c r="FK18" s="20" t="s">
        <v>69</v>
      </c>
      <c r="FL18" s="20">
        <v>28</v>
      </c>
      <c r="FN18" s="20">
        <v>19</v>
      </c>
      <c r="FP18" s="49" t="s">
        <v>208</v>
      </c>
      <c r="FQ18" s="49">
        <v>3.6</v>
      </c>
      <c r="FS18" s="49">
        <v>3.5</v>
      </c>
      <c r="FU18" s="7" t="s">
        <v>75</v>
      </c>
      <c r="FV18" s="7">
        <v>4.7</v>
      </c>
      <c r="FX18" s="7">
        <v>3.8</v>
      </c>
    </row>
    <row r="19" spans="1:181" x14ac:dyDescent="0.3">
      <c r="A19" s="12" t="s">
        <v>212</v>
      </c>
      <c r="B19" t="s">
        <v>213</v>
      </c>
      <c r="C19" t="s">
        <v>214</v>
      </c>
      <c r="D19" t="s">
        <v>215</v>
      </c>
      <c r="E19" t="s">
        <v>189</v>
      </c>
      <c r="F19" t="s">
        <v>64</v>
      </c>
      <c r="G19" s="6">
        <v>3400</v>
      </c>
      <c r="H19" s="6">
        <v>3517</v>
      </c>
      <c r="I19" s="6">
        <v>3539</v>
      </c>
      <c r="J19" s="6">
        <v>3515</v>
      </c>
      <c r="K19" s="6">
        <v>3447</v>
      </c>
      <c r="L19" s="18">
        <v>99189</v>
      </c>
      <c r="M19" s="18">
        <v>66668</v>
      </c>
      <c r="N19" s="18">
        <v>57867</v>
      </c>
      <c r="O19" s="18">
        <v>45586</v>
      </c>
      <c r="P19" s="18">
        <v>51361</v>
      </c>
      <c r="Q19" s="7" t="s">
        <v>151</v>
      </c>
      <c r="R19" s="7" t="s">
        <v>151</v>
      </c>
      <c r="S19" s="7" t="s">
        <v>151</v>
      </c>
      <c r="T19" s="7" t="s">
        <v>151</v>
      </c>
      <c r="U19" s="7" t="s">
        <v>151</v>
      </c>
      <c r="V19" s="8">
        <f>7491747*1000</f>
        <v>7491747000</v>
      </c>
      <c r="W19" s="8">
        <f>7995035*1000</f>
        <v>7995035000</v>
      </c>
      <c r="X19" s="8">
        <f>8031728*1000</f>
        <v>8031728000</v>
      </c>
      <c r="Y19" s="8">
        <f>8058390*1000</f>
        <v>8058390000</v>
      </c>
      <c r="Z19" s="8">
        <f>8151*1000000</f>
        <v>8151000000</v>
      </c>
      <c r="AA19" s="19">
        <f>(5061947+378788)*1000</f>
        <v>5440735000</v>
      </c>
      <c r="AB19" s="19">
        <f>(5651259+337495)*1000</f>
        <v>5988754000</v>
      </c>
      <c r="AC19" s="19">
        <f>(6056420+336661)*1000</f>
        <v>6393081000</v>
      </c>
      <c r="AD19" s="19">
        <f>(6367575+319105)*1000</f>
        <v>6686680000</v>
      </c>
      <c r="AE19" s="19">
        <f>(8151-1319)*1000000</f>
        <v>6832000000</v>
      </c>
      <c r="AF19" s="9" t="s">
        <v>170</v>
      </c>
      <c r="AG19" s="9" t="s">
        <v>169</v>
      </c>
      <c r="AH19" s="9" t="s">
        <v>169</v>
      </c>
      <c r="AI19" s="9" t="s">
        <v>170</v>
      </c>
      <c r="AJ19" s="9" t="s">
        <v>170</v>
      </c>
      <c r="AK19" s="40" t="s">
        <v>44</v>
      </c>
      <c r="AL19" s="40" t="s">
        <v>43</v>
      </c>
      <c r="AP19" s="41" t="s">
        <v>47</v>
      </c>
      <c r="AQ19" s="41">
        <v>9.9</v>
      </c>
      <c r="AU19" s="20" t="s">
        <v>48</v>
      </c>
      <c r="AV19" s="20">
        <v>22</v>
      </c>
      <c r="AZ19" s="42" t="s">
        <v>49</v>
      </c>
      <c r="BA19" s="42">
        <v>7.9</v>
      </c>
      <c r="BE19" s="20" t="s">
        <v>86</v>
      </c>
      <c r="BF19" s="20">
        <v>28</v>
      </c>
      <c r="BJ19" s="43" t="s">
        <v>185</v>
      </c>
      <c r="BK19" s="43">
        <v>5.3</v>
      </c>
      <c r="BO19" s="44" t="s">
        <v>89</v>
      </c>
      <c r="BP19" s="44">
        <v>50</v>
      </c>
      <c r="BT19" s="20" t="s">
        <v>174</v>
      </c>
      <c r="BU19" s="20">
        <v>5.2</v>
      </c>
      <c r="BY19" s="45" t="s">
        <v>216</v>
      </c>
      <c r="BZ19" s="45">
        <v>0</v>
      </c>
      <c r="CD19" s="20" t="s">
        <v>49</v>
      </c>
      <c r="CE19" s="20">
        <v>7.9</v>
      </c>
      <c r="CI19" s="30" t="s">
        <v>86</v>
      </c>
      <c r="CJ19" s="30">
        <v>28</v>
      </c>
      <c r="CN19" s="20" t="s">
        <v>45</v>
      </c>
      <c r="CO19" s="20">
        <v>4.9000000000000004</v>
      </c>
      <c r="CS19" s="46" t="s">
        <v>86</v>
      </c>
      <c r="CT19" s="46">
        <v>28</v>
      </c>
      <c r="CX19" s="47" t="s">
        <v>174</v>
      </c>
      <c r="CY19" s="47">
        <v>5.2</v>
      </c>
      <c r="DC19" s="20" t="s">
        <v>216</v>
      </c>
      <c r="DD19" s="20">
        <v>0</v>
      </c>
      <c r="DH19" s="9" t="s">
        <v>173</v>
      </c>
      <c r="DI19" s="9">
        <v>7.5</v>
      </c>
      <c r="DM19" s="30" t="s">
        <v>68</v>
      </c>
      <c r="DN19" s="30">
        <v>5.7</v>
      </c>
      <c r="DR19" s="20" t="s">
        <v>161</v>
      </c>
      <c r="DS19" s="20">
        <v>7.2</v>
      </c>
      <c r="DW19" s="9" t="s">
        <v>57</v>
      </c>
      <c r="DX19" s="9">
        <v>0</v>
      </c>
      <c r="EB19" s="20" t="s">
        <v>217</v>
      </c>
      <c r="EC19" s="20">
        <v>4.8</v>
      </c>
      <c r="EG19" s="9" t="s">
        <v>45</v>
      </c>
      <c r="EH19" s="9">
        <v>5</v>
      </c>
      <c r="EL19" s="20" t="s">
        <v>114</v>
      </c>
      <c r="EM19" s="20">
        <v>3.2</v>
      </c>
      <c r="EQ19" s="9" t="s">
        <v>57</v>
      </c>
      <c r="ER19" s="9">
        <v>0</v>
      </c>
      <c r="EV19" s="20" t="s">
        <v>218</v>
      </c>
      <c r="EW19" s="20">
        <v>7.01</v>
      </c>
      <c r="FA19" s="9" t="s">
        <v>114</v>
      </c>
      <c r="FB19" s="9">
        <v>3.2</v>
      </c>
      <c r="FC19" s="9">
        <v>7.3</v>
      </c>
      <c r="FF19" s="48" t="s">
        <v>49</v>
      </c>
      <c r="FG19" s="48">
        <v>7.9</v>
      </c>
      <c r="FH19" s="48">
        <v>7.7</v>
      </c>
      <c r="FK19" s="20" t="s">
        <v>86</v>
      </c>
      <c r="FL19" s="20">
        <v>28</v>
      </c>
      <c r="FM19" s="20">
        <v>24</v>
      </c>
      <c r="FP19" s="49" t="s">
        <v>99</v>
      </c>
      <c r="FQ19" s="49">
        <v>5.4</v>
      </c>
      <c r="FR19" s="49">
        <v>3.5</v>
      </c>
      <c r="FU19" s="7" t="s">
        <v>54</v>
      </c>
      <c r="FV19" s="7">
        <v>6.3</v>
      </c>
      <c r="FW19" s="7">
        <v>4.2</v>
      </c>
    </row>
    <row r="20" spans="1:181" s="24" customFormat="1" x14ac:dyDescent="0.3">
      <c r="A20" s="12" t="s">
        <v>219</v>
      </c>
      <c r="B20" s="24" t="s">
        <v>220</v>
      </c>
      <c r="D20" s="24" t="s">
        <v>221</v>
      </c>
      <c r="E20" s="24" t="s">
        <v>83</v>
      </c>
      <c r="F20" s="24" t="s">
        <v>142</v>
      </c>
      <c r="Q20" s="25"/>
      <c r="R20" s="25"/>
      <c r="S20" s="25"/>
      <c r="T20" s="25"/>
      <c r="U20" s="25"/>
      <c r="AF20" s="25"/>
      <c r="AG20" s="25"/>
      <c r="AH20" s="25"/>
      <c r="AI20" s="25"/>
      <c r="AJ20" s="25"/>
      <c r="AK20" s="40" t="s">
        <v>44</v>
      </c>
      <c r="AL20" s="40" t="s">
        <v>44</v>
      </c>
      <c r="AM20" s="40"/>
      <c r="AN20" s="40"/>
      <c r="AO20" s="40"/>
      <c r="AP20" s="41" t="s">
        <v>208</v>
      </c>
      <c r="AQ20" s="41">
        <v>3.5</v>
      </c>
      <c r="AR20" s="34"/>
      <c r="AS20" s="41"/>
      <c r="AT20" s="41"/>
      <c r="AU20" s="25" t="s">
        <v>222</v>
      </c>
      <c r="AV20" s="25">
        <v>21</v>
      </c>
      <c r="AW20" s="25"/>
      <c r="AX20" s="25"/>
      <c r="AY20" s="25"/>
      <c r="AZ20" s="42" t="s">
        <v>75</v>
      </c>
      <c r="BA20" s="42">
        <v>4.3</v>
      </c>
      <c r="BB20" s="42"/>
      <c r="BC20" s="42"/>
      <c r="BD20" s="42"/>
      <c r="BE20" s="25" t="s">
        <v>223</v>
      </c>
      <c r="BF20" s="25">
        <v>58</v>
      </c>
      <c r="BG20" s="25"/>
      <c r="BH20" s="25"/>
      <c r="BI20" s="25"/>
      <c r="BJ20" s="43" t="s">
        <v>71</v>
      </c>
      <c r="BK20" s="43">
        <v>6.8</v>
      </c>
      <c r="BL20" s="43"/>
      <c r="BM20" s="43"/>
      <c r="BN20" s="43"/>
      <c r="BO20" s="44" t="s">
        <v>222</v>
      </c>
      <c r="BP20" s="44">
        <v>21</v>
      </c>
      <c r="BQ20" s="44"/>
      <c r="BR20" s="44"/>
      <c r="BS20" s="44"/>
      <c r="BT20" s="25" t="s">
        <v>208</v>
      </c>
      <c r="BU20" s="25">
        <v>3.5</v>
      </c>
      <c r="BV20" s="25"/>
      <c r="BW20" s="25"/>
      <c r="BX20" s="25"/>
      <c r="BY20" s="45" t="s">
        <v>222</v>
      </c>
      <c r="BZ20" s="45">
        <v>21</v>
      </c>
      <c r="CA20" s="45"/>
      <c r="CB20" s="45"/>
      <c r="CC20" s="45"/>
      <c r="CD20" s="25" t="s">
        <v>75</v>
      </c>
      <c r="CE20" s="25">
        <v>4.3</v>
      </c>
      <c r="CF20" s="25"/>
      <c r="CG20" s="25"/>
      <c r="CH20" s="25"/>
      <c r="CI20" s="30" t="s">
        <v>223</v>
      </c>
      <c r="CJ20" s="30">
        <v>58</v>
      </c>
      <c r="CK20" s="30"/>
      <c r="CL20" s="30"/>
      <c r="CM20" s="30"/>
      <c r="CN20" s="25"/>
      <c r="CO20" s="25" t="s">
        <v>151</v>
      </c>
      <c r="CP20" s="25"/>
      <c r="CQ20" s="25"/>
      <c r="CR20" s="25"/>
      <c r="CS20" s="46" t="s">
        <v>57</v>
      </c>
      <c r="CT20" s="46" t="s">
        <v>151</v>
      </c>
      <c r="CU20" s="46"/>
      <c r="CV20" s="46"/>
      <c r="CW20" s="46"/>
      <c r="CX20" s="47" t="s">
        <v>208</v>
      </c>
      <c r="CY20" s="47">
        <v>3.5</v>
      </c>
      <c r="CZ20" s="47"/>
      <c r="DA20" s="47"/>
      <c r="DB20" s="47"/>
      <c r="DC20" s="25" t="s">
        <v>222</v>
      </c>
      <c r="DD20" s="25">
        <v>21</v>
      </c>
      <c r="DE20" s="25"/>
      <c r="DF20" s="25"/>
      <c r="DG20" s="25"/>
      <c r="DH20" s="9" t="s">
        <v>185</v>
      </c>
      <c r="DI20" s="9">
        <v>5.5</v>
      </c>
      <c r="DJ20" s="9"/>
      <c r="DK20" s="9"/>
      <c r="DL20" s="9"/>
      <c r="DM20" s="30" t="s">
        <v>72</v>
      </c>
      <c r="DN20" s="30">
        <v>2</v>
      </c>
      <c r="DO20" s="30"/>
      <c r="DP20" s="30"/>
      <c r="DQ20" s="30"/>
      <c r="DR20" s="25"/>
      <c r="DS20" s="25" t="s">
        <v>151</v>
      </c>
      <c r="DT20" s="25"/>
      <c r="DU20" s="25"/>
      <c r="DV20" s="25"/>
      <c r="DW20" s="9" t="s">
        <v>57</v>
      </c>
      <c r="DX20" s="9" t="s">
        <v>151</v>
      </c>
      <c r="DY20" s="9"/>
      <c r="DZ20" s="9"/>
      <c r="EA20" s="9"/>
      <c r="EB20" s="25"/>
      <c r="EC20" s="25">
        <v>5.3</v>
      </c>
      <c r="ED20" s="25"/>
      <c r="EE20" s="25"/>
      <c r="EF20" s="25"/>
      <c r="EG20" s="9"/>
      <c r="EH20" s="9" t="s">
        <v>151</v>
      </c>
      <c r="EI20" s="9"/>
      <c r="EJ20" s="9"/>
      <c r="EK20" s="9"/>
      <c r="EL20" s="25" t="s">
        <v>224</v>
      </c>
      <c r="EM20" s="25">
        <v>2.7</v>
      </c>
      <c r="EN20" s="25"/>
      <c r="EO20" s="25"/>
      <c r="EP20" s="25"/>
      <c r="EQ20" s="9" t="s">
        <v>225</v>
      </c>
      <c r="ER20" s="9">
        <v>26</v>
      </c>
      <c r="ES20" s="9"/>
      <c r="ET20" s="9"/>
      <c r="EU20" s="9"/>
      <c r="EV20" s="25" t="s">
        <v>77</v>
      </c>
      <c r="EW20" s="25">
        <v>5.8</v>
      </c>
      <c r="EX20" s="25"/>
      <c r="EY20" s="25"/>
      <c r="EZ20" s="25"/>
      <c r="FA20" s="9" t="s">
        <v>139</v>
      </c>
      <c r="FB20" s="9">
        <v>1.5</v>
      </c>
      <c r="FC20" s="9"/>
      <c r="FD20" s="9"/>
      <c r="FE20" s="9"/>
      <c r="FF20" s="48" t="s">
        <v>125</v>
      </c>
      <c r="FG20" s="48">
        <v>5.6</v>
      </c>
      <c r="FH20" s="48"/>
      <c r="FI20" s="48"/>
      <c r="FJ20" s="48"/>
      <c r="FK20" s="25" t="s">
        <v>120</v>
      </c>
      <c r="FL20" s="25">
        <v>32</v>
      </c>
      <c r="FM20" s="25"/>
      <c r="FN20" s="25"/>
      <c r="FO20" s="25"/>
      <c r="FP20" s="49" t="s">
        <v>102</v>
      </c>
      <c r="FQ20" s="49">
        <v>4.8</v>
      </c>
      <c r="FR20" s="49"/>
      <c r="FS20" s="49"/>
      <c r="FT20" s="49"/>
      <c r="FU20" s="7" t="s">
        <v>76</v>
      </c>
      <c r="FV20" s="7">
        <v>3.4</v>
      </c>
      <c r="FW20" s="7"/>
      <c r="FX20" s="7"/>
      <c r="FY20" s="7"/>
    </row>
    <row r="21" spans="1:181" x14ac:dyDescent="0.3">
      <c r="A21" s="12" t="s">
        <v>226</v>
      </c>
      <c r="B21" t="s">
        <v>227</v>
      </c>
      <c r="D21" t="s">
        <v>228</v>
      </c>
      <c r="E21" t="s">
        <v>229</v>
      </c>
      <c r="F21" t="s">
        <v>42</v>
      </c>
      <c r="G21" s="6">
        <v>308</v>
      </c>
      <c r="H21" s="6">
        <v>311</v>
      </c>
      <c r="I21" s="6">
        <v>307</v>
      </c>
      <c r="J21" s="6">
        <v>288</v>
      </c>
      <c r="K21" s="6">
        <v>284</v>
      </c>
      <c r="L21" s="18" t="s">
        <v>151</v>
      </c>
      <c r="M21" s="18" t="s">
        <v>151</v>
      </c>
      <c r="N21" s="18">
        <v>366137</v>
      </c>
      <c r="O21" s="18">
        <v>334676</v>
      </c>
      <c r="P21" s="18">
        <v>399796</v>
      </c>
      <c r="Q21" s="7" t="s">
        <v>151</v>
      </c>
      <c r="R21" s="7" t="s">
        <v>151</v>
      </c>
      <c r="S21" s="7">
        <v>8377</v>
      </c>
      <c r="T21" s="7">
        <v>7393</v>
      </c>
      <c r="U21" s="7">
        <v>7882</v>
      </c>
      <c r="V21" s="8">
        <f>393.3*1000000</f>
        <v>393300000</v>
      </c>
      <c r="W21" s="8">
        <f>514.3*1000000</f>
        <v>514299999.99999994</v>
      </c>
      <c r="X21" s="8">
        <f>591.8*1000000</f>
        <v>591800000</v>
      </c>
      <c r="Y21" s="8">
        <f>314*1000000</f>
        <v>314000000</v>
      </c>
      <c r="Z21" s="8">
        <f>219.6*1000000</f>
        <v>219600000</v>
      </c>
      <c r="AA21" s="19">
        <f>169.3*1000000</f>
        <v>169300000</v>
      </c>
      <c r="AB21" s="19">
        <f>261.4*1000000</f>
        <v>261399999.99999997</v>
      </c>
      <c r="AC21" s="19">
        <f>128*1000000</f>
        <v>128000000</v>
      </c>
      <c r="AD21" s="19">
        <f>115.9*1000000</f>
        <v>115900000</v>
      </c>
      <c r="AE21" s="19">
        <f>34.9*1000000</f>
        <v>34900000</v>
      </c>
      <c r="AF21" s="9" t="s">
        <v>169</v>
      </c>
      <c r="AG21" s="9" t="s">
        <v>169</v>
      </c>
      <c r="AH21" s="9" t="s">
        <v>169</v>
      </c>
      <c r="AI21" s="9" t="s">
        <v>169</v>
      </c>
      <c r="AJ21" s="9" t="s">
        <v>169</v>
      </c>
      <c r="AK21" s="40" t="s">
        <v>65</v>
      </c>
      <c r="AL21" s="40" t="s">
        <v>65</v>
      </c>
      <c r="AP21" s="41" t="s">
        <v>230</v>
      </c>
      <c r="AQ21" s="41">
        <v>2.8</v>
      </c>
      <c r="AU21" s="20" t="s">
        <v>46</v>
      </c>
      <c r="AV21" s="20">
        <v>50</v>
      </c>
      <c r="AZ21" s="42" t="s">
        <v>66</v>
      </c>
      <c r="BA21" s="42">
        <v>5.7</v>
      </c>
      <c r="BE21" s="20" t="s">
        <v>48</v>
      </c>
      <c r="BF21" s="20">
        <v>30</v>
      </c>
      <c r="BJ21" s="43" t="s">
        <v>231</v>
      </c>
      <c r="BK21" s="43">
        <v>7.4</v>
      </c>
      <c r="BO21" s="44" t="s">
        <v>50</v>
      </c>
      <c r="BP21" s="44">
        <v>20</v>
      </c>
      <c r="BT21" s="20" t="s">
        <v>146</v>
      </c>
      <c r="BU21" s="20">
        <v>1.5</v>
      </c>
      <c r="BY21" s="45" t="s">
        <v>50</v>
      </c>
      <c r="BZ21" s="45">
        <v>20</v>
      </c>
      <c r="CD21" s="20" t="s">
        <v>66</v>
      </c>
      <c r="CE21" s="20">
        <v>5.7</v>
      </c>
      <c r="CI21" s="30" t="s">
        <v>48</v>
      </c>
      <c r="CJ21" s="30">
        <v>30</v>
      </c>
      <c r="CO21" s="20" t="s">
        <v>151</v>
      </c>
      <c r="CS21" s="46" t="s">
        <v>57</v>
      </c>
      <c r="CT21" s="46" t="s">
        <v>151</v>
      </c>
      <c r="CX21" s="47" t="s">
        <v>146</v>
      </c>
      <c r="CY21" s="47">
        <v>1.5</v>
      </c>
      <c r="DC21" s="20" t="s">
        <v>50</v>
      </c>
      <c r="DD21" s="20">
        <v>20</v>
      </c>
      <c r="DH21" s="9" t="s">
        <v>181</v>
      </c>
      <c r="DI21" s="9">
        <v>8.5</v>
      </c>
      <c r="DM21" s="30" t="s">
        <v>78</v>
      </c>
      <c r="DN21" s="30">
        <v>3</v>
      </c>
      <c r="DR21" s="20" t="s">
        <v>232</v>
      </c>
      <c r="DS21" s="20">
        <v>3.6</v>
      </c>
      <c r="DW21" s="9" t="s">
        <v>48</v>
      </c>
      <c r="DX21" s="9">
        <v>30</v>
      </c>
      <c r="EB21" s="20" t="s">
        <v>55</v>
      </c>
      <c r="EC21" s="20">
        <v>7.4</v>
      </c>
      <c r="EG21" s="9" t="s">
        <v>68</v>
      </c>
      <c r="EH21" s="9">
        <v>4</v>
      </c>
      <c r="EM21" s="20" t="s">
        <v>151</v>
      </c>
      <c r="EQ21" s="9" t="s">
        <v>57</v>
      </c>
      <c r="ER21" s="9" t="s">
        <v>151</v>
      </c>
      <c r="EW21" s="20" t="s">
        <v>151</v>
      </c>
      <c r="FB21" s="9" t="s">
        <v>151</v>
      </c>
      <c r="FF21" s="48" t="s">
        <v>66</v>
      </c>
      <c r="FG21" s="48">
        <v>5.7</v>
      </c>
      <c r="FK21" s="20" t="s">
        <v>48</v>
      </c>
      <c r="FL21" s="20">
        <v>30</v>
      </c>
      <c r="FP21" s="49" t="s">
        <v>128</v>
      </c>
      <c r="FQ21" s="49">
        <v>3.7</v>
      </c>
      <c r="FU21" s="7" t="s">
        <v>87</v>
      </c>
      <c r="FV21" s="7">
        <v>2.4</v>
      </c>
    </row>
    <row r="22" spans="1:181" x14ac:dyDescent="0.3">
      <c r="A22" t="s">
        <v>233</v>
      </c>
      <c r="B22" t="s">
        <v>234</v>
      </c>
      <c r="D22" t="s">
        <v>235</v>
      </c>
      <c r="E22" t="s">
        <v>189</v>
      </c>
      <c r="F22" t="s">
        <v>142</v>
      </c>
      <c r="G22" s="26">
        <v>201816</v>
      </c>
      <c r="H22" s="26">
        <v>203865</v>
      </c>
      <c r="I22" s="26">
        <v>274234</v>
      </c>
      <c r="J22" s="26">
        <v>271949</v>
      </c>
      <c r="K22" s="26">
        <v>270296</v>
      </c>
      <c r="L22" s="18" t="s">
        <v>151</v>
      </c>
      <c r="M22" s="18" t="s">
        <v>151</v>
      </c>
      <c r="N22" s="18">
        <f>2556*1000</f>
        <v>2556000</v>
      </c>
      <c r="O22" s="18">
        <f>3349*1000</f>
        <v>3349000</v>
      </c>
      <c r="P22" s="18">
        <f>3050*1000</f>
        <v>3050000</v>
      </c>
      <c r="Q22" s="7" t="s">
        <v>151</v>
      </c>
      <c r="R22" s="7" t="s">
        <v>151</v>
      </c>
      <c r="S22" s="7" t="s">
        <v>151</v>
      </c>
      <c r="T22" s="7" t="s">
        <v>151</v>
      </c>
      <c r="U22" s="7" t="s">
        <v>151</v>
      </c>
      <c r="V22" s="8">
        <f>39831*1000000</f>
        <v>39831000000</v>
      </c>
      <c r="W22" s="8">
        <f>42417*1000000</f>
        <v>42417000000</v>
      </c>
      <c r="X22" s="8">
        <f>96052*1000000</f>
        <v>96052000000</v>
      </c>
      <c r="Y22" s="8">
        <f>127949*1000000</f>
        <v>127949000000</v>
      </c>
      <c r="Z22" s="8">
        <f>124723*1000000</f>
        <v>124723000000</v>
      </c>
      <c r="AA22" s="19">
        <f>(15410+18991)*1000000</f>
        <v>34401000000</v>
      </c>
      <c r="AB22" s="19">
        <f>(73482+23448)*1000000</f>
        <v>96930000000</v>
      </c>
      <c r="AC22" s="19">
        <f>(79864+24816)*1000000</f>
        <v>104680000000</v>
      </c>
      <c r="AD22" s="19">
        <f>(124723-14685)*1000000</f>
        <v>110038000000</v>
      </c>
      <c r="AE22" s="19">
        <f>(127949-12696)*1000000</f>
        <v>115253000000</v>
      </c>
      <c r="AF22" s="9" t="s">
        <v>170</v>
      </c>
      <c r="AG22" s="9" t="s">
        <v>170</v>
      </c>
      <c r="AH22" s="9" t="s">
        <v>170</v>
      </c>
      <c r="AI22" s="9" t="s">
        <v>170</v>
      </c>
      <c r="AJ22" s="9" t="s">
        <v>170</v>
      </c>
      <c r="AK22" s="40" t="s">
        <v>171</v>
      </c>
      <c r="AL22" s="40" t="s">
        <v>171</v>
      </c>
      <c r="AM22" s="40" t="s">
        <v>171</v>
      </c>
      <c r="AN22" s="40" t="s">
        <v>171</v>
      </c>
      <c r="AP22" s="41" t="s">
        <v>162</v>
      </c>
      <c r="AQ22" s="41">
        <v>8.5</v>
      </c>
      <c r="AR22" s="41">
        <v>8.1999999999999993</v>
      </c>
      <c r="AS22" s="41">
        <v>8</v>
      </c>
      <c r="AU22" s="20" t="s">
        <v>222</v>
      </c>
      <c r="AV22" s="20">
        <v>21</v>
      </c>
      <c r="AW22" s="20">
        <v>25</v>
      </c>
      <c r="AX22" s="20">
        <v>25</v>
      </c>
      <c r="AZ22" s="42" t="s">
        <v>70</v>
      </c>
      <c r="BA22" s="42">
        <v>3.3</v>
      </c>
      <c r="BB22" s="42">
        <v>2.7</v>
      </c>
      <c r="BC22" s="42">
        <v>2.6</v>
      </c>
      <c r="BE22" s="20" t="s">
        <v>223</v>
      </c>
      <c r="BF22" s="20">
        <v>58</v>
      </c>
      <c r="BG22" s="20">
        <v>50</v>
      </c>
      <c r="BH22" s="20">
        <v>50</v>
      </c>
      <c r="BJ22" s="43" t="s">
        <v>103</v>
      </c>
      <c r="BK22" s="43">
        <v>4.7</v>
      </c>
      <c r="BL22" s="43">
        <v>4.5999999999999996</v>
      </c>
      <c r="BM22" s="43">
        <v>5</v>
      </c>
      <c r="BO22" s="44" t="s">
        <v>222</v>
      </c>
      <c r="BP22" s="44">
        <v>21</v>
      </c>
      <c r="BQ22" s="44">
        <v>25</v>
      </c>
      <c r="BR22" s="44">
        <v>25</v>
      </c>
      <c r="BT22" s="20" t="s">
        <v>162</v>
      </c>
      <c r="BU22" s="20">
        <v>8.5</v>
      </c>
      <c r="BV22" s="20">
        <v>8.1999999999999993</v>
      </c>
      <c r="BW22" s="20">
        <v>8</v>
      </c>
      <c r="BY22" s="45" t="s">
        <v>222</v>
      </c>
      <c r="BZ22" s="45">
        <v>21</v>
      </c>
      <c r="CA22" s="45">
        <v>25</v>
      </c>
      <c r="CB22" s="45">
        <v>25</v>
      </c>
      <c r="CD22" s="20" t="s">
        <v>70</v>
      </c>
      <c r="CE22" s="20">
        <v>3.3</v>
      </c>
      <c r="CF22" s="20">
        <v>2.7</v>
      </c>
      <c r="CG22" s="20">
        <v>2.6</v>
      </c>
      <c r="CI22" s="30" t="s">
        <v>223</v>
      </c>
      <c r="CJ22" s="30">
        <v>58</v>
      </c>
      <c r="CK22" s="30">
        <v>50</v>
      </c>
      <c r="CL22" s="30">
        <v>50</v>
      </c>
      <c r="CO22" s="20" t="s">
        <v>151</v>
      </c>
      <c r="CP22" s="20" t="s">
        <v>151</v>
      </c>
      <c r="CQ22" s="20" t="s">
        <v>151</v>
      </c>
      <c r="CS22" s="46" t="s">
        <v>57</v>
      </c>
      <c r="CT22" s="46" t="s">
        <v>151</v>
      </c>
      <c r="CU22" s="46">
        <v>0</v>
      </c>
      <c r="CV22" s="46">
        <v>0</v>
      </c>
      <c r="CX22" s="47" t="s">
        <v>162</v>
      </c>
      <c r="CY22" s="47">
        <v>8.5</v>
      </c>
      <c r="CZ22" s="47">
        <v>8.1999999999999993</v>
      </c>
      <c r="DA22" s="47">
        <v>8</v>
      </c>
      <c r="DC22" s="20" t="s">
        <v>222</v>
      </c>
      <c r="DD22" s="20">
        <v>21</v>
      </c>
      <c r="DE22" s="20">
        <v>25</v>
      </c>
      <c r="DF22" s="20">
        <v>25</v>
      </c>
      <c r="DH22" s="9" t="s">
        <v>66</v>
      </c>
      <c r="DI22" s="9">
        <v>5.5</v>
      </c>
      <c r="DJ22" s="9">
        <v>5.5</v>
      </c>
      <c r="DK22" s="9">
        <v>5.7</v>
      </c>
      <c r="DM22" s="30" t="s">
        <v>47</v>
      </c>
      <c r="DN22" s="30">
        <v>6.7</v>
      </c>
      <c r="DO22" s="30">
        <v>6.7</v>
      </c>
      <c r="DP22" s="30">
        <v>6.7</v>
      </c>
      <c r="DS22" s="20" t="s">
        <v>151</v>
      </c>
      <c r="DT22" s="20" t="s">
        <v>151</v>
      </c>
      <c r="DU22" s="20" t="s">
        <v>151</v>
      </c>
      <c r="DW22" s="9" t="s">
        <v>57</v>
      </c>
      <c r="DX22" s="9" t="s">
        <v>151</v>
      </c>
      <c r="DY22" s="9">
        <v>0</v>
      </c>
      <c r="DZ22" s="9">
        <v>0</v>
      </c>
      <c r="EC22" s="20">
        <v>4.5</v>
      </c>
      <c r="ED22" s="20">
        <v>4.4000000000000004</v>
      </c>
      <c r="EE22" s="20">
        <v>4.4000000000000004</v>
      </c>
      <c r="EH22" s="9" t="s">
        <v>151</v>
      </c>
      <c r="EI22" s="9" t="s">
        <v>151</v>
      </c>
      <c r="EJ22" s="9" t="s">
        <v>151</v>
      </c>
      <c r="EL22" s="20" t="s">
        <v>236</v>
      </c>
      <c r="EM22" s="20">
        <v>1.9</v>
      </c>
      <c r="EN22" s="20">
        <v>1</v>
      </c>
      <c r="EO22" s="20">
        <v>1</v>
      </c>
      <c r="EQ22" s="9" t="s">
        <v>225</v>
      </c>
      <c r="ER22" s="9">
        <v>26</v>
      </c>
      <c r="ES22" s="9">
        <v>25</v>
      </c>
      <c r="ET22" s="9">
        <v>25</v>
      </c>
      <c r="EV22" s="20" t="s">
        <v>123</v>
      </c>
      <c r="EW22" s="20">
        <v>10</v>
      </c>
      <c r="EX22" s="20">
        <v>10</v>
      </c>
      <c r="EY22" s="20">
        <v>10</v>
      </c>
      <c r="FA22" s="9" t="s">
        <v>102</v>
      </c>
      <c r="FB22" s="9">
        <v>4.9000000000000004</v>
      </c>
      <c r="FC22" s="9">
        <v>4</v>
      </c>
      <c r="FD22" s="9">
        <v>4</v>
      </c>
      <c r="FF22" s="48" t="s">
        <v>76</v>
      </c>
      <c r="FG22" s="48">
        <v>4.5</v>
      </c>
      <c r="FH22" s="48">
        <v>4.3</v>
      </c>
      <c r="FI22" s="48">
        <v>4.2</v>
      </c>
      <c r="FK22" s="20" t="s">
        <v>120</v>
      </c>
      <c r="FL22" s="20">
        <v>32</v>
      </c>
      <c r="FM22" s="20">
        <v>25</v>
      </c>
      <c r="FN22" s="20">
        <v>25</v>
      </c>
      <c r="FP22" s="49" t="s">
        <v>85</v>
      </c>
      <c r="FQ22" s="49">
        <v>5.4</v>
      </c>
      <c r="FR22" s="49">
        <v>5.5</v>
      </c>
      <c r="FS22" s="49">
        <v>5.9</v>
      </c>
      <c r="FU22" s="7" t="s">
        <v>87</v>
      </c>
      <c r="FV22" s="7">
        <v>2.9</v>
      </c>
      <c r="FW22" s="7">
        <v>2.8</v>
      </c>
      <c r="FX22" s="7">
        <v>3.1</v>
      </c>
    </row>
    <row r="23" spans="1:181" x14ac:dyDescent="0.3">
      <c r="A23" t="s">
        <v>237</v>
      </c>
      <c r="B23" t="s">
        <v>238</v>
      </c>
      <c r="D23" t="s">
        <v>239</v>
      </c>
      <c r="E23" t="s">
        <v>240</v>
      </c>
      <c r="F23" t="s">
        <v>142</v>
      </c>
      <c r="G23" s="6">
        <v>310935</v>
      </c>
      <c r="H23" s="6">
        <v>318528</v>
      </c>
      <c r="I23" s="6">
        <v>323944</v>
      </c>
      <c r="J23" s="6">
        <v>322768</v>
      </c>
      <c r="K23" s="6">
        <v>323716</v>
      </c>
      <c r="L23" s="18">
        <f>0.22*1000000</f>
        <v>220000</v>
      </c>
      <c r="M23" s="18">
        <f>(20.8/100)*1000000</f>
        <v>208000.00000000003</v>
      </c>
      <c r="N23" s="18">
        <f>0.2*1000000</f>
        <v>200000</v>
      </c>
      <c r="O23" s="18">
        <f>0.16*1000000</f>
        <v>160000</v>
      </c>
      <c r="P23" s="18">
        <f>0.1852*1000000</f>
        <v>185200</v>
      </c>
      <c r="Q23" s="7">
        <v>136147</v>
      </c>
      <c r="R23" s="7">
        <v>134619</v>
      </c>
      <c r="S23" s="7">
        <v>123371</v>
      </c>
      <c r="T23" s="7">
        <v>102324</v>
      </c>
      <c r="U23" s="7">
        <v>105079</v>
      </c>
      <c r="V23" s="8">
        <f>56436*1000000</f>
        <v>56436000000</v>
      </c>
      <c r="W23" s="8">
        <f>58527*1000000</f>
        <v>58527000000</v>
      </c>
      <c r="X23" s="8">
        <f>65828*1000000</f>
        <v>65828000000</v>
      </c>
      <c r="Y23" s="8">
        <f>65435*1000000</f>
        <v>65435000000</v>
      </c>
      <c r="Z23" s="8">
        <f>71843*1000000</f>
        <v>71843000000</v>
      </c>
      <c r="AA23" s="19">
        <f>(27510+14688)*1000000</f>
        <v>42198000000</v>
      </c>
      <c r="AB23" s="19">
        <f>(29104+15831)*1000000</f>
        <v>44935000000</v>
      </c>
      <c r="AC23" s="19">
        <f>(32820+18081)*1000000</f>
        <v>50901000000</v>
      </c>
      <c r="AD23" s="19">
        <f>(37686+20479)*1000000</f>
        <v>58165000000</v>
      </c>
      <c r="AE23" s="19">
        <f>(39631+21591)*1000000</f>
        <v>61222000000</v>
      </c>
      <c r="AF23" s="9" t="s">
        <v>170</v>
      </c>
      <c r="AG23" s="9" t="s">
        <v>170</v>
      </c>
      <c r="AH23" s="9" t="s">
        <v>170</v>
      </c>
      <c r="AI23" s="9" t="s">
        <v>170</v>
      </c>
      <c r="AJ23" s="9" t="s">
        <v>170</v>
      </c>
      <c r="AK23" s="40" t="s">
        <v>43</v>
      </c>
      <c r="AL23" s="40" t="s">
        <v>43</v>
      </c>
      <c r="AM23" s="40" t="s">
        <v>44</v>
      </c>
      <c r="AN23" s="40" t="s">
        <v>44</v>
      </c>
      <c r="AP23" s="41" t="s">
        <v>241</v>
      </c>
      <c r="AQ23" s="41">
        <v>7.2</v>
      </c>
      <c r="AR23" s="41">
        <v>7.6</v>
      </c>
      <c r="AS23" s="41">
        <v>7.8</v>
      </c>
      <c r="AU23" s="20" t="s">
        <v>222</v>
      </c>
      <c r="AV23" s="20">
        <v>21</v>
      </c>
      <c r="AW23" s="20">
        <v>25</v>
      </c>
      <c r="AX23" s="20">
        <v>25</v>
      </c>
      <c r="AZ23" s="42" t="s">
        <v>110</v>
      </c>
      <c r="BA23" s="42">
        <v>4.5</v>
      </c>
      <c r="BB23" s="42">
        <v>3.9</v>
      </c>
      <c r="BC23" s="42">
        <v>3.9</v>
      </c>
      <c r="BE23" s="20" t="s">
        <v>223</v>
      </c>
      <c r="BF23" s="20">
        <v>58</v>
      </c>
      <c r="BG23" s="20">
        <v>50</v>
      </c>
      <c r="BH23" s="20">
        <v>50</v>
      </c>
      <c r="BJ23" s="43" t="s">
        <v>125</v>
      </c>
      <c r="BK23" s="43">
        <v>5.0999999999999996</v>
      </c>
      <c r="BL23" s="43">
        <v>4.8</v>
      </c>
      <c r="BM23" s="43">
        <v>4.7</v>
      </c>
      <c r="BO23" s="44" t="s">
        <v>222</v>
      </c>
      <c r="BP23" s="44">
        <v>21</v>
      </c>
      <c r="BQ23" s="44">
        <v>25</v>
      </c>
      <c r="BR23" s="44">
        <v>25</v>
      </c>
      <c r="BT23" s="20" t="s">
        <v>241</v>
      </c>
      <c r="BU23" s="20">
        <v>7.2</v>
      </c>
      <c r="BV23" s="20">
        <v>7.6</v>
      </c>
      <c r="BW23" s="20">
        <v>7.8</v>
      </c>
      <c r="BY23" s="45" t="s">
        <v>222</v>
      </c>
      <c r="BZ23" s="45">
        <v>21</v>
      </c>
      <c r="CA23" s="45">
        <v>25</v>
      </c>
      <c r="CB23" s="45">
        <v>25</v>
      </c>
      <c r="CD23" s="20" t="s">
        <v>110</v>
      </c>
      <c r="CE23" s="20">
        <v>4.5</v>
      </c>
      <c r="CF23" s="20">
        <v>3.9</v>
      </c>
      <c r="CG23" s="20">
        <v>3.9</v>
      </c>
      <c r="CI23" s="30" t="s">
        <v>223</v>
      </c>
      <c r="CJ23" s="30">
        <v>58</v>
      </c>
      <c r="CK23" s="30">
        <v>50</v>
      </c>
      <c r="CL23" s="30">
        <v>50</v>
      </c>
      <c r="CO23" s="20" t="s">
        <v>151</v>
      </c>
      <c r="CP23" s="20" t="s">
        <v>151</v>
      </c>
      <c r="CQ23" s="20" t="s">
        <v>151</v>
      </c>
      <c r="CS23" s="46" t="s">
        <v>57</v>
      </c>
      <c r="CT23" s="46" t="s">
        <v>151</v>
      </c>
      <c r="CU23" s="46">
        <v>0</v>
      </c>
      <c r="CV23" s="46">
        <v>0</v>
      </c>
      <c r="CX23" s="47" t="s">
        <v>241</v>
      </c>
      <c r="CY23" s="47">
        <v>7.2</v>
      </c>
      <c r="CZ23" s="47">
        <v>7.6</v>
      </c>
      <c r="DA23" s="47">
        <v>7.8</v>
      </c>
      <c r="DC23" s="20" t="s">
        <v>222</v>
      </c>
      <c r="DD23" s="20">
        <v>21</v>
      </c>
      <c r="DE23" s="20">
        <v>25</v>
      </c>
      <c r="DF23" s="20">
        <v>25</v>
      </c>
      <c r="DH23" s="9" t="s">
        <v>133</v>
      </c>
      <c r="DI23" s="9">
        <v>5.6</v>
      </c>
      <c r="DJ23" s="9">
        <v>5.9</v>
      </c>
      <c r="DK23" s="9">
        <v>5.9</v>
      </c>
      <c r="DM23" s="30" t="s">
        <v>125</v>
      </c>
      <c r="DN23" s="30">
        <v>5.8</v>
      </c>
      <c r="DO23" s="30">
        <v>6.3</v>
      </c>
      <c r="DP23" s="30">
        <v>6.7</v>
      </c>
      <c r="DS23" s="20" t="s">
        <v>151</v>
      </c>
      <c r="DT23" s="20" t="s">
        <v>151</v>
      </c>
      <c r="DU23" s="20" t="s">
        <v>151</v>
      </c>
      <c r="DW23" s="9" t="s">
        <v>57</v>
      </c>
      <c r="DX23" s="9" t="s">
        <v>151</v>
      </c>
      <c r="DY23" s="9">
        <v>0</v>
      </c>
      <c r="DZ23" s="9">
        <v>0</v>
      </c>
      <c r="EC23" s="20">
        <v>4.7</v>
      </c>
      <c r="ED23" s="20">
        <v>4.0999999999999996</v>
      </c>
      <c r="EE23" s="20">
        <v>4.0999999999999996</v>
      </c>
      <c r="EH23" s="9" t="s">
        <v>151</v>
      </c>
      <c r="EI23" s="9" t="s">
        <v>151</v>
      </c>
      <c r="EJ23" s="9" t="s">
        <v>151</v>
      </c>
      <c r="EL23" s="20" t="s">
        <v>70</v>
      </c>
      <c r="EM23" s="20">
        <v>2.5</v>
      </c>
      <c r="EN23" s="20">
        <v>2.9</v>
      </c>
      <c r="EO23" s="20">
        <v>2.9</v>
      </c>
      <c r="EQ23" s="9" t="s">
        <v>225</v>
      </c>
      <c r="ER23" s="9">
        <v>26</v>
      </c>
      <c r="ES23" s="9">
        <v>25</v>
      </c>
      <c r="ET23" s="9">
        <v>25</v>
      </c>
      <c r="EV23" s="20" t="s">
        <v>123</v>
      </c>
      <c r="EW23" s="20">
        <v>10</v>
      </c>
      <c r="EX23" s="20">
        <v>10</v>
      </c>
      <c r="EY23" s="20">
        <v>10</v>
      </c>
      <c r="FA23" s="9" t="s">
        <v>93</v>
      </c>
      <c r="FB23" s="9">
        <v>5.5</v>
      </c>
      <c r="FC23" s="9">
        <v>5.9</v>
      </c>
      <c r="FD23" s="9">
        <v>5.9</v>
      </c>
      <c r="FF23" s="48" t="s">
        <v>125</v>
      </c>
      <c r="FG23" s="48">
        <v>6.1</v>
      </c>
      <c r="FH23" s="48">
        <v>4.8</v>
      </c>
      <c r="FI23" s="48">
        <v>4.8</v>
      </c>
      <c r="FK23" s="20" t="s">
        <v>120</v>
      </c>
      <c r="FL23" s="20">
        <v>32</v>
      </c>
      <c r="FM23" s="20">
        <v>25</v>
      </c>
      <c r="FN23" s="20">
        <v>25</v>
      </c>
      <c r="FP23" s="49" t="s">
        <v>103</v>
      </c>
      <c r="FQ23" s="49">
        <v>5.0999999999999996</v>
      </c>
      <c r="FR23" s="49">
        <v>6.5</v>
      </c>
      <c r="FS23" s="49">
        <v>6.5</v>
      </c>
      <c r="FU23" s="7" t="s">
        <v>90</v>
      </c>
      <c r="FV23" s="7">
        <v>4.2</v>
      </c>
      <c r="FW23" s="7">
        <v>4.3</v>
      </c>
      <c r="FX23" s="7">
        <v>4.3</v>
      </c>
    </row>
    <row r="24" spans="1:181" x14ac:dyDescent="0.3">
      <c r="A24" s="12" t="s">
        <v>242</v>
      </c>
      <c r="B24" t="s">
        <v>243</v>
      </c>
      <c r="C24" t="s">
        <v>244</v>
      </c>
      <c r="D24" t="s">
        <v>245</v>
      </c>
      <c r="E24" t="s">
        <v>240</v>
      </c>
      <c r="F24" t="s">
        <v>142</v>
      </c>
      <c r="G24" s="6" t="s">
        <v>151</v>
      </c>
      <c r="H24" s="6" t="s">
        <v>151</v>
      </c>
      <c r="I24" s="6">
        <v>8000</v>
      </c>
      <c r="J24" s="6">
        <v>8500</v>
      </c>
      <c r="K24" s="6">
        <v>8649</v>
      </c>
      <c r="L24" s="18" t="s">
        <v>151</v>
      </c>
      <c r="M24" s="18" t="s">
        <v>151</v>
      </c>
      <c r="N24" s="18" t="s">
        <v>151</v>
      </c>
      <c r="O24" s="18">
        <v>5018274</v>
      </c>
      <c r="P24" s="18">
        <v>4163284</v>
      </c>
      <c r="Q24" s="7" t="s">
        <v>151</v>
      </c>
      <c r="R24" s="7" t="s">
        <v>151</v>
      </c>
      <c r="S24" s="7" t="s">
        <v>151</v>
      </c>
      <c r="T24" s="7" t="s">
        <v>151</v>
      </c>
      <c r="U24" s="7" t="s">
        <v>151</v>
      </c>
      <c r="V24" s="8">
        <f>25141962*1000</f>
        <v>25141962000</v>
      </c>
      <c r="W24" s="8">
        <f>27279736*1000</f>
        <v>27279736000</v>
      </c>
      <c r="X24" s="8">
        <f>31288252*1000</f>
        <v>31288252000</v>
      </c>
      <c r="Y24" s="8">
        <f>31016117*1000</f>
        <v>31016117000</v>
      </c>
      <c r="Z24" s="8">
        <f>32249975*1000</f>
        <v>32249975000</v>
      </c>
      <c r="AA24" s="19">
        <f>21917976*1000</f>
        <v>21917976000</v>
      </c>
      <c r="AB24" s="19">
        <f>23944143*1000</f>
        <v>23944143000</v>
      </c>
      <c r="AC24" s="19">
        <f>27227613*1000</f>
        <v>27227613000</v>
      </c>
      <c r="AD24" s="19">
        <f>26837892*1000</f>
        <v>26837892000</v>
      </c>
      <c r="AE24" s="19">
        <f>27470083*1000</f>
        <v>27470083000</v>
      </c>
      <c r="AF24" s="9" t="s">
        <v>169</v>
      </c>
      <c r="AG24" s="9" t="s">
        <v>169</v>
      </c>
      <c r="AH24" s="9" t="s">
        <v>169</v>
      </c>
      <c r="AI24" s="9" t="s">
        <v>169</v>
      </c>
      <c r="AJ24" s="9" t="s">
        <v>169</v>
      </c>
      <c r="AK24" s="40" t="s">
        <v>43</v>
      </c>
      <c r="AP24" s="41" t="s">
        <v>91</v>
      </c>
      <c r="AU24" s="20" t="s">
        <v>143</v>
      </c>
      <c r="AZ24" s="42" t="s">
        <v>109</v>
      </c>
      <c r="BE24" s="20" t="s">
        <v>144</v>
      </c>
      <c r="BJ24" s="43" t="s">
        <v>161</v>
      </c>
      <c r="BO24" s="44" t="s">
        <v>143</v>
      </c>
      <c r="BT24" s="20" t="s">
        <v>91</v>
      </c>
      <c r="BY24" s="45" t="s">
        <v>143</v>
      </c>
      <c r="CD24" s="20" t="s">
        <v>109</v>
      </c>
      <c r="CI24" s="30" t="s">
        <v>144</v>
      </c>
      <c r="CS24" s="46" t="s">
        <v>57</v>
      </c>
      <c r="CX24" s="47" t="s">
        <v>91</v>
      </c>
      <c r="DC24" s="20" t="s">
        <v>143</v>
      </c>
      <c r="DH24" s="9" t="s">
        <v>174</v>
      </c>
      <c r="DM24" s="30" t="s">
        <v>72</v>
      </c>
      <c r="DW24" s="9" t="s">
        <v>57</v>
      </c>
      <c r="EL24" s="20" t="s">
        <v>246</v>
      </c>
      <c r="EQ24" s="9" t="s">
        <v>145</v>
      </c>
      <c r="EV24" s="20" t="s">
        <v>138</v>
      </c>
      <c r="FA24" s="9" t="s">
        <v>246</v>
      </c>
      <c r="FF24" s="48" t="s">
        <v>49</v>
      </c>
      <c r="FK24" s="20" t="s">
        <v>45</v>
      </c>
      <c r="FP24" s="49" t="s">
        <v>247</v>
      </c>
      <c r="FU24" s="7" t="s">
        <v>146</v>
      </c>
    </row>
    <row r="25" spans="1:181" x14ac:dyDescent="0.3">
      <c r="A25" t="s">
        <v>248</v>
      </c>
      <c r="B25" t="s">
        <v>249</v>
      </c>
      <c r="D25" t="s">
        <v>250</v>
      </c>
      <c r="E25" t="s">
        <v>118</v>
      </c>
      <c r="F25" t="s">
        <v>142</v>
      </c>
      <c r="G25" s="26">
        <v>12495</v>
      </c>
      <c r="H25" s="26">
        <v>11047</v>
      </c>
      <c r="I25" s="26">
        <v>11533</v>
      </c>
      <c r="J25" s="26">
        <v>11124</v>
      </c>
      <c r="K25" s="26">
        <v>11811</v>
      </c>
      <c r="L25" s="18" t="s">
        <v>151</v>
      </c>
      <c r="M25" s="27" t="s">
        <v>151</v>
      </c>
      <c r="N25" s="18" t="s">
        <v>151</v>
      </c>
      <c r="O25" s="18">
        <v>108453</v>
      </c>
      <c r="P25" s="18">
        <v>110062</v>
      </c>
      <c r="Q25" s="7" t="s">
        <v>151</v>
      </c>
      <c r="R25" s="7" t="s">
        <v>151</v>
      </c>
      <c r="S25" s="7" t="s">
        <v>151</v>
      </c>
      <c r="T25" s="7" t="s">
        <v>151</v>
      </c>
      <c r="U25" s="7" t="s">
        <v>151</v>
      </c>
      <c r="V25" s="26">
        <f>7957*1000000</f>
        <v>7957000000</v>
      </c>
      <c r="W25" s="26">
        <f>7807*1000000</f>
        <v>7807000000</v>
      </c>
      <c r="X25" s="26">
        <f>9053*1000000</f>
        <v>9053000000</v>
      </c>
      <c r="Y25" s="26">
        <f>9387*1000000</f>
        <v>9387000000</v>
      </c>
      <c r="Z25" s="26">
        <f>10576*1000000</f>
        <v>10576000000</v>
      </c>
      <c r="AA25" s="19">
        <f>6536*1000000</f>
        <v>6536000000</v>
      </c>
      <c r="AB25" s="19">
        <f>6371*1000000</f>
        <v>6371000000</v>
      </c>
      <c r="AC25" s="19">
        <f>7599*1000000</f>
        <v>7599000000</v>
      </c>
      <c r="AD25" s="19">
        <f>8007*1000000</f>
        <v>8007000000</v>
      </c>
      <c r="AE25" s="19">
        <f>8781*1000000</f>
        <v>8781000000</v>
      </c>
      <c r="AF25" s="9" t="s">
        <v>170</v>
      </c>
      <c r="AG25" s="9" t="s">
        <v>170</v>
      </c>
      <c r="AH25" s="9" t="s">
        <v>170</v>
      </c>
      <c r="AI25" s="9" t="s">
        <v>170</v>
      </c>
      <c r="AJ25" s="9" t="s">
        <v>170</v>
      </c>
      <c r="AK25" s="40" t="s">
        <v>43</v>
      </c>
      <c r="AL25" s="40" t="s">
        <v>43</v>
      </c>
      <c r="AM25" s="40" t="s">
        <v>43</v>
      </c>
      <c r="AN25" s="40" t="s">
        <v>43</v>
      </c>
      <c r="AP25" s="41" t="s">
        <v>128</v>
      </c>
      <c r="AQ25" s="41">
        <v>3.8</v>
      </c>
      <c r="AR25" s="41">
        <v>3.9</v>
      </c>
      <c r="AS25" s="41">
        <v>3.8</v>
      </c>
      <c r="AU25" s="20" t="s">
        <v>67</v>
      </c>
      <c r="AV25" s="20">
        <v>21</v>
      </c>
      <c r="AW25" s="20">
        <v>22</v>
      </c>
      <c r="AX25" s="20">
        <v>24</v>
      </c>
      <c r="AZ25" s="42" t="s">
        <v>51</v>
      </c>
      <c r="BA25" s="42">
        <v>5.3</v>
      </c>
      <c r="BB25" s="42">
        <v>5.3</v>
      </c>
      <c r="BC25" s="42">
        <v>4.2</v>
      </c>
      <c r="BE25" s="20" t="s">
        <v>160</v>
      </c>
      <c r="BF25" s="20">
        <v>58</v>
      </c>
      <c r="BG25" s="20">
        <v>56</v>
      </c>
      <c r="BH25" s="20">
        <v>35</v>
      </c>
      <c r="BJ25" s="43" t="s">
        <v>241</v>
      </c>
      <c r="BK25" s="43">
        <v>8.1999999999999993</v>
      </c>
      <c r="BL25" s="43">
        <v>8.1</v>
      </c>
      <c r="BM25" s="43">
        <v>7</v>
      </c>
      <c r="BO25" s="44" t="s">
        <v>67</v>
      </c>
      <c r="BP25" s="44">
        <v>21</v>
      </c>
      <c r="BQ25" s="44">
        <v>22</v>
      </c>
      <c r="BR25" s="44">
        <v>41</v>
      </c>
      <c r="BT25" s="20" t="s">
        <v>128</v>
      </c>
      <c r="BU25" s="20">
        <v>3.8</v>
      </c>
      <c r="BV25" s="20">
        <v>3.9</v>
      </c>
      <c r="BW25" s="20">
        <v>3.8</v>
      </c>
      <c r="BY25" s="45" t="s">
        <v>67</v>
      </c>
      <c r="BZ25" s="45">
        <v>21</v>
      </c>
      <c r="CA25" s="45">
        <v>22</v>
      </c>
      <c r="CB25" s="45">
        <v>24</v>
      </c>
      <c r="CD25" s="20" t="s">
        <v>51</v>
      </c>
      <c r="CE25" s="20">
        <v>5.3</v>
      </c>
      <c r="CF25" s="20">
        <v>5.3</v>
      </c>
      <c r="CG25" s="20">
        <v>4.2</v>
      </c>
      <c r="CI25" s="30" t="s">
        <v>160</v>
      </c>
      <c r="CJ25" s="30">
        <v>58</v>
      </c>
      <c r="CK25" s="30">
        <v>56</v>
      </c>
      <c r="CL25" s="30">
        <v>35</v>
      </c>
      <c r="CO25" s="20" t="s">
        <v>151</v>
      </c>
      <c r="CP25" s="20" t="s">
        <v>151</v>
      </c>
      <c r="CQ25" s="20">
        <v>7</v>
      </c>
      <c r="CT25" s="46" t="s">
        <v>151</v>
      </c>
      <c r="CU25" s="46">
        <v>0</v>
      </c>
      <c r="CV25" s="46" t="s">
        <v>151</v>
      </c>
      <c r="CX25" s="47" t="s">
        <v>128</v>
      </c>
      <c r="CY25" s="47">
        <v>3.8</v>
      </c>
      <c r="CZ25" s="47">
        <v>3.9</v>
      </c>
      <c r="DA25" s="47">
        <v>3.8</v>
      </c>
      <c r="DC25" s="20" t="s">
        <v>67</v>
      </c>
      <c r="DD25" s="20">
        <v>21</v>
      </c>
      <c r="DE25" s="20">
        <v>22</v>
      </c>
      <c r="DF25" s="20">
        <v>24</v>
      </c>
      <c r="DH25" s="9" t="s">
        <v>49</v>
      </c>
      <c r="DI25" s="9">
        <v>6.5</v>
      </c>
      <c r="DJ25" s="9">
        <v>6.4</v>
      </c>
      <c r="DK25" s="9">
        <v>6.5</v>
      </c>
      <c r="DM25" s="30" t="s">
        <v>76</v>
      </c>
      <c r="DN25" s="30">
        <v>3.3</v>
      </c>
      <c r="DO25" s="30">
        <v>3.3</v>
      </c>
      <c r="DP25" s="30">
        <v>3.3</v>
      </c>
      <c r="DS25" s="20" t="s">
        <v>151</v>
      </c>
      <c r="DT25" s="20" t="s">
        <v>151</v>
      </c>
      <c r="DU25" s="20" t="s">
        <v>151</v>
      </c>
      <c r="DW25" s="9" t="s">
        <v>57</v>
      </c>
      <c r="DX25" s="9" t="s">
        <v>151</v>
      </c>
      <c r="DY25" s="9">
        <v>0</v>
      </c>
      <c r="DZ25" s="9" t="s">
        <v>151</v>
      </c>
      <c r="EC25" s="20">
        <v>3.3</v>
      </c>
      <c r="ED25" s="20">
        <v>3.3</v>
      </c>
      <c r="EE25" s="20">
        <v>3.3</v>
      </c>
      <c r="EH25" s="9" t="s">
        <v>151</v>
      </c>
      <c r="EI25" s="9" t="s">
        <v>151</v>
      </c>
      <c r="EJ25" s="9" t="s">
        <v>151</v>
      </c>
      <c r="EL25" s="20" t="s">
        <v>51</v>
      </c>
      <c r="EM25" s="20">
        <v>5.4</v>
      </c>
      <c r="EO25" s="20">
        <v>3.9</v>
      </c>
      <c r="EQ25" s="9" t="s">
        <v>69</v>
      </c>
      <c r="ER25" s="9">
        <v>26</v>
      </c>
      <c r="ES25" s="9">
        <v>28</v>
      </c>
      <c r="ET25" s="9">
        <v>24</v>
      </c>
      <c r="EV25" s="20" t="s">
        <v>88</v>
      </c>
      <c r="EW25" s="20">
        <v>5</v>
      </c>
      <c r="EX25" s="20">
        <v>4.3</v>
      </c>
      <c r="EY25" s="20">
        <v>6.1</v>
      </c>
      <c r="FA25" s="9" t="s">
        <v>159</v>
      </c>
      <c r="FB25" s="9">
        <v>3.4</v>
      </c>
      <c r="FC25" s="9">
        <v>2.7</v>
      </c>
      <c r="FD25" s="9">
        <v>3</v>
      </c>
      <c r="FF25" s="48" t="s">
        <v>58</v>
      </c>
      <c r="FG25" s="48">
        <v>5.2</v>
      </c>
      <c r="FH25" s="48">
        <v>5.2</v>
      </c>
      <c r="FI25" s="48">
        <v>4.9000000000000004</v>
      </c>
      <c r="FK25" s="20" t="s">
        <v>69</v>
      </c>
      <c r="FL25" s="20">
        <v>32</v>
      </c>
      <c r="FM25" s="20">
        <v>28</v>
      </c>
      <c r="FN25" s="20">
        <v>11</v>
      </c>
      <c r="FP25" s="49" t="s">
        <v>88</v>
      </c>
      <c r="FQ25" s="49">
        <v>4.8</v>
      </c>
      <c r="FR25" s="49">
        <v>4.7</v>
      </c>
      <c r="FS25" s="49">
        <v>4.8</v>
      </c>
      <c r="FU25" s="7" t="s">
        <v>78</v>
      </c>
      <c r="FV25" s="7">
        <v>3</v>
      </c>
      <c r="FW25" s="7">
        <v>2.9</v>
      </c>
      <c r="FX25" s="7">
        <v>2.7</v>
      </c>
    </row>
    <row r="26" spans="1:181" x14ac:dyDescent="0.3">
      <c r="A26" s="13" t="s">
        <v>251</v>
      </c>
      <c r="D26" s="50" t="s">
        <v>324</v>
      </c>
      <c r="E26" t="s">
        <v>240</v>
      </c>
      <c r="F26" t="s">
        <v>142</v>
      </c>
      <c r="AK26" s="40" t="s">
        <v>43</v>
      </c>
      <c r="AL26" s="40" t="s">
        <v>44</v>
      </c>
      <c r="AM26" s="40" t="s">
        <v>43</v>
      </c>
      <c r="AN26" s="40" t="s">
        <v>44</v>
      </c>
      <c r="AP26" s="41" t="s">
        <v>108</v>
      </c>
      <c r="AQ26" s="41">
        <v>8.3000000000000007</v>
      </c>
      <c r="AR26" s="41">
        <v>7.4</v>
      </c>
      <c r="AS26" s="41">
        <v>7.2</v>
      </c>
      <c r="AU26" s="20" t="s">
        <v>143</v>
      </c>
      <c r="AV26" s="20">
        <v>29</v>
      </c>
      <c r="AW26" s="20">
        <v>29</v>
      </c>
      <c r="AX26" s="20">
        <v>26</v>
      </c>
      <c r="AZ26" s="42" t="s">
        <v>58</v>
      </c>
      <c r="BA26" s="42">
        <v>1.7</v>
      </c>
      <c r="BB26" s="42">
        <v>1.7</v>
      </c>
      <c r="BC26" s="42">
        <v>2.9</v>
      </c>
      <c r="BE26" s="20" t="s">
        <v>144</v>
      </c>
      <c r="BF26" s="20">
        <v>42</v>
      </c>
      <c r="BG26" s="20">
        <v>42</v>
      </c>
      <c r="BH26" s="20">
        <v>30</v>
      </c>
      <c r="BJ26" s="43" t="s">
        <v>110</v>
      </c>
      <c r="BK26" s="43">
        <v>5.8</v>
      </c>
      <c r="BL26" s="43">
        <v>5.4</v>
      </c>
      <c r="BM26" s="43">
        <v>2.8</v>
      </c>
      <c r="BO26" s="44" t="s">
        <v>143</v>
      </c>
      <c r="BP26" s="44">
        <v>29</v>
      </c>
      <c r="BQ26" s="44">
        <v>29</v>
      </c>
      <c r="BR26" s="44">
        <v>44</v>
      </c>
      <c r="BT26" s="20" t="s">
        <v>108</v>
      </c>
      <c r="BU26" s="20">
        <v>8.3000000000000007</v>
      </c>
      <c r="BV26" s="20">
        <v>7.4</v>
      </c>
      <c r="BW26" s="20">
        <v>7.2</v>
      </c>
      <c r="BY26" s="45" t="s">
        <v>143</v>
      </c>
      <c r="BZ26" s="45">
        <v>29</v>
      </c>
      <c r="CA26" s="45">
        <v>29</v>
      </c>
      <c r="CB26" s="45">
        <v>26</v>
      </c>
      <c r="CD26" s="20" t="s">
        <v>58</v>
      </c>
      <c r="CE26" s="20">
        <v>1.7</v>
      </c>
      <c r="CF26" s="20">
        <v>1.7</v>
      </c>
      <c r="CG26" s="20">
        <v>2.9</v>
      </c>
      <c r="CI26" s="30" t="s">
        <v>144</v>
      </c>
      <c r="CJ26" s="30">
        <v>42</v>
      </c>
      <c r="CK26" s="30">
        <v>42</v>
      </c>
      <c r="CL26" s="30">
        <v>30</v>
      </c>
      <c r="CO26" s="20" t="s">
        <v>151</v>
      </c>
      <c r="CP26" s="20" t="s">
        <v>151</v>
      </c>
      <c r="CQ26" s="20">
        <v>6.9</v>
      </c>
      <c r="CS26" s="46" t="s">
        <v>57</v>
      </c>
      <c r="CT26" s="46" t="s">
        <v>151</v>
      </c>
      <c r="CU26" s="46">
        <v>0</v>
      </c>
      <c r="CV26" s="46" t="s">
        <v>151</v>
      </c>
      <c r="CX26" s="47" t="s">
        <v>108</v>
      </c>
      <c r="CY26" s="47">
        <v>8.3000000000000007</v>
      </c>
      <c r="CZ26" s="47">
        <v>7.4</v>
      </c>
      <c r="DA26" s="47">
        <v>7.2</v>
      </c>
      <c r="DC26" s="20" t="s">
        <v>143</v>
      </c>
      <c r="DD26" s="20">
        <v>29</v>
      </c>
      <c r="DE26" s="20">
        <v>29</v>
      </c>
      <c r="DF26" s="20">
        <v>26</v>
      </c>
      <c r="DH26" s="9" t="s">
        <v>224</v>
      </c>
      <c r="DI26" s="9">
        <v>3.3</v>
      </c>
      <c r="DJ26" s="9">
        <v>3.3</v>
      </c>
      <c r="DK26" s="9">
        <v>3.1</v>
      </c>
      <c r="DM26" s="30" t="s">
        <v>45</v>
      </c>
      <c r="DN26" s="30">
        <v>4.5999999999999996</v>
      </c>
      <c r="DO26" s="30">
        <v>3.7</v>
      </c>
      <c r="DP26" s="30">
        <v>3.3</v>
      </c>
      <c r="DR26" s="20" t="s">
        <v>182</v>
      </c>
      <c r="DS26" s="20" t="s">
        <v>151</v>
      </c>
      <c r="DT26" s="20" t="s">
        <v>151</v>
      </c>
      <c r="DU26" s="20" t="s">
        <v>151</v>
      </c>
      <c r="DW26" s="9" t="s">
        <v>57</v>
      </c>
      <c r="DX26" s="9" t="s">
        <v>151</v>
      </c>
      <c r="DY26" s="9">
        <v>0</v>
      </c>
      <c r="DZ26" s="9">
        <v>0</v>
      </c>
      <c r="EB26" s="20" t="s">
        <v>252</v>
      </c>
      <c r="EC26" s="20">
        <v>2.7</v>
      </c>
      <c r="ED26" s="20">
        <v>2.7</v>
      </c>
      <c r="EE26" s="20">
        <v>2.9</v>
      </c>
      <c r="EG26" s="9" t="s">
        <v>45</v>
      </c>
      <c r="EH26" s="9" t="s">
        <v>151</v>
      </c>
      <c r="EI26" s="9" t="s">
        <v>151</v>
      </c>
      <c r="EJ26" s="9" t="s">
        <v>151</v>
      </c>
      <c r="EL26" s="20" t="s">
        <v>45</v>
      </c>
      <c r="EM26" s="20">
        <v>1</v>
      </c>
      <c r="EN26" s="20">
        <v>1</v>
      </c>
      <c r="EO26" s="20">
        <v>2</v>
      </c>
      <c r="EQ26" s="9" t="s">
        <v>145</v>
      </c>
      <c r="ER26" s="9">
        <v>37</v>
      </c>
      <c r="ES26" s="9">
        <v>37</v>
      </c>
      <c r="ET26" s="9">
        <v>25</v>
      </c>
      <c r="EV26" s="20" t="s">
        <v>71</v>
      </c>
      <c r="EW26" s="20">
        <v>6.7</v>
      </c>
      <c r="EX26" s="20">
        <v>6.7</v>
      </c>
      <c r="EY26" s="20">
        <v>6.5</v>
      </c>
      <c r="FA26" s="9" t="s">
        <v>133</v>
      </c>
      <c r="FB26" s="9">
        <v>0.7</v>
      </c>
      <c r="FC26" s="9">
        <v>0.7</v>
      </c>
      <c r="FD26" s="9">
        <v>1.5</v>
      </c>
      <c r="FF26" s="48" t="s">
        <v>85</v>
      </c>
      <c r="FG26" s="48">
        <v>6.7</v>
      </c>
      <c r="FH26" s="48">
        <v>6.7</v>
      </c>
      <c r="FI26" s="48">
        <v>7.1</v>
      </c>
      <c r="FK26" s="20" t="s">
        <v>45</v>
      </c>
      <c r="FL26" s="20">
        <v>5</v>
      </c>
      <c r="FM26" s="20">
        <v>5</v>
      </c>
      <c r="FN26" s="20">
        <v>5</v>
      </c>
      <c r="FP26" s="49" t="s">
        <v>253</v>
      </c>
      <c r="FQ26" s="49">
        <v>1.5</v>
      </c>
      <c r="FR26" s="49">
        <v>1.4</v>
      </c>
      <c r="FS26" s="49">
        <v>2</v>
      </c>
      <c r="FU26" s="7" t="s">
        <v>100</v>
      </c>
      <c r="FV26" s="7">
        <v>1.7</v>
      </c>
      <c r="FW26" s="7">
        <v>1.7</v>
      </c>
      <c r="FX26" s="7">
        <v>2.1</v>
      </c>
    </row>
    <row r="27" spans="1:181" x14ac:dyDescent="0.3">
      <c r="A27" s="13" t="s">
        <v>254</v>
      </c>
      <c r="B27" t="s">
        <v>255</v>
      </c>
      <c r="D27" t="s">
        <v>256</v>
      </c>
      <c r="E27" t="s">
        <v>189</v>
      </c>
      <c r="F27" t="s">
        <v>64</v>
      </c>
      <c r="AK27" s="40" t="s">
        <v>171</v>
      </c>
      <c r="AL27" s="40" t="s">
        <v>171</v>
      </c>
      <c r="AM27" s="40" t="s">
        <v>44</v>
      </c>
      <c r="AN27" s="40" t="s">
        <v>44</v>
      </c>
      <c r="AP27" s="41" t="s">
        <v>93</v>
      </c>
      <c r="AQ27" s="41">
        <v>5.7</v>
      </c>
      <c r="AR27" s="41">
        <v>5.0999999999999996</v>
      </c>
      <c r="AS27" s="41">
        <v>5.0999999999999996</v>
      </c>
      <c r="AU27" s="20" t="s">
        <v>122</v>
      </c>
      <c r="AV27" s="20">
        <v>17</v>
      </c>
      <c r="AW27" s="20">
        <v>11</v>
      </c>
      <c r="AX27" s="20">
        <v>13</v>
      </c>
      <c r="AZ27" s="42" t="s">
        <v>224</v>
      </c>
      <c r="BA27" s="42">
        <v>3.4</v>
      </c>
      <c r="BB27" s="42">
        <v>2.7</v>
      </c>
      <c r="BC27" s="42">
        <v>2.2999999999999998</v>
      </c>
      <c r="BE27" s="20" t="s">
        <v>144</v>
      </c>
      <c r="BF27" s="20">
        <v>41</v>
      </c>
      <c r="BG27" s="20">
        <v>39</v>
      </c>
      <c r="BH27" s="20">
        <v>43</v>
      </c>
      <c r="BJ27" s="43" t="s">
        <v>140</v>
      </c>
      <c r="BK27" s="43">
        <v>4.5999999999999996</v>
      </c>
      <c r="BL27" s="43">
        <v>5.5</v>
      </c>
      <c r="BM27" s="43">
        <v>6.2</v>
      </c>
      <c r="BO27" s="44" t="s">
        <v>257</v>
      </c>
      <c r="BP27" s="44">
        <v>42</v>
      </c>
      <c r="BQ27" s="44">
        <v>50</v>
      </c>
      <c r="BR27" s="44">
        <v>44</v>
      </c>
      <c r="BT27" s="20" t="s">
        <v>123</v>
      </c>
      <c r="BU27" s="20">
        <v>9</v>
      </c>
      <c r="BV27" s="20">
        <v>10</v>
      </c>
      <c r="BW27" s="20">
        <v>10</v>
      </c>
      <c r="BY27" s="45" t="s">
        <v>57</v>
      </c>
      <c r="BZ27" s="45">
        <v>0</v>
      </c>
      <c r="CA27" s="45">
        <v>0</v>
      </c>
      <c r="CB27" s="45">
        <v>0</v>
      </c>
      <c r="CD27" s="20" t="s">
        <v>224</v>
      </c>
      <c r="CE27" s="20">
        <v>3.4</v>
      </c>
      <c r="CF27" s="20">
        <v>2.7</v>
      </c>
      <c r="CG27" s="20">
        <v>2.2999999999999998</v>
      </c>
      <c r="CI27" s="30" t="s">
        <v>144</v>
      </c>
      <c r="CJ27" s="30">
        <v>41</v>
      </c>
      <c r="CK27" s="30">
        <v>39</v>
      </c>
      <c r="CL27" s="30">
        <v>43</v>
      </c>
      <c r="CN27" s="20" t="s">
        <v>114</v>
      </c>
      <c r="CO27" s="20">
        <v>3.3</v>
      </c>
      <c r="CP27" s="20">
        <v>4.8</v>
      </c>
      <c r="CQ27" s="20">
        <v>6.3</v>
      </c>
      <c r="CS27" s="46" t="s">
        <v>86</v>
      </c>
      <c r="CT27" s="46">
        <v>24</v>
      </c>
      <c r="CU27" s="46">
        <v>28</v>
      </c>
      <c r="CV27" s="46">
        <v>0</v>
      </c>
      <c r="CX27" s="47" t="s">
        <v>123</v>
      </c>
      <c r="CY27" s="47">
        <v>9</v>
      </c>
      <c r="CZ27" s="47">
        <v>10</v>
      </c>
      <c r="DA27" s="47">
        <v>10</v>
      </c>
      <c r="DC27" s="20" t="s">
        <v>57</v>
      </c>
      <c r="DD27" s="20">
        <v>0</v>
      </c>
      <c r="DE27" s="20">
        <v>0</v>
      </c>
      <c r="DF27" s="20">
        <v>0</v>
      </c>
      <c r="DH27" s="9" t="s">
        <v>258</v>
      </c>
      <c r="DI27" s="9">
        <v>2.7</v>
      </c>
      <c r="DJ27" s="9">
        <v>2.7</v>
      </c>
      <c r="DK27" s="9">
        <v>2.7</v>
      </c>
      <c r="DM27" s="30" t="s">
        <v>66</v>
      </c>
      <c r="DN27" s="30">
        <v>4.7</v>
      </c>
      <c r="DO27" s="30">
        <v>6.3</v>
      </c>
      <c r="DP27" s="30">
        <v>7</v>
      </c>
      <c r="DR27" s="20" t="s">
        <v>77</v>
      </c>
      <c r="DS27" s="20">
        <v>5.9</v>
      </c>
      <c r="DT27" s="20" t="s">
        <v>151</v>
      </c>
      <c r="DU27" s="20" t="s">
        <v>151</v>
      </c>
      <c r="DW27" s="9" t="s">
        <v>57</v>
      </c>
      <c r="DX27" s="9">
        <v>0</v>
      </c>
      <c r="DY27" s="9">
        <v>0</v>
      </c>
      <c r="DZ27" s="9">
        <v>0</v>
      </c>
      <c r="EB27" s="20" t="s">
        <v>259</v>
      </c>
      <c r="EC27" s="20">
        <v>4.4000000000000004</v>
      </c>
      <c r="ED27" s="20">
        <v>4.4000000000000004</v>
      </c>
      <c r="EE27" s="20">
        <v>3.9</v>
      </c>
      <c r="EG27" s="9" t="s">
        <v>76</v>
      </c>
      <c r="EH27" s="9">
        <v>3.3</v>
      </c>
      <c r="EI27" s="9" t="s">
        <v>151</v>
      </c>
      <c r="EJ27" s="9" t="s">
        <v>151</v>
      </c>
      <c r="EL27" s="20" t="s">
        <v>124</v>
      </c>
      <c r="EM27" s="20">
        <v>0.8</v>
      </c>
      <c r="EN27" s="20">
        <v>0</v>
      </c>
      <c r="EO27" s="20">
        <v>0</v>
      </c>
      <c r="EQ27" s="9" t="s">
        <v>122</v>
      </c>
      <c r="ER27" s="9">
        <v>17</v>
      </c>
      <c r="ES27" s="9">
        <v>22</v>
      </c>
      <c r="ET27" s="9">
        <v>25</v>
      </c>
      <c r="EV27" s="20" t="s">
        <v>123</v>
      </c>
      <c r="EW27" s="20">
        <v>10</v>
      </c>
      <c r="EX27" s="20">
        <v>10</v>
      </c>
      <c r="EY27" s="20">
        <v>10</v>
      </c>
      <c r="FA27" s="9" t="s">
        <v>128</v>
      </c>
      <c r="FB27" s="9">
        <v>3.8</v>
      </c>
      <c r="FC27" s="9">
        <v>3</v>
      </c>
      <c r="FD27" s="9">
        <v>3</v>
      </c>
      <c r="FF27" s="48" t="s">
        <v>102</v>
      </c>
      <c r="FG27" s="48">
        <v>5.3</v>
      </c>
      <c r="FH27" s="48">
        <v>6.3</v>
      </c>
      <c r="FI27" s="48">
        <v>5.6</v>
      </c>
      <c r="FK27" s="20" t="s">
        <v>86</v>
      </c>
      <c r="FL27" s="20">
        <v>24</v>
      </c>
      <c r="FM27" s="20">
        <v>17</v>
      </c>
      <c r="FN27" s="20">
        <v>18</v>
      </c>
      <c r="FP27" s="49" t="s">
        <v>125</v>
      </c>
      <c r="FQ27" s="49">
        <v>5.6</v>
      </c>
      <c r="FR27" s="49">
        <v>5.6</v>
      </c>
      <c r="FS27" s="49">
        <v>6.3</v>
      </c>
      <c r="FU27" s="7" t="s">
        <v>76</v>
      </c>
      <c r="FV27" s="7">
        <v>3.9</v>
      </c>
      <c r="FW27" s="7">
        <v>4.9000000000000004</v>
      </c>
      <c r="FX27" s="7">
        <v>4.9000000000000004</v>
      </c>
    </row>
    <row r="28" spans="1:181" s="26" customFormat="1" x14ac:dyDescent="0.3">
      <c r="A28" s="26" t="s">
        <v>260</v>
      </c>
      <c r="B28" s="26" t="s">
        <v>261</v>
      </c>
      <c r="D28" s="50" t="s">
        <v>323</v>
      </c>
      <c r="E28" s="26" t="s">
        <v>189</v>
      </c>
      <c r="F28" s="26" t="s">
        <v>64</v>
      </c>
      <c r="G28" s="26">
        <v>3336</v>
      </c>
      <c r="H28" s="26">
        <v>3255</v>
      </c>
      <c r="I28" s="26">
        <v>3205</v>
      </c>
      <c r="J28" s="26">
        <v>3175</v>
      </c>
      <c r="K28" s="26">
        <v>3125</v>
      </c>
      <c r="L28" s="26" t="s">
        <v>151</v>
      </c>
      <c r="M28" s="26" t="s">
        <v>151</v>
      </c>
      <c r="N28" s="26" t="s">
        <v>151</v>
      </c>
      <c r="O28" s="26" t="s">
        <v>151</v>
      </c>
      <c r="P28" s="26" t="s">
        <v>151</v>
      </c>
      <c r="Q28" s="31" t="s">
        <v>151</v>
      </c>
      <c r="R28" s="31" t="s">
        <v>151</v>
      </c>
      <c r="S28" s="31" t="s">
        <v>151</v>
      </c>
      <c r="T28" s="31" t="s">
        <v>151</v>
      </c>
      <c r="U28" s="31" t="s">
        <v>151</v>
      </c>
      <c r="V28" s="26">
        <f>9044*1000000</f>
        <v>9044000000</v>
      </c>
      <c r="W28" s="26">
        <f>8199.8*1000000</f>
        <v>8199799999.999999</v>
      </c>
      <c r="X28" s="26">
        <f>8968*1000000</f>
        <v>8968000000</v>
      </c>
      <c r="Y28" s="26">
        <f>8393*1000000</f>
        <v>8393000000</v>
      </c>
      <c r="Z28" s="26">
        <f>8477.2*1000000</f>
        <v>8477200000.000001</v>
      </c>
      <c r="AA28" s="26">
        <f>(7866.6+1976.7)*1000000</f>
        <v>9843300000.0000019</v>
      </c>
      <c r="AB28" s="26">
        <f>(6726.2+2867.8)*1000000</f>
        <v>9594000000</v>
      </c>
      <c r="AC28" s="26">
        <f>(6726.2+2867.8)*1000000</f>
        <v>9594000000</v>
      </c>
      <c r="AD28" s="26">
        <f>(7469.3+1578.3)*1000000</f>
        <v>9047600000</v>
      </c>
      <c r="AE28" s="26">
        <f>(7576.4+1267)*1000000</f>
        <v>8843400000</v>
      </c>
      <c r="AF28" s="31" t="s">
        <v>169</v>
      </c>
      <c r="AG28" s="31" t="s">
        <v>169</v>
      </c>
      <c r="AH28" s="31" t="s">
        <v>169</v>
      </c>
      <c r="AI28" s="31" t="s">
        <v>169</v>
      </c>
      <c r="AJ28" s="31" t="s">
        <v>169</v>
      </c>
      <c r="AK28" s="40" t="s">
        <v>43</v>
      </c>
      <c r="AL28" s="40" t="s">
        <v>43</v>
      </c>
      <c r="AM28" s="40" t="s">
        <v>43</v>
      </c>
      <c r="AN28" s="40" t="s">
        <v>43</v>
      </c>
      <c r="AO28" s="40"/>
      <c r="AP28" s="41" t="s">
        <v>54</v>
      </c>
      <c r="AQ28" s="41">
        <v>3.8</v>
      </c>
      <c r="AR28" s="41">
        <v>4.2</v>
      </c>
      <c r="AS28" s="41">
        <v>7.6</v>
      </c>
      <c r="AT28" s="41"/>
      <c r="AU28" s="31" t="s">
        <v>50</v>
      </c>
      <c r="AV28" s="31">
        <v>21</v>
      </c>
      <c r="AW28" s="31">
        <v>14</v>
      </c>
      <c r="AX28" s="31">
        <v>21</v>
      </c>
      <c r="AY28" s="31"/>
      <c r="AZ28" s="42" t="s">
        <v>77</v>
      </c>
      <c r="BA28" s="42">
        <v>5.3</v>
      </c>
      <c r="BB28" s="42">
        <v>5.7</v>
      </c>
      <c r="BC28" s="42">
        <v>6.7</v>
      </c>
      <c r="BD28" s="42"/>
      <c r="BE28" s="31" t="s">
        <v>48</v>
      </c>
      <c r="BF28" s="31">
        <v>58</v>
      </c>
      <c r="BG28" s="31">
        <v>21</v>
      </c>
      <c r="BH28" s="31">
        <v>21</v>
      </c>
      <c r="BI28" s="31"/>
      <c r="BJ28" s="43" t="s">
        <v>185</v>
      </c>
      <c r="BK28" s="43">
        <v>8.1999999999999993</v>
      </c>
      <c r="BL28" s="43">
        <v>5.5</v>
      </c>
      <c r="BM28" s="43"/>
      <c r="BN28" s="43"/>
      <c r="BO28" s="44" t="s">
        <v>46</v>
      </c>
      <c r="BP28" s="44">
        <v>21</v>
      </c>
      <c r="BQ28" s="44">
        <v>65</v>
      </c>
      <c r="BR28" s="44">
        <v>58</v>
      </c>
      <c r="BS28" s="44"/>
      <c r="BT28" s="31" t="s">
        <v>162</v>
      </c>
      <c r="BU28" s="31">
        <v>3.8</v>
      </c>
      <c r="BV28" s="31">
        <v>10</v>
      </c>
      <c r="BW28" s="31">
        <v>6.7</v>
      </c>
      <c r="BX28" s="31"/>
      <c r="BY28" s="45"/>
      <c r="BZ28" s="45">
        <v>21</v>
      </c>
      <c r="CA28" s="45">
        <v>0</v>
      </c>
      <c r="CB28" s="45" t="s">
        <v>151</v>
      </c>
      <c r="CC28" s="45"/>
      <c r="CD28" s="31" t="s">
        <v>77</v>
      </c>
      <c r="CE28" s="31">
        <v>5.3</v>
      </c>
      <c r="CF28" s="31">
        <v>5.7</v>
      </c>
      <c r="CG28" s="31">
        <v>6.7</v>
      </c>
      <c r="CH28" s="31"/>
      <c r="CI28" s="30" t="s">
        <v>48</v>
      </c>
      <c r="CJ28" s="30">
        <v>58</v>
      </c>
      <c r="CK28" s="30">
        <v>21</v>
      </c>
      <c r="CL28" s="30">
        <v>21</v>
      </c>
      <c r="CM28" s="30"/>
      <c r="CN28" s="31" t="s">
        <v>246</v>
      </c>
      <c r="CO28" s="31" t="s">
        <v>151</v>
      </c>
      <c r="CP28" s="31">
        <v>3.3</v>
      </c>
      <c r="CQ28" s="31">
        <v>3.4</v>
      </c>
      <c r="CR28" s="31"/>
      <c r="CS28" s="46" t="s">
        <v>48</v>
      </c>
      <c r="CT28" s="46" t="s">
        <v>151</v>
      </c>
      <c r="CU28" s="46">
        <v>36</v>
      </c>
      <c r="CV28" s="46">
        <v>29</v>
      </c>
      <c r="CW28" s="46"/>
      <c r="CX28" s="47" t="s">
        <v>162</v>
      </c>
      <c r="CY28" s="47">
        <v>3.8</v>
      </c>
      <c r="CZ28" s="47">
        <v>6.7</v>
      </c>
      <c r="DA28" s="47">
        <v>6.7</v>
      </c>
      <c r="DB28" s="47"/>
      <c r="DC28" s="31" t="s">
        <v>57</v>
      </c>
      <c r="DD28" s="31">
        <v>21</v>
      </c>
      <c r="DE28" s="31">
        <v>0</v>
      </c>
      <c r="DF28" s="31" t="s">
        <v>151</v>
      </c>
      <c r="DG28" s="31"/>
      <c r="DH28" s="9" t="s">
        <v>230</v>
      </c>
      <c r="DI28" s="9">
        <v>6.5</v>
      </c>
      <c r="DJ28" s="9">
        <v>2.2999999999999998</v>
      </c>
      <c r="DK28" s="9">
        <v>2.2999999999999998</v>
      </c>
      <c r="DL28" s="9"/>
      <c r="DM28" s="30" t="s">
        <v>103</v>
      </c>
      <c r="DN28" s="30">
        <v>3.3</v>
      </c>
      <c r="DO28" s="30">
        <v>2</v>
      </c>
      <c r="DP28" s="30">
        <v>2</v>
      </c>
      <c r="DQ28" s="30"/>
      <c r="DR28" s="31"/>
      <c r="DS28" s="31" t="s">
        <v>151</v>
      </c>
      <c r="DT28" s="31" t="s">
        <v>151</v>
      </c>
      <c r="DU28" s="31" t="s">
        <v>151</v>
      </c>
      <c r="DV28" s="31"/>
      <c r="DW28" s="9" t="s">
        <v>57</v>
      </c>
      <c r="DX28" s="9" t="s">
        <v>151</v>
      </c>
      <c r="DY28" s="9">
        <v>0</v>
      </c>
      <c r="DZ28" s="9" t="s">
        <v>151</v>
      </c>
      <c r="EA28" s="9"/>
      <c r="EB28" s="31"/>
      <c r="EC28" s="31">
        <v>3.3</v>
      </c>
      <c r="ED28" s="31">
        <v>6.6</v>
      </c>
      <c r="EE28" s="31">
        <v>6.6</v>
      </c>
      <c r="EF28" s="31"/>
      <c r="EG28" s="9"/>
      <c r="EH28" s="9" t="s">
        <v>151</v>
      </c>
      <c r="EI28" s="9" t="s">
        <v>151</v>
      </c>
      <c r="EJ28" s="9" t="s">
        <v>151</v>
      </c>
      <c r="EK28" s="9"/>
      <c r="EL28" s="31"/>
      <c r="EM28" s="31">
        <v>5.4</v>
      </c>
      <c r="EN28" s="31">
        <v>0</v>
      </c>
      <c r="EO28" s="31" t="s">
        <v>151</v>
      </c>
      <c r="EP28" s="31"/>
      <c r="EQ28" s="9" t="s">
        <v>57</v>
      </c>
      <c r="ER28" s="9">
        <v>26</v>
      </c>
      <c r="ES28" s="9">
        <v>0</v>
      </c>
      <c r="ET28" s="9" t="s">
        <v>151</v>
      </c>
      <c r="EU28" s="9"/>
      <c r="EV28" s="31"/>
      <c r="EW28" s="31">
        <v>5</v>
      </c>
      <c r="EX28" s="31">
        <v>10</v>
      </c>
      <c r="EY28" s="31" t="s">
        <v>151</v>
      </c>
      <c r="EZ28" s="31"/>
      <c r="FA28" s="9"/>
      <c r="FB28" s="9">
        <v>3.4</v>
      </c>
      <c r="FC28" s="9">
        <v>2.2000000000000002</v>
      </c>
      <c r="FD28" s="9" t="s">
        <v>151</v>
      </c>
      <c r="FE28" s="9"/>
      <c r="FF28" s="48" t="s">
        <v>77</v>
      </c>
      <c r="FG28" s="48">
        <v>5.2</v>
      </c>
      <c r="FH28" s="48">
        <v>5.7</v>
      </c>
      <c r="FI28" s="48">
        <v>6.7</v>
      </c>
      <c r="FJ28" s="48"/>
      <c r="FK28" s="31" t="s">
        <v>48</v>
      </c>
      <c r="FL28" s="31">
        <v>32</v>
      </c>
      <c r="FM28" s="31">
        <v>21</v>
      </c>
      <c r="FN28" s="31">
        <v>21</v>
      </c>
      <c r="FO28" s="31"/>
      <c r="FP28" s="49" t="s">
        <v>54</v>
      </c>
      <c r="FQ28" s="49">
        <v>4.8</v>
      </c>
      <c r="FR28" s="49">
        <v>3.8</v>
      </c>
      <c r="FS28" s="49">
        <v>3.8</v>
      </c>
      <c r="FT28" s="49"/>
      <c r="FU28" s="7" t="s">
        <v>246</v>
      </c>
      <c r="FV28" s="7">
        <v>3</v>
      </c>
      <c r="FW28" s="7">
        <v>4.4000000000000004</v>
      </c>
      <c r="FX28" s="7">
        <v>3.5</v>
      </c>
      <c r="FY28" s="7"/>
    </row>
    <row r="29" spans="1:181" x14ac:dyDescent="0.3">
      <c r="A29" t="s">
        <v>262</v>
      </c>
      <c r="D29" t="s">
        <v>263</v>
      </c>
      <c r="E29" t="s">
        <v>189</v>
      </c>
      <c r="F29" t="s">
        <v>64</v>
      </c>
      <c r="G29" s="6">
        <v>1681</v>
      </c>
      <c r="H29" s="6">
        <v>1666</v>
      </c>
      <c r="I29" s="6">
        <v>1629</v>
      </c>
      <c r="J29" s="6">
        <v>1562</v>
      </c>
      <c r="L29" s="18">
        <f>18721+4269+5793639</f>
        <v>5816629</v>
      </c>
      <c r="M29" s="18">
        <f>17304+4486+6006437</f>
        <v>6028227</v>
      </c>
      <c r="N29" s="18" t="s">
        <v>151</v>
      </c>
      <c r="O29" s="18" t="s">
        <v>151</v>
      </c>
      <c r="Q29" s="7" t="s">
        <v>151</v>
      </c>
      <c r="R29" s="7" t="s">
        <v>151</v>
      </c>
      <c r="S29" s="7" t="s">
        <v>151</v>
      </c>
      <c r="T29" s="7" t="s">
        <v>151</v>
      </c>
      <c r="V29" s="8">
        <f>4585585*1000</f>
        <v>4585585000</v>
      </c>
      <c r="W29" s="8">
        <f>4373144*1000</f>
        <v>4373144000</v>
      </c>
      <c r="X29" s="8">
        <f>4145972*1000</f>
        <v>4145972000</v>
      </c>
      <c r="Y29" s="8">
        <f>4311896*1000</f>
        <v>4311896000</v>
      </c>
      <c r="AA29" s="19">
        <f>(3220221+454236)*1000</f>
        <v>3674457000</v>
      </c>
      <c r="AB29" s="19">
        <f>(2887432+639730)*1000</f>
        <v>3527162000</v>
      </c>
      <c r="AC29" s="19">
        <f>(2648782+632623)*1000</f>
        <v>3281405000</v>
      </c>
      <c r="AD29" s="19">
        <f>(2426553+836747)*1000</f>
        <v>3263300000</v>
      </c>
      <c r="AF29" s="9" t="s">
        <v>169</v>
      </c>
      <c r="AG29" s="9" t="s">
        <v>169</v>
      </c>
      <c r="AH29" s="9" t="s">
        <v>169</v>
      </c>
      <c r="AI29" s="9" t="s">
        <v>169</v>
      </c>
      <c r="AK29" s="40" t="s">
        <v>43</v>
      </c>
      <c r="AL29" s="40" t="s">
        <v>43</v>
      </c>
      <c r="AM29" s="40" t="s">
        <v>44</v>
      </c>
      <c r="AN29" s="40" t="s">
        <v>171</v>
      </c>
      <c r="AP29" s="41" t="s">
        <v>172</v>
      </c>
      <c r="AQ29" s="41">
        <v>6.9</v>
      </c>
      <c r="AR29" s="41">
        <v>6.3</v>
      </c>
      <c r="AS29" s="41">
        <v>7.4</v>
      </c>
      <c r="AU29" s="20" t="s">
        <v>67</v>
      </c>
      <c r="AV29" s="20">
        <v>22</v>
      </c>
      <c r="AW29" s="20">
        <v>21</v>
      </c>
      <c r="AX29" s="20">
        <v>19</v>
      </c>
      <c r="AZ29" s="42" t="s">
        <v>181</v>
      </c>
      <c r="BA29" s="42">
        <v>7.5</v>
      </c>
      <c r="BB29" s="42">
        <v>7.7</v>
      </c>
      <c r="BC29" s="42">
        <v>5.6</v>
      </c>
      <c r="BE29" s="20" t="s">
        <v>69</v>
      </c>
      <c r="BF29" s="20">
        <v>28</v>
      </c>
      <c r="BG29" s="20">
        <v>21</v>
      </c>
      <c r="BH29" s="20">
        <v>37</v>
      </c>
      <c r="BJ29" s="43" t="s">
        <v>66</v>
      </c>
      <c r="BK29" s="43">
        <v>5.6</v>
      </c>
      <c r="BL29" s="43">
        <v>4.5999999999999996</v>
      </c>
      <c r="BM29" s="43">
        <v>4.7</v>
      </c>
      <c r="BO29" s="44" t="s">
        <v>46</v>
      </c>
      <c r="BP29" s="44">
        <v>50</v>
      </c>
      <c r="BQ29" s="44">
        <v>58</v>
      </c>
      <c r="BR29" s="44">
        <v>44</v>
      </c>
      <c r="BT29" s="20" t="s">
        <v>182</v>
      </c>
      <c r="BU29" s="20">
        <v>10</v>
      </c>
      <c r="BV29" s="20">
        <v>10</v>
      </c>
      <c r="BW29" s="20">
        <v>9.6</v>
      </c>
      <c r="BY29" s="45" t="s">
        <v>57</v>
      </c>
      <c r="BZ29" s="45">
        <v>0</v>
      </c>
      <c r="CA29" s="45">
        <v>0</v>
      </c>
      <c r="CB29" s="45">
        <v>0</v>
      </c>
      <c r="CD29" s="20" t="s">
        <v>181</v>
      </c>
      <c r="CE29" s="20">
        <v>7.5</v>
      </c>
      <c r="CF29" s="20">
        <v>7.7</v>
      </c>
      <c r="CG29" s="20">
        <v>6.6</v>
      </c>
      <c r="CI29" s="30" t="s">
        <v>69</v>
      </c>
      <c r="CJ29" s="30">
        <v>28</v>
      </c>
      <c r="CK29" s="30">
        <v>21</v>
      </c>
      <c r="CL29" s="30">
        <v>19</v>
      </c>
      <c r="CN29" s="20" t="s">
        <v>99</v>
      </c>
      <c r="CO29" s="20">
        <v>4.7</v>
      </c>
      <c r="CP29" s="20">
        <v>4.8</v>
      </c>
      <c r="CQ29" s="20">
        <v>7.3</v>
      </c>
      <c r="CS29" s="46" t="s">
        <v>69</v>
      </c>
      <c r="CT29" s="46">
        <v>28</v>
      </c>
      <c r="CU29" s="46">
        <v>29</v>
      </c>
      <c r="CV29" s="46" t="s">
        <v>151</v>
      </c>
      <c r="CX29" s="47" t="s">
        <v>182</v>
      </c>
      <c r="CY29" s="47">
        <v>10</v>
      </c>
      <c r="CZ29" s="47">
        <v>9.4</v>
      </c>
      <c r="DA29" s="47">
        <v>9.4</v>
      </c>
      <c r="DC29" s="20" t="s">
        <v>57</v>
      </c>
      <c r="DD29" s="20">
        <v>0</v>
      </c>
      <c r="DE29" s="20">
        <v>0</v>
      </c>
      <c r="DF29" s="20">
        <v>0</v>
      </c>
      <c r="DH29" s="9" t="s">
        <v>101</v>
      </c>
      <c r="DI29" s="9">
        <v>2.1</v>
      </c>
      <c r="DJ29" s="9">
        <v>2.2999999999999998</v>
      </c>
      <c r="DK29" s="9">
        <v>2.2999999999999998</v>
      </c>
      <c r="DM29" s="30" t="s">
        <v>110</v>
      </c>
      <c r="DN29" s="30">
        <v>6.3</v>
      </c>
      <c r="DO29" s="30">
        <v>4.7</v>
      </c>
      <c r="DP29" s="30">
        <v>4.7</v>
      </c>
      <c r="DR29" s="20" t="s">
        <v>152</v>
      </c>
      <c r="DS29" s="20">
        <v>6</v>
      </c>
      <c r="DT29" s="20" t="s">
        <v>151</v>
      </c>
      <c r="DU29" s="20" t="s">
        <v>151</v>
      </c>
      <c r="DW29" s="9" t="s">
        <v>57</v>
      </c>
      <c r="DX29" s="9">
        <v>0</v>
      </c>
      <c r="DY29" s="9">
        <v>0</v>
      </c>
      <c r="DZ29" s="9">
        <v>0</v>
      </c>
      <c r="EB29" s="20" t="s">
        <v>183</v>
      </c>
      <c r="EC29" s="20">
        <v>6.4</v>
      </c>
      <c r="ED29" s="20">
        <v>6.4</v>
      </c>
      <c r="EE29" s="20">
        <v>6.4</v>
      </c>
      <c r="EG29" s="9" t="s">
        <v>45</v>
      </c>
      <c r="EH29" s="9">
        <v>5</v>
      </c>
      <c r="EI29" s="9" t="s">
        <v>151</v>
      </c>
      <c r="EJ29" s="9" t="s">
        <v>151</v>
      </c>
      <c r="EL29" s="20" t="s">
        <v>159</v>
      </c>
      <c r="EM29" s="20">
        <v>2.9</v>
      </c>
      <c r="EN29" s="20" t="s">
        <v>151</v>
      </c>
      <c r="EO29" s="20" t="s">
        <v>151</v>
      </c>
      <c r="EQ29" s="9" t="s">
        <v>57</v>
      </c>
      <c r="ER29" s="9">
        <v>0</v>
      </c>
      <c r="ES29" s="9">
        <v>0</v>
      </c>
      <c r="ET29" s="9">
        <v>0</v>
      </c>
      <c r="EV29" s="20" t="s">
        <v>184</v>
      </c>
      <c r="EW29" s="20">
        <v>8.9700000000000006</v>
      </c>
      <c r="EX29" s="20" t="s">
        <v>151</v>
      </c>
      <c r="EY29" s="20" t="s">
        <v>151</v>
      </c>
      <c r="FA29" s="9" t="s">
        <v>54</v>
      </c>
      <c r="FB29" s="9">
        <v>4.9000000000000004</v>
      </c>
      <c r="FC29" s="9" t="s">
        <v>151</v>
      </c>
      <c r="FD29" s="9" t="s">
        <v>151</v>
      </c>
      <c r="FF29" s="48" t="s">
        <v>181</v>
      </c>
      <c r="FG29" s="48">
        <v>7.5</v>
      </c>
      <c r="FH29" s="48">
        <v>7.7</v>
      </c>
      <c r="FI29" s="48">
        <v>6.6</v>
      </c>
      <c r="FK29" s="20" t="s">
        <v>69</v>
      </c>
      <c r="FL29" s="20">
        <v>28</v>
      </c>
      <c r="FM29" s="20">
        <v>21</v>
      </c>
      <c r="FN29" s="20">
        <v>19</v>
      </c>
      <c r="FP29" s="49" t="s">
        <v>140</v>
      </c>
      <c r="FQ29" s="49">
        <v>4.2</v>
      </c>
      <c r="FR29" s="49">
        <v>4</v>
      </c>
      <c r="FS29" s="49">
        <v>4.0999999999999996</v>
      </c>
      <c r="FU29" s="7" t="s">
        <v>185</v>
      </c>
      <c r="FV29" s="7">
        <v>4.7</v>
      </c>
      <c r="FW29" s="7">
        <v>5.0999999999999996</v>
      </c>
      <c r="FX29" s="7">
        <v>3.7</v>
      </c>
    </row>
    <row r="30" spans="1:181" x14ac:dyDescent="0.3">
      <c r="A30" t="s">
        <v>264</v>
      </c>
      <c r="B30" t="s">
        <v>265</v>
      </c>
      <c r="D30" t="s">
        <v>266</v>
      </c>
      <c r="E30" t="s">
        <v>240</v>
      </c>
      <c r="F30" t="s">
        <v>64</v>
      </c>
      <c r="G30" s="6">
        <v>2180</v>
      </c>
      <c r="H30" s="6">
        <v>2324</v>
      </c>
      <c r="I30" s="6">
        <v>2519</v>
      </c>
      <c r="J30" s="6">
        <v>2711</v>
      </c>
      <c r="K30" s="6">
        <v>2474</v>
      </c>
      <c r="L30" s="18">
        <v>102798</v>
      </c>
      <c r="M30" s="18">
        <v>154726</v>
      </c>
      <c r="N30" s="18">
        <v>155692</v>
      </c>
      <c r="O30" s="18">
        <v>126506</v>
      </c>
      <c r="P30" s="18">
        <v>686767</v>
      </c>
      <c r="Q30" s="7" t="s">
        <v>151</v>
      </c>
      <c r="R30" s="7" t="s">
        <v>151</v>
      </c>
      <c r="S30" s="7" t="s">
        <v>151</v>
      </c>
      <c r="T30" s="7" t="s">
        <v>151</v>
      </c>
      <c r="U30" s="7" t="s">
        <v>151</v>
      </c>
      <c r="V30" s="8">
        <f>6654992*1000</f>
        <v>6654992000</v>
      </c>
      <c r="W30" s="8">
        <f>7353957*1000</f>
        <v>7353957000</v>
      </c>
      <c r="X30" s="8">
        <f>7796551*1000</f>
        <v>7796551000</v>
      </c>
      <c r="Y30" s="8">
        <f>9280122*1000</f>
        <v>9280122000</v>
      </c>
      <c r="Z30" s="8">
        <f>9890870*1000</f>
        <v>9890870000</v>
      </c>
      <c r="AA30" s="19">
        <f>2676808*1000</f>
        <v>2676808000</v>
      </c>
      <c r="AB30" s="19">
        <f>3236600*1000</f>
        <v>3236600000</v>
      </c>
      <c r="AC30" s="19">
        <f>3424515*1000</f>
        <v>3424515000</v>
      </c>
      <c r="AD30" s="19">
        <f>5503420*1000</f>
        <v>5503420000</v>
      </c>
      <c r="AE30" s="19">
        <f>6360034*1000</f>
        <v>6360034000</v>
      </c>
      <c r="AF30" s="9" t="s">
        <v>170</v>
      </c>
      <c r="AG30" s="9" t="s">
        <v>170</v>
      </c>
      <c r="AH30" s="9" t="s">
        <v>169</v>
      </c>
      <c r="AI30" s="9" t="s">
        <v>169</v>
      </c>
      <c r="AJ30" s="9" t="s">
        <v>169</v>
      </c>
      <c r="AK30" s="40" t="s">
        <v>43</v>
      </c>
      <c r="AL30" s="40" t="s">
        <v>43</v>
      </c>
      <c r="AM30" s="40" t="s">
        <v>43</v>
      </c>
      <c r="AP30" s="41" t="s">
        <v>207</v>
      </c>
      <c r="AQ30" s="41">
        <v>5.8</v>
      </c>
      <c r="AR30" s="41">
        <v>5.4</v>
      </c>
      <c r="AU30" s="20" t="s">
        <v>67</v>
      </c>
      <c r="AV30" s="20">
        <v>22</v>
      </c>
      <c r="AW30" s="20">
        <v>21</v>
      </c>
      <c r="AZ30" s="42" t="s">
        <v>267</v>
      </c>
      <c r="BA30" s="42">
        <v>8.1999999999999993</v>
      </c>
      <c r="BB30" s="42">
        <v>8</v>
      </c>
      <c r="BE30" s="20" t="s">
        <v>69</v>
      </c>
      <c r="BF30" s="20">
        <v>28</v>
      </c>
      <c r="BG30" s="20">
        <v>21</v>
      </c>
      <c r="BJ30" s="43" t="s">
        <v>47</v>
      </c>
      <c r="BK30" s="43">
        <v>6.3</v>
      </c>
      <c r="BL30" s="43">
        <v>6.6</v>
      </c>
      <c r="BO30" s="44" t="s">
        <v>46</v>
      </c>
      <c r="BP30" s="44">
        <v>50</v>
      </c>
      <c r="BQ30" s="44">
        <v>58</v>
      </c>
      <c r="BU30" s="20" t="s">
        <v>151</v>
      </c>
      <c r="BV30" s="20">
        <v>8.6</v>
      </c>
      <c r="BY30" s="45" t="s">
        <v>57</v>
      </c>
      <c r="BZ30" s="45">
        <v>0</v>
      </c>
      <c r="CA30" s="45">
        <v>0</v>
      </c>
      <c r="CD30" s="20" t="s">
        <v>267</v>
      </c>
      <c r="CE30" s="20">
        <v>8.1999999999999993</v>
      </c>
      <c r="CF30" s="20">
        <v>8</v>
      </c>
      <c r="CI30" s="30" t="s">
        <v>69</v>
      </c>
      <c r="CJ30" s="30">
        <v>28</v>
      </c>
      <c r="CK30" s="30">
        <v>21</v>
      </c>
      <c r="CN30" s="20" t="s">
        <v>51</v>
      </c>
      <c r="CO30" s="20">
        <v>4.8</v>
      </c>
      <c r="CP30" s="20">
        <v>4.7</v>
      </c>
      <c r="CS30" s="46" t="s">
        <v>69</v>
      </c>
      <c r="CT30" s="46">
        <v>28</v>
      </c>
      <c r="CU30" s="46">
        <v>29</v>
      </c>
      <c r="CY30" s="47" t="s">
        <v>151</v>
      </c>
      <c r="CZ30" s="47">
        <v>8.6</v>
      </c>
      <c r="DC30" s="20" t="s">
        <v>57</v>
      </c>
      <c r="DD30" s="20">
        <v>0</v>
      </c>
      <c r="DE30" s="20">
        <v>0</v>
      </c>
      <c r="DI30" s="9">
        <v>4.7</v>
      </c>
      <c r="DJ30" s="9">
        <v>4.7</v>
      </c>
      <c r="DN30" s="30" t="s">
        <v>151</v>
      </c>
      <c r="DO30" s="30">
        <v>6.3</v>
      </c>
      <c r="DS30" s="20" t="s">
        <v>151</v>
      </c>
      <c r="DT30" s="20" t="s">
        <v>151</v>
      </c>
      <c r="DW30" s="9" t="s">
        <v>57</v>
      </c>
      <c r="DX30" s="9">
        <v>0</v>
      </c>
      <c r="DY30" s="9">
        <v>0</v>
      </c>
      <c r="EC30" s="20">
        <v>3.1</v>
      </c>
      <c r="ED30" s="20">
        <v>3.1</v>
      </c>
      <c r="EH30" s="9" t="s">
        <v>151</v>
      </c>
      <c r="EI30" s="9" t="s">
        <v>151</v>
      </c>
      <c r="EM30" s="20" t="s">
        <v>151</v>
      </c>
      <c r="EN30" s="20" t="s">
        <v>151</v>
      </c>
      <c r="EQ30" s="9" t="s">
        <v>57</v>
      </c>
      <c r="ER30" s="9">
        <v>0</v>
      </c>
      <c r="ES30" s="9">
        <v>0</v>
      </c>
      <c r="EW30" s="20" t="s">
        <v>151</v>
      </c>
      <c r="EX30" s="20" t="s">
        <v>151</v>
      </c>
      <c r="FB30" s="9" t="s">
        <v>151</v>
      </c>
      <c r="FC30" s="9" t="s">
        <v>151</v>
      </c>
      <c r="FF30" s="48" t="s">
        <v>267</v>
      </c>
      <c r="FG30" s="48">
        <v>8.1999999999999993</v>
      </c>
      <c r="FH30" s="48">
        <v>8</v>
      </c>
      <c r="FK30" s="20" t="s">
        <v>69</v>
      </c>
      <c r="FL30" s="20">
        <v>28</v>
      </c>
      <c r="FM30" s="20">
        <v>21</v>
      </c>
      <c r="FP30" s="49" t="s">
        <v>258</v>
      </c>
      <c r="FQ30" s="49">
        <v>3.6</v>
      </c>
      <c r="FR30" s="49">
        <v>3.6</v>
      </c>
      <c r="FU30" s="7" t="s">
        <v>208</v>
      </c>
      <c r="FV30" s="7">
        <v>4.8</v>
      </c>
      <c r="FW30" s="7">
        <v>4.5999999999999996</v>
      </c>
    </row>
    <row r="31" spans="1:181" x14ac:dyDescent="0.3">
      <c r="A31" t="s">
        <v>268</v>
      </c>
      <c r="D31" t="s">
        <v>322</v>
      </c>
      <c r="E31" t="s">
        <v>63</v>
      </c>
      <c r="F31" t="s">
        <v>64</v>
      </c>
      <c r="G31" s="6">
        <v>5270</v>
      </c>
      <c r="H31" s="6">
        <v>5215</v>
      </c>
      <c r="I31" s="6">
        <v>6733</v>
      </c>
      <c r="J31" s="6">
        <v>6621</v>
      </c>
      <c r="K31" s="6">
        <v>8778</v>
      </c>
      <c r="L31" s="18">
        <v>95108</v>
      </c>
      <c r="M31" s="18">
        <v>91299</v>
      </c>
      <c r="N31" s="18">
        <v>89243</v>
      </c>
      <c r="O31" s="18">
        <v>83915</v>
      </c>
      <c r="P31" s="18">
        <f>44726+63557+1617</f>
        <v>109900</v>
      </c>
      <c r="R31" s="7" t="s">
        <v>151</v>
      </c>
      <c r="S31" s="7" t="s">
        <v>151</v>
      </c>
      <c r="T31" s="7" t="s">
        <v>151</v>
      </c>
      <c r="U31" s="7">
        <f>15857/1000</f>
        <v>15.856999999999999</v>
      </c>
      <c r="V31" s="8">
        <f>23100950</f>
        <v>23100950</v>
      </c>
      <c r="W31" s="8">
        <v>21694285</v>
      </c>
      <c r="X31" s="8">
        <v>21212708</v>
      </c>
      <c r="Y31" s="8">
        <v>21279415</v>
      </c>
      <c r="Z31" s="8">
        <v>19528537</v>
      </c>
      <c r="AA31" s="19">
        <f>20363158</f>
        <v>20363158</v>
      </c>
      <c r="AB31" s="19">
        <v>18850688</v>
      </c>
      <c r="AC31" s="19">
        <v>18992284</v>
      </c>
      <c r="AD31" s="19">
        <v>19436964</v>
      </c>
      <c r="AE31" s="19">
        <v>16880200</v>
      </c>
      <c r="AF31" s="9" t="s">
        <v>169</v>
      </c>
      <c r="AG31" s="9" t="s">
        <v>169</v>
      </c>
      <c r="AH31" s="9" t="s">
        <v>169</v>
      </c>
      <c r="AI31" s="9" t="s">
        <v>169</v>
      </c>
      <c r="AJ31" s="9" t="s">
        <v>170</v>
      </c>
      <c r="AK31" s="40" t="s">
        <v>44</v>
      </c>
      <c r="AM31" s="40" t="s">
        <v>84</v>
      </c>
      <c r="AN31" s="40" t="s">
        <v>84</v>
      </c>
      <c r="AP31" s="41" t="s">
        <v>125</v>
      </c>
      <c r="AR31" s="41">
        <v>6</v>
      </c>
      <c r="AS31" s="41">
        <v>7.8</v>
      </c>
      <c r="AU31" s="20" t="s">
        <v>67</v>
      </c>
      <c r="AW31" s="20">
        <v>21</v>
      </c>
      <c r="AX31" s="20">
        <v>19</v>
      </c>
      <c r="AZ31" s="42" t="s">
        <v>47</v>
      </c>
      <c r="BB31" s="42">
        <v>2.2999999999999998</v>
      </c>
      <c r="BC31" s="42">
        <v>5.2</v>
      </c>
      <c r="BE31" s="20" t="s">
        <v>69</v>
      </c>
      <c r="BG31" s="20">
        <v>21</v>
      </c>
      <c r="BH31" s="20">
        <v>37</v>
      </c>
      <c r="BJ31" s="43" t="s">
        <v>58</v>
      </c>
      <c r="BL31" s="43">
        <v>4.5</v>
      </c>
      <c r="BM31" s="43">
        <v>3.9</v>
      </c>
      <c r="BO31" s="44" t="s">
        <v>46</v>
      </c>
      <c r="BQ31" s="44">
        <v>58</v>
      </c>
      <c r="BR31" s="44">
        <v>44</v>
      </c>
      <c r="BT31" s="20" t="s">
        <v>123</v>
      </c>
      <c r="BV31" s="20">
        <v>10</v>
      </c>
      <c r="BW31" s="20">
        <v>10</v>
      </c>
      <c r="BY31" s="45" t="s">
        <v>57</v>
      </c>
      <c r="CA31" s="45">
        <v>0</v>
      </c>
      <c r="CB31" s="45">
        <v>0</v>
      </c>
      <c r="CD31" s="20" t="s">
        <v>47</v>
      </c>
      <c r="CF31" s="20">
        <v>2.2999999999999998</v>
      </c>
      <c r="CG31" s="20">
        <v>2.2000000000000002</v>
      </c>
      <c r="CI31" s="30" t="s">
        <v>69</v>
      </c>
      <c r="CK31" s="30">
        <v>21</v>
      </c>
      <c r="CL31" s="30">
        <v>19</v>
      </c>
      <c r="CN31" s="20" t="s">
        <v>152</v>
      </c>
      <c r="CP31" s="20">
        <v>5.0999999999999996</v>
      </c>
      <c r="CQ31" s="20">
        <v>5.3</v>
      </c>
      <c r="CS31" s="46" t="s">
        <v>69</v>
      </c>
      <c r="CU31" s="46">
        <v>29</v>
      </c>
      <c r="CV31" s="46">
        <v>0</v>
      </c>
      <c r="CX31" s="47" t="s">
        <v>123</v>
      </c>
      <c r="CZ31" s="47">
        <v>10</v>
      </c>
      <c r="DA31" s="47">
        <v>10</v>
      </c>
      <c r="DC31" s="20" t="s">
        <v>57</v>
      </c>
      <c r="DE31" s="20">
        <v>0</v>
      </c>
      <c r="DF31" s="20">
        <v>0</v>
      </c>
      <c r="DH31" s="9" t="s">
        <v>70</v>
      </c>
      <c r="DJ31" s="9">
        <v>2.7</v>
      </c>
      <c r="DK31" s="9">
        <v>2.9</v>
      </c>
      <c r="DM31" s="30" t="s">
        <v>85</v>
      </c>
      <c r="DO31" s="30">
        <v>7</v>
      </c>
      <c r="DP31" s="30">
        <v>7</v>
      </c>
      <c r="DR31" s="20" t="s">
        <v>58</v>
      </c>
      <c r="DT31" s="20" t="s">
        <v>151</v>
      </c>
      <c r="DU31" s="20" t="s">
        <v>151</v>
      </c>
      <c r="DW31" s="9" t="s">
        <v>57</v>
      </c>
      <c r="DY31" s="9">
        <v>0</v>
      </c>
      <c r="DZ31" s="9">
        <v>0</v>
      </c>
      <c r="EB31" s="20" t="s">
        <v>153</v>
      </c>
      <c r="ED31" s="20">
        <v>5.5</v>
      </c>
      <c r="EE31" s="20">
        <v>4.4000000000000004</v>
      </c>
      <c r="EG31" s="9" t="s">
        <v>109</v>
      </c>
      <c r="EI31" s="9" t="s">
        <v>151</v>
      </c>
      <c r="EJ31" s="9" t="s">
        <v>151</v>
      </c>
      <c r="EL31" s="20" t="s">
        <v>109</v>
      </c>
      <c r="EN31" s="20">
        <v>3.3</v>
      </c>
      <c r="EO31" s="20">
        <v>2.8</v>
      </c>
      <c r="EQ31" s="9" t="s">
        <v>57</v>
      </c>
      <c r="ES31" s="9">
        <v>0</v>
      </c>
      <c r="ET31" s="9">
        <v>0</v>
      </c>
      <c r="EV31" s="20" t="s">
        <v>154</v>
      </c>
      <c r="EX31" s="20">
        <v>9.6</v>
      </c>
      <c r="EY31" s="20">
        <v>9.8000000000000007</v>
      </c>
      <c r="FA31" s="9" t="s">
        <v>91</v>
      </c>
      <c r="FC31" s="9">
        <v>5.9</v>
      </c>
      <c r="FD31" s="9">
        <v>5.6</v>
      </c>
      <c r="FF31" s="48" t="s">
        <v>47</v>
      </c>
      <c r="FH31" s="48">
        <v>2.2999999999999998</v>
      </c>
      <c r="FI31" s="48">
        <v>2.2000000000000002</v>
      </c>
      <c r="FK31" s="20" t="s">
        <v>69</v>
      </c>
      <c r="FM31" s="20">
        <v>21</v>
      </c>
      <c r="FN31" s="20">
        <v>19</v>
      </c>
      <c r="FP31" s="49" t="s">
        <v>88</v>
      </c>
      <c r="FR31" s="49">
        <v>4.7</v>
      </c>
      <c r="FS31" s="49">
        <v>4.8</v>
      </c>
      <c r="FU31" s="7" t="s">
        <v>75</v>
      </c>
      <c r="FW31" s="7">
        <v>0</v>
      </c>
      <c r="FX31" s="7">
        <v>0</v>
      </c>
    </row>
    <row r="32" spans="1:181" s="14" customFormat="1" x14ac:dyDescent="0.3">
      <c r="A32" s="21" t="s">
        <v>269</v>
      </c>
      <c r="B32" s="14" t="s">
        <v>270</v>
      </c>
      <c r="D32" s="14" t="s">
        <v>271</v>
      </c>
      <c r="E32" s="14" t="s">
        <v>189</v>
      </c>
      <c r="F32" s="14" t="s">
        <v>142</v>
      </c>
      <c r="K32" s="14" t="s">
        <v>151</v>
      </c>
      <c r="L32" s="18"/>
      <c r="M32" s="18"/>
      <c r="N32" s="18"/>
      <c r="O32" s="18"/>
      <c r="P32" s="18"/>
      <c r="Q32" s="15"/>
      <c r="R32" s="15"/>
      <c r="S32" s="15"/>
      <c r="T32" s="15"/>
      <c r="U32" s="15"/>
      <c r="AA32" s="19"/>
      <c r="AB32" s="19"/>
      <c r="AC32" s="19"/>
      <c r="AD32" s="19"/>
      <c r="AE32" s="19"/>
      <c r="AF32" s="15"/>
      <c r="AG32" s="15"/>
      <c r="AH32" s="15"/>
      <c r="AI32" s="15"/>
      <c r="AJ32" s="15"/>
      <c r="AK32" s="40" t="s">
        <v>171</v>
      </c>
      <c r="AL32" s="40" t="s">
        <v>171</v>
      </c>
      <c r="AM32" s="40" t="s">
        <v>43</v>
      </c>
      <c r="AN32" s="40"/>
      <c r="AO32" s="40"/>
      <c r="AP32" s="41" t="s">
        <v>138</v>
      </c>
      <c r="AQ32" s="41">
        <v>7.7</v>
      </c>
      <c r="AR32" s="41">
        <v>7.9</v>
      </c>
      <c r="AS32" s="41"/>
      <c r="AT32" s="41"/>
      <c r="AU32" s="15" t="s">
        <v>143</v>
      </c>
      <c r="AV32" s="15">
        <v>29</v>
      </c>
      <c r="AW32" s="15">
        <v>31</v>
      </c>
      <c r="AX32" s="15"/>
      <c r="AY32" s="15"/>
      <c r="AZ32" s="42" t="s">
        <v>124</v>
      </c>
      <c r="BA32" s="42">
        <v>0.7</v>
      </c>
      <c r="BB32" s="42">
        <v>2.2000000000000002</v>
      </c>
      <c r="BC32" s="42"/>
      <c r="BD32" s="42"/>
      <c r="BE32" s="15" t="s">
        <v>144</v>
      </c>
      <c r="BF32" s="15">
        <v>42</v>
      </c>
      <c r="BG32" s="15">
        <v>36</v>
      </c>
      <c r="BH32" s="15"/>
      <c r="BI32" s="15"/>
      <c r="BJ32" s="43" t="s">
        <v>172</v>
      </c>
      <c r="BK32" s="43">
        <v>7.5</v>
      </c>
      <c r="BL32" s="43">
        <v>7</v>
      </c>
      <c r="BM32" s="43"/>
      <c r="BN32" s="43"/>
      <c r="BO32" s="44" t="s">
        <v>143</v>
      </c>
      <c r="BP32" s="44">
        <v>29</v>
      </c>
      <c r="BQ32" s="44">
        <v>33</v>
      </c>
      <c r="BR32" s="44"/>
      <c r="BS32" s="44"/>
      <c r="BT32" s="15" t="s">
        <v>138</v>
      </c>
      <c r="BU32" s="15">
        <v>7.7</v>
      </c>
      <c r="BV32" s="15">
        <v>7.9</v>
      </c>
      <c r="BW32" s="15"/>
      <c r="BX32" s="15"/>
      <c r="BY32" s="45" t="s">
        <v>143</v>
      </c>
      <c r="BZ32" s="45">
        <v>29</v>
      </c>
      <c r="CA32" s="45">
        <v>31</v>
      </c>
      <c r="CB32" s="45"/>
      <c r="CC32" s="45"/>
      <c r="CD32" s="15" t="s">
        <v>124</v>
      </c>
      <c r="CE32" s="15">
        <v>0.7</v>
      </c>
      <c r="CF32" s="15">
        <v>2.2000000000000002</v>
      </c>
      <c r="CG32" s="15"/>
      <c r="CH32" s="15"/>
      <c r="CI32" s="30" t="s">
        <v>144</v>
      </c>
      <c r="CJ32" s="30">
        <v>42</v>
      </c>
      <c r="CK32" s="30">
        <v>36</v>
      </c>
      <c r="CL32" s="30"/>
      <c r="CM32" s="30"/>
      <c r="CN32" s="15"/>
      <c r="CO32" s="15" t="s">
        <v>151</v>
      </c>
      <c r="CP32" s="15" t="s">
        <v>151</v>
      </c>
      <c r="CQ32" s="15"/>
      <c r="CR32" s="15"/>
      <c r="CS32" s="46"/>
      <c r="CT32" s="46" t="s">
        <v>151</v>
      </c>
      <c r="CU32" s="46" t="s">
        <v>151</v>
      </c>
      <c r="CV32" s="46"/>
      <c r="CW32" s="46"/>
      <c r="CX32" s="47" t="s">
        <v>138</v>
      </c>
      <c r="CY32" s="47">
        <v>7.7</v>
      </c>
      <c r="CZ32" s="47">
        <v>7.9</v>
      </c>
      <c r="DA32" s="47"/>
      <c r="DB32" s="47"/>
      <c r="DC32" s="15" t="s">
        <v>143</v>
      </c>
      <c r="DD32" s="15">
        <v>29</v>
      </c>
      <c r="DE32" s="15">
        <v>31</v>
      </c>
      <c r="DF32" s="15"/>
      <c r="DG32" s="15"/>
      <c r="DH32" s="9" t="s">
        <v>76</v>
      </c>
      <c r="DI32" s="9">
        <v>3.3</v>
      </c>
      <c r="DJ32" s="9">
        <v>3.3</v>
      </c>
      <c r="DK32" s="9"/>
      <c r="DL32" s="9"/>
      <c r="DM32" s="30" t="s">
        <v>76</v>
      </c>
      <c r="DN32" s="30">
        <v>4</v>
      </c>
      <c r="DO32" s="30">
        <v>4.2</v>
      </c>
      <c r="DP32" s="30"/>
      <c r="DQ32" s="30"/>
      <c r="DR32" s="15"/>
      <c r="DS32" s="15" t="s">
        <v>151</v>
      </c>
      <c r="DT32" s="15" t="s">
        <v>151</v>
      </c>
      <c r="DU32" s="15"/>
      <c r="DV32" s="15"/>
      <c r="DW32" s="9" t="s">
        <v>57</v>
      </c>
      <c r="DX32" s="9" t="s">
        <v>151</v>
      </c>
      <c r="DY32" s="9">
        <v>0</v>
      </c>
      <c r="DZ32" s="9"/>
      <c r="EA32" s="9"/>
      <c r="EB32" s="15"/>
      <c r="EC32" s="15">
        <v>2.8</v>
      </c>
      <c r="ED32" s="15">
        <v>2.8</v>
      </c>
      <c r="EE32" s="15"/>
      <c r="EF32" s="15"/>
      <c r="EG32" s="9"/>
      <c r="EH32" s="9" t="s">
        <v>151</v>
      </c>
      <c r="EI32" s="9" t="s">
        <v>151</v>
      </c>
      <c r="EJ32" s="9"/>
      <c r="EK32" s="9"/>
      <c r="EL32" s="15" t="s">
        <v>57</v>
      </c>
      <c r="EM32" s="15" t="s">
        <v>151</v>
      </c>
      <c r="EN32" s="15">
        <v>1.3</v>
      </c>
      <c r="EO32" s="15"/>
      <c r="EP32" s="15"/>
      <c r="EQ32" s="9" t="s">
        <v>145</v>
      </c>
      <c r="ER32" s="9">
        <v>37</v>
      </c>
      <c r="ES32" s="9">
        <v>31</v>
      </c>
      <c r="ET32" s="9"/>
      <c r="EU32" s="9"/>
      <c r="EV32" s="15" t="s">
        <v>267</v>
      </c>
      <c r="EW32" s="15">
        <v>7.5</v>
      </c>
      <c r="EX32" s="15">
        <v>8.1999999999999993</v>
      </c>
      <c r="EY32" s="15"/>
      <c r="EZ32" s="15"/>
      <c r="FA32" s="9" t="s">
        <v>57</v>
      </c>
      <c r="FB32" s="9" t="s">
        <v>151</v>
      </c>
      <c r="FC32" s="9">
        <v>2.5</v>
      </c>
      <c r="FD32" s="9"/>
      <c r="FE32" s="9"/>
      <c r="FF32" s="48" t="s">
        <v>231</v>
      </c>
      <c r="FG32" s="48">
        <v>6.2</v>
      </c>
      <c r="FH32" s="48">
        <v>7.7</v>
      </c>
      <c r="FI32" s="48"/>
      <c r="FJ32" s="48"/>
      <c r="FK32" s="15" t="s">
        <v>45</v>
      </c>
      <c r="FL32" s="15">
        <v>5</v>
      </c>
      <c r="FM32" s="15">
        <v>5</v>
      </c>
      <c r="FN32" s="15"/>
      <c r="FO32" s="15"/>
      <c r="FP32" s="49" t="s">
        <v>247</v>
      </c>
      <c r="FQ32" s="49">
        <v>1.2</v>
      </c>
      <c r="FR32" s="49">
        <v>1.2</v>
      </c>
      <c r="FS32" s="49"/>
      <c r="FT32" s="49"/>
      <c r="FU32" s="7" t="s">
        <v>94</v>
      </c>
      <c r="FV32" s="7">
        <v>1.2</v>
      </c>
      <c r="FW32" s="7">
        <v>2.7</v>
      </c>
      <c r="FX32" s="7"/>
      <c r="FY32" s="7"/>
    </row>
    <row r="33" spans="1:181" s="14" customFormat="1" x14ac:dyDescent="0.3">
      <c r="A33" s="14" t="s">
        <v>272</v>
      </c>
      <c r="D33" s="14" t="s">
        <v>273</v>
      </c>
      <c r="E33" s="14" t="s">
        <v>189</v>
      </c>
      <c r="F33" s="14" t="s">
        <v>64</v>
      </c>
      <c r="L33" s="18"/>
      <c r="M33" s="18"/>
      <c r="N33" s="18"/>
      <c r="O33" s="18"/>
      <c r="P33" s="18"/>
      <c r="Q33" s="15"/>
      <c r="R33" s="15"/>
      <c r="S33" s="15"/>
      <c r="T33" s="15"/>
      <c r="U33" s="15"/>
      <c r="AA33" s="19"/>
      <c r="AB33" s="19"/>
      <c r="AC33" s="19"/>
      <c r="AD33" s="19"/>
      <c r="AE33" s="19"/>
      <c r="AF33" s="15"/>
      <c r="AG33" s="15"/>
      <c r="AH33" s="15"/>
      <c r="AI33" s="15"/>
      <c r="AJ33" s="15"/>
      <c r="AK33" s="40" t="s">
        <v>43</v>
      </c>
      <c r="AL33" s="40" t="s">
        <v>43</v>
      </c>
      <c r="AM33" s="40" t="s">
        <v>44</v>
      </c>
      <c r="AN33" s="40" t="s">
        <v>44</v>
      </c>
      <c r="AO33" s="40"/>
      <c r="AP33" s="41" t="s">
        <v>172</v>
      </c>
      <c r="AQ33" s="41">
        <v>6.7</v>
      </c>
      <c r="AR33" s="41">
        <v>6.3</v>
      </c>
      <c r="AS33" s="41">
        <v>7.9</v>
      </c>
      <c r="AT33" s="41"/>
      <c r="AU33" s="15" t="s">
        <v>67</v>
      </c>
      <c r="AV33" s="15">
        <v>22</v>
      </c>
      <c r="AW33" s="15">
        <v>21</v>
      </c>
      <c r="AX33" s="15">
        <v>19</v>
      </c>
      <c r="AY33" s="15"/>
      <c r="AZ33" s="42" t="s">
        <v>181</v>
      </c>
      <c r="BA33" s="42">
        <v>7.4</v>
      </c>
      <c r="BB33" s="42">
        <v>7.7</v>
      </c>
      <c r="BC33" s="42">
        <v>8.3000000000000007</v>
      </c>
      <c r="BD33" s="42"/>
      <c r="BE33" s="15" t="s">
        <v>69</v>
      </c>
      <c r="BF33" s="15">
        <v>28</v>
      </c>
      <c r="BG33" s="15">
        <v>21</v>
      </c>
      <c r="BH33" s="15">
        <v>37</v>
      </c>
      <c r="BI33" s="15"/>
      <c r="BJ33" s="43" t="s">
        <v>66</v>
      </c>
      <c r="BK33" s="43">
        <v>4.8</v>
      </c>
      <c r="BL33" s="43">
        <v>4.5999999999999996</v>
      </c>
      <c r="BM33" s="43">
        <v>4.8</v>
      </c>
      <c r="BN33" s="43"/>
      <c r="BO33" s="44" t="s">
        <v>46</v>
      </c>
      <c r="BP33" s="44">
        <v>50</v>
      </c>
      <c r="BQ33" s="44">
        <v>58</v>
      </c>
      <c r="BR33" s="44">
        <v>44</v>
      </c>
      <c r="BS33" s="44"/>
      <c r="BT33" s="15" t="s">
        <v>182</v>
      </c>
      <c r="BU33" s="15">
        <v>10</v>
      </c>
      <c r="BV33" s="15">
        <v>10</v>
      </c>
      <c r="BW33" s="15">
        <v>10</v>
      </c>
      <c r="BX33" s="15"/>
      <c r="BY33" s="45" t="s">
        <v>57</v>
      </c>
      <c r="BZ33" s="45">
        <v>0</v>
      </c>
      <c r="CA33" s="45">
        <v>0</v>
      </c>
      <c r="CB33" s="45">
        <v>0</v>
      </c>
      <c r="CC33" s="45"/>
      <c r="CD33" s="15" t="s">
        <v>181</v>
      </c>
      <c r="CE33" s="15">
        <v>7.4</v>
      </c>
      <c r="CF33" s="15">
        <v>7.7</v>
      </c>
      <c r="CG33" s="15">
        <v>7.6</v>
      </c>
      <c r="CH33" s="15"/>
      <c r="CI33" s="30" t="s">
        <v>69</v>
      </c>
      <c r="CJ33" s="30">
        <v>28</v>
      </c>
      <c r="CK33" s="30">
        <v>21</v>
      </c>
      <c r="CL33" s="30">
        <v>19</v>
      </c>
      <c r="CM33" s="30"/>
      <c r="CN33" s="15" t="s">
        <v>99</v>
      </c>
      <c r="CO33" s="15">
        <v>4.7</v>
      </c>
      <c r="CP33" s="15">
        <v>4.8</v>
      </c>
      <c r="CQ33" s="15">
        <v>5.2</v>
      </c>
      <c r="CR33" s="15"/>
      <c r="CS33" s="46" t="s">
        <v>69</v>
      </c>
      <c r="CT33" s="46">
        <v>28</v>
      </c>
      <c r="CU33" s="46">
        <v>29</v>
      </c>
      <c r="CV33" s="46" t="s">
        <v>151</v>
      </c>
      <c r="CW33" s="46"/>
      <c r="CX33" s="47" t="s">
        <v>182</v>
      </c>
      <c r="CY33" s="47">
        <v>7</v>
      </c>
      <c r="CZ33" s="47">
        <v>10</v>
      </c>
      <c r="DA33" s="47">
        <v>10</v>
      </c>
      <c r="DB33" s="47"/>
      <c r="DC33" s="15" t="s">
        <v>57</v>
      </c>
      <c r="DD33" s="15">
        <v>0</v>
      </c>
      <c r="DE33" s="15">
        <v>0</v>
      </c>
      <c r="DF33" s="15">
        <v>0</v>
      </c>
      <c r="DG33" s="15"/>
      <c r="DH33" s="9" t="s">
        <v>101</v>
      </c>
      <c r="DI33" s="9" t="s">
        <v>151</v>
      </c>
      <c r="DJ33" s="9">
        <v>2</v>
      </c>
      <c r="DK33" s="9">
        <v>2</v>
      </c>
      <c r="DL33" s="9"/>
      <c r="DM33" s="30" t="s">
        <v>110</v>
      </c>
      <c r="DN33" s="30">
        <v>0</v>
      </c>
      <c r="DO33" s="30">
        <v>7</v>
      </c>
      <c r="DP33" s="30">
        <v>7</v>
      </c>
      <c r="DQ33" s="30"/>
      <c r="DR33" s="15" t="s">
        <v>152</v>
      </c>
      <c r="DS33" s="15" t="s">
        <v>151</v>
      </c>
      <c r="DT33" s="15" t="s">
        <v>151</v>
      </c>
      <c r="DU33" s="15" t="s">
        <v>151</v>
      </c>
      <c r="DV33" s="15"/>
      <c r="DW33" s="9" t="s">
        <v>57</v>
      </c>
      <c r="DX33" s="9">
        <v>0</v>
      </c>
      <c r="DY33" s="9">
        <v>0</v>
      </c>
      <c r="DZ33" s="9">
        <v>0</v>
      </c>
      <c r="EA33" s="9"/>
      <c r="EB33" s="15" t="s">
        <v>183</v>
      </c>
      <c r="EC33" s="15" t="s">
        <v>151</v>
      </c>
      <c r="ED33" s="15">
        <v>6.3</v>
      </c>
      <c r="EE33" s="15">
        <v>6.6</v>
      </c>
      <c r="EF33" s="15"/>
      <c r="EG33" s="9" t="s">
        <v>45</v>
      </c>
      <c r="EH33" s="9" t="s">
        <v>317</v>
      </c>
      <c r="EI33" s="9" t="s">
        <v>151</v>
      </c>
      <c r="EJ33" s="9" t="s">
        <v>151</v>
      </c>
      <c r="EK33" s="9"/>
      <c r="EL33" s="15" t="s">
        <v>159</v>
      </c>
      <c r="EM33" s="15">
        <v>0</v>
      </c>
      <c r="EN33" s="15" t="s">
        <v>151</v>
      </c>
      <c r="EO33" s="15" t="s">
        <v>151</v>
      </c>
      <c r="EP33" s="15"/>
      <c r="EQ33" s="9" t="s">
        <v>57</v>
      </c>
      <c r="ER33" s="9">
        <v>0</v>
      </c>
      <c r="ES33" s="9">
        <v>0</v>
      </c>
      <c r="ET33" s="9">
        <v>0</v>
      </c>
      <c r="EU33" s="9"/>
      <c r="EV33" s="15" t="s">
        <v>184</v>
      </c>
      <c r="EW33" s="15">
        <v>8.5</v>
      </c>
      <c r="EX33" s="15" t="s">
        <v>151</v>
      </c>
      <c r="EY33" s="15" t="s">
        <v>151</v>
      </c>
      <c r="EZ33" s="15"/>
      <c r="FA33" s="9" t="s">
        <v>54</v>
      </c>
      <c r="FB33" s="9">
        <v>0.7</v>
      </c>
      <c r="FC33" s="9" t="s">
        <v>151</v>
      </c>
      <c r="FD33" s="9" t="s">
        <v>151</v>
      </c>
      <c r="FE33" s="9"/>
      <c r="FF33" s="48" t="s">
        <v>181</v>
      </c>
      <c r="FG33" s="48">
        <v>7.4</v>
      </c>
      <c r="FH33" s="48">
        <v>7.7</v>
      </c>
      <c r="FI33" s="48">
        <v>7.6</v>
      </c>
      <c r="FJ33" s="48"/>
      <c r="FK33" s="15" t="s">
        <v>69</v>
      </c>
      <c r="FL33" s="15">
        <v>28</v>
      </c>
      <c r="FM33" s="15">
        <v>21</v>
      </c>
      <c r="FN33" s="15">
        <v>19</v>
      </c>
      <c r="FO33" s="15"/>
      <c r="FP33" s="49" t="s">
        <v>140</v>
      </c>
      <c r="FQ33" s="49" t="s">
        <v>151</v>
      </c>
      <c r="FR33" s="49">
        <v>4.4000000000000004</v>
      </c>
      <c r="FS33" s="49">
        <v>4.5</v>
      </c>
      <c r="FT33" s="49"/>
      <c r="FU33" s="7" t="s">
        <v>185</v>
      </c>
      <c r="FV33" s="7">
        <v>4.7</v>
      </c>
      <c r="FW33" s="7">
        <v>5.0999999999999996</v>
      </c>
      <c r="FX33" s="7">
        <v>5.0999999999999996</v>
      </c>
      <c r="FY33" s="7"/>
    </row>
    <row r="34" spans="1:181" x14ac:dyDescent="0.3">
      <c r="A34" t="s">
        <v>274</v>
      </c>
      <c r="D34" s="50" t="s">
        <v>321</v>
      </c>
      <c r="E34" t="s">
        <v>63</v>
      </c>
      <c r="F34" t="s">
        <v>64</v>
      </c>
      <c r="G34" s="6">
        <v>15062</v>
      </c>
      <c r="H34" s="6">
        <v>15564</v>
      </c>
      <c r="I34" s="6">
        <v>15324</v>
      </c>
      <c r="J34" s="6">
        <v>3859</v>
      </c>
      <c r="K34" s="6">
        <v>3345</v>
      </c>
      <c r="L34" s="18">
        <f>2794+55701</f>
        <v>58495</v>
      </c>
      <c r="M34" s="18">
        <f>2656+56072</f>
        <v>58728</v>
      </c>
      <c r="N34" s="18">
        <f>2836+54761</f>
        <v>57597</v>
      </c>
      <c r="O34" s="18">
        <f>1572+41918</f>
        <v>43490</v>
      </c>
      <c r="P34" s="18">
        <v>427175</v>
      </c>
      <c r="Q34" s="7">
        <v>1720</v>
      </c>
      <c r="R34" s="7">
        <v>1754</v>
      </c>
      <c r="S34" s="7">
        <v>1882</v>
      </c>
      <c r="T34" s="7" t="s">
        <v>151</v>
      </c>
      <c r="U34" s="7" t="s">
        <v>151</v>
      </c>
      <c r="V34" s="8">
        <f>3212968*1000</f>
        <v>3212968000</v>
      </c>
      <c r="W34" s="8">
        <f>3207637*1000</f>
        <v>3207637000</v>
      </c>
      <c r="X34" s="8">
        <f>3484463*1000</f>
        <v>3484463000</v>
      </c>
      <c r="Y34" s="8">
        <f>4063039*1000</f>
        <v>4063039000</v>
      </c>
      <c r="Z34" s="8">
        <f>3861805*1000</f>
        <v>3861805000</v>
      </c>
      <c r="AA34" s="19">
        <f>(1640432+464312)*1000</f>
        <v>2104744000</v>
      </c>
      <c r="AB34" s="19">
        <f>(1640480+460281)*1000</f>
        <v>2100761000</v>
      </c>
      <c r="AC34" s="19">
        <f>(1639541+660455)*1000</f>
        <v>2299996000</v>
      </c>
      <c r="AD34" s="19">
        <f>(2225478+845688)*1000</f>
        <v>3071166000</v>
      </c>
      <c r="AE34" s="19">
        <f>(2458528+433511)*1000</f>
        <v>2892039000</v>
      </c>
      <c r="AF34" s="9" t="s">
        <v>170</v>
      </c>
      <c r="AG34" s="9" t="s">
        <v>170</v>
      </c>
      <c r="AH34" s="9" t="s">
        <v>170</v>
      </c>
      <c r="AI34" s="9" t="s">
        <v>170</v>
      </c>
      <c r="AJ34" s="9" t="s">
        <v>170</v>
      </c>
      <c r="AK34" s="40" t="s">
        <v>44</v>
      </c>
      <c r="AM34" s="40" t="s">
        <v>84</v>
      </c>
      <c r="AN34" s="40" t="s">
        <v>171</v>
      </c>
      <c r="AP34" s="41" t="s">
        <v>125</v>
      </c>
      <c r="AR34" s="41">
        <v>5.9</v>
      </c>
      <c r="AS34" s="41">
        <v>9.9</v>
      </c>
      <c r="AU34" s="20" t="s">
        <v>67</v>
      </c>
      <c r="AW34" s="20">
        <v>24</v>
      </c>
      <c r="AX34" s="20">
        <v>19</v>
      </c>
      <c r="AZ34" s="42" t="s">
        <v>47</v>
      </c>
      <c r="BB34" s="42">
        <v>2.2999999999999998</v>
      </c>
      <c r="BC34" s="42">
        <v>5.9</v>
      </c>
      <c r="BE34" s="20" t="s">
        <v>69</v>
      </c>
      <c r="BG34" s="20">
        <v>24</v>
      </c>
      <c r="BH34" s="20">
        <v>37</v>
      </c>
      <c r="BJ34" s="43" t="s">
        <v>58</v>
      </c>
      <c r="BL34" s="43">
        <v>4.4000000000000004</v>
      </c>
      <c r="BM34" s="43">
        <v>3.4</v>
      </c>
      <c r="BO34" s="44" t="s">
        <v>46</v>
      </c>
      <c r="BQ34" s="44">
        <v>52</v>
      </c>
      <c r="BR34" s="44">
        <v>44</v>
      </c>
      <c r="BT34" s="20" t="s">
        <v>123</v>
      </c>
      <c r="BV34" s="20">
        <v>10</v>
      </c>
      <c r="BW34" s="20">
        <v>5.2</v>
      </c>
      <c r="BY34" s="45" t="s">
        <v>57</v>
      </c>
      <c r="CA34" s="45">
        <v>0</v>
      </c>
      <c r="CB34" s="45">
        <v>0</v>
      </c>
      <c r="CD34" s="20" t="s">
        <v>47</v>
      </c>
      <c r="CF34" s="20">
        <v>2.2999999999999998</v>
      </c>
      <c r="CG34" s="20">
        <v>4.9000000000000004</v>
      </c>
      <c r="CI34" s="30" t="s">
        <v>69</v>
      </c>
      <c r="CK34" s="30">
        <v>24</v>
      </c>
      <c r="CL34" s="30">
        <v>19</v>
      </c>
      <c r="CN34" s="20" t="s">
        <v>152</v>
      </c>
      <c r="CP34" s="20">
        <v>4.5</v>
      </c>
      <c r="CQ34" s="20">
        <v>3.8</v>
      </c>
      <c r="CS34" s="46" t="s">
        <v>69</v>
      </c>
      <c r="CU34" s="46">
        <v>28</v>
      </c>
      <c r="CV34" s="46" t="s">
        <v>151</v>
      </c>
      <c r="CX34" s="47" t="s">
        <v>123</v>
      </c>
      <c r="CZ34" s="47">
        <v>5.2</v>
      </c>
      <c r="DA34" s="47">
        <v>5.9</v>
      </c>
      <c r="DC34" s="20" t="s">
        <v>57</v>
      </c>
      <c r="DE34" s="20">
        <v>0</v>
      </c>
      <c r="DF34" s="20">
        <v>0</v>
      </c>
      <c r="DH34" s="9" t="s">
        <v>70</v>
      </c>
      <c r="DJ34" s="9">
        <v>5.0999999999999996</v>
      </c>
      <c r="DK34" s="9">
        <v>5.0999999999999996</v>
      </c>
      <c r="DM34" s="30" t="s">
        <v>85</v>
      </c>
      <c r="DO34" s="30">
        <v>3.3</v>
      </c>
      <c r="DP34" s="30">
        <v>4</v>
      </c>
      <c r="DR34" s="20" t="s">
        <v>58</v>
      </c>
      <c r="DT34" s="20" t="s">
        <v>151</v>
      </c>
      <c r="DU34" s="20" t="s">
        <v>151</v>
      </c>
      <c r="DW34" s="9" t="s">
        <v>57</v>
      </c>
      <c r="DY34" s="9">
        <v>0</v>
      </c>
      <c r="DZ34" s="9">
        <v>0</v>
      </c>
      <c r="EB34" s="20" t="s">
        <v>153</v>
      </c>
      <c r="ED34" s="20">
        <v>3.5</v>
      </c>
      <c r="EE34" s="20">
        <v>3.5</v>
      </c>
      <c r="EG34" s="9" t="s">
        <v>109</v>
      </c>
      <c r="EI34" s="9" t="s">
        <v>151</v>
      </c>
      <c r="EJ34" s="9" t="s">
        <v>151</v>
      </c>
      <c r="EL34" s="20" t="s">
        <v>109</v>
      </c>
      <c r="EN34" s="20">
        <v>3</v>
      </c>
      <c r="EO34" s="20" t="s">
        <v>151</v>
      </c>
      <c r="EQ34" s="9" t="s">
        <v>57</v>
      </c>
      <c r="ES34" s="9">
        <v>0</v>
      </c>
      <c r="ET34" s="9">
        <v>0</v>
      </c>
      <c r="EV34" s="20" t="s">
        <v>154</v>
      </c>
      <c r="EX34" s="20">
        <v>8.9</v>
      </c>
      <c r="EY34" s="20" t="s">
        <v>151</v>
      </c>
      <c r="FA34" s="9" t="s">
        <v>91</v>
      </c>
      <c r="FC34" s="9">
        <v>4.9000000000000004</v>
      </c>
      <c r="FD34" s="9" t="s">
        <v>151</v>
      </c>
      <c r="FF34" s="48" t="s">
        <v>47</v>
      </c>
      <c r="FH34" s="48">
        <v>2.2999999999999998</v>
      </c>
      <c r="FI34" s="48">
        <v>4.9000000000000004</v>
      </c>
      <c r="FK34" s="20" t="s">
        <v>69</v>
      </c>
      <c r="FM34" s="20">
        <v>24</v>
      </c>
      <c r="FN34" s="20">
        <v>19</v>
      </c>
      <c r="FP34" s="49" t="s">
        <v>88</v>
      </c>
      <c r="FR34" s="49">
        <v>4.4000000000000004</v>
      </c>
      <c r="FS34" s="49">
        <v>4.4000000000000004</v>
      </c>
      <c r="FU34" s="7" t="s">
        <v>75</v>
      </c>
      <c r="FW34" s="7">
        <v>0</v>
      </c>
      <c r="FX34" s="7">
        <v>2.2999999999999998</v>
      </c>
    </row>
    <row r="35" spans="1:181" s="28" customFormat="1" x14ac:dyDescent="0.3">
      <c r="A35" s="12" t="s">
        <v>275</v>
      </c>
      <c r="B35" s="28" t="s">
        <v>276</v>
      </c>
      <c r="D35" s="28" t="s">
        <v>277</v>
      </c>
      <c r="E35" s="28" t="s">
        <v>118</v>
      </c>
      <c r="F35" s="28" t="s">
        <v>142</v>
      </c>
      <c r="L35" s="18"/>
      <c r="M35" s="18"/>
      <c r="N35" s="18"/>
      <c r="O35" s="18"/>
      <c r="P35" s="18"/>
      <c r="Q35" s="29"/>
      <c r="R35" s="29"/>
      <c r="S35" s="29"/>
      <c r="T35" s="29"/>
      <c r="U35" s="29"/>
      <c r="AA35" s="19"/>
      <c r="AB35" s="19"/>
      <c r="AC35" s="19"/>
      <c r="AD35" s="19"/>
      <c r="AE35" s="19"/>
      <c r="AF35" s="29"/>
      <c r="AG35" s="29"/>
      <c r="AH35" s="29"/>
      <c r="AI35" s="29"/>
      <c r="AJ35" s="29"/>
      <c r="AK35" s="40" t="s">
        <v>43</v>
      </c>
      <c r="AL35" s="40"/>
      <c r="AM35" s="40"/>
      <c r="AN35" s="40"/>
      <c r="AO35" s="40"/>
      <c r="AP35" s="41" t="s">
        <v>128</v>
      </c>
      <c r="AQ35" s="41"/>
      <c r="AR35" s="41"/>
      <c r="AS35" s="41"/>
      <c r="AT35" s="41"/>
      <c r="AU35" s="29" t="s">
        <v>67</v>
      </c>
      <c r="AV35" s="29"/>
      <c r="AW35" s="29"/>
      <c r="AX35" s="29"/>
      <c r="AY35" s="29"/>
      <c r="AZ35" s="42" t="s">
        <v>51</v>
      </c>
      <c r="BA35" s="42"/>
      <c r="BB35" s="42"/>
      <c r="BC35" s="42"/>
      <c r="BD35" s="42"/>
      <c r="BE35" s="29" t="s">
        <v>160</v>
      </c>
      <c r="BF35" s="29"/>
      <c r="BG35" s="29"/>
      <c r="BH35" s="29"/>
      <c r="BI35" s="29"/>
      <c r="BJ35" s="43" t="s">
        <v>241</v>
      </c>
      <c r="BK35" s="43"/>
      <c r="BL35" s="43"/>
      <c r="BM35" s="43"/>
      <c r="BN35" s="43"/>
      <c r="BO35" s="44" t="s">
        <v>67</v>
      </c>
      <c r="BP35" s="44"/>
      <c r="BQ35" s="44"/>
      <c r="BR35" s="44"/>
      <c r="BS35" s="44"/>
      <c r="BT35" s="29" t="s">
        <v>128</v>
      </c>
      <c r="BU35" s="29"/>
      <c r="BV35" s="29"/>
      <c r="BW35" s="29"/>
      <c r="BX35" s="29"/>
      <c r="BY35" s="45" t="s">
        <v>67</v>
      </c>
      <c r="BZ35" s="45"/>
      <c r="CA35" s="45"/>
      <c r="CB35" s="45"/>
      <c r="CC35" s="45"/>
      <c r="CD35" s="29" t="s">
        <v>51</v>
      </c>
      <c r="CE35" s="29"/>
      <c r="CF35" s="29"/>
      <c r="CG35" s="29"/>
      <c r="CH35" s="29"/>
      <c r="CI35" s="30" t="s">
        <v>160</v>
      </c>
      <c r="CJ35" s="30"/>
      <c r="CK35" s="30"/>
      <c r="CL35" s="30"/>
      <c r="CM35" s="30"/>
      <c r="CN35" s="29"/>
      <c r="CO35" s="29"/>
      <c r="CP35" s="29"/>
      <c r="CQ35" s="29"/>
      <c r="CR35" s="29"/>
      <c r="CS35" s="46"/>
      <c r="CT35" s="46"/>
      <c r="CU35" s="46"/>
      <c r="CV35" s="46"/>
      <c r="CW35" s="46"/>
      <c r="CX35" s="47" t="s">
        <v>128</v>
      </c>
      <c r="CY35" s="47"/>
      <c r="CZ35" s="47"/>
      <c r="DA35" s="47"/>
      <c r="DB35" s="47"/>
      <c r="DC35" s="29" t="s">
        <v>67</v>
      </c>
      <c r="DD35" s="29"/>
      <c r="DE35" s="29"/>
      <c r="DF35" s="29"/>
      <c r="DG35" s="29"/>
      <c r="DH35" s="9" t="s">
        <v>49</v>
      </c>
      <c r="DI35" s="9"/>
      <c r="DJ35" s="9"/>
      <c r="DK35" s="9"/>
      <c r="DL35" s="9"/>
      <c r="DM35" s="30" t="s">
        <v>76</v>
      </c>
      <c r="DN35" s="30"/>
      <c r="DO35" s="30"/>
      <c r="DP35" s="30"/>
      <c r="DQ35" s="30"/>
      <c r="DR35" s="29"/>
      <c r="DS35" s="29"/>
      <c r="DT35" s="29"/>
      <c r="DU35" s="29"/>
      <c r="DV35" s="29"/>
      <c r="DW35" s="9" t="s">
        <v>57</v>
      </c>
      <c r="DX35" s="9"/>
      <c r="DY35" s="9"/>
      <c r="DZ35" s="9"/>
      <c r="EA35" s="9"/>
      <c r="EB35" s="29"/>
      <c r="EC35" s="29"/>
      <c r="ED35" s="29"/>
      <c r="EE35" s="29"/>
      <c r="EF35" s="29"/>
      <c r="EG35" s="9"/>
      <c r="EH35" s="9"/>
      <c r="EI35" s="9"/>
      <c r="EJ35" s="9"/>
      <c r="EK35" s="9"/>
      <c r="EL35" s="29" t="s">
        <v>51</v>
      </c>
      <c r="EM35" s="29"/>
      <c r="EN35" s="29"/>
      <c r="EO35" s="29"/>
      <c r="EP35" s="29"/>
      <c r="EQ35" s="9" t="s">
        <v>69</v>
      </c>
      <c r="ER35" s="9"/>
      <c r="ES35" s="9"/>
      <c r="ET35" s="9"/>
      <c r="EU35" s="9"/>
      <c r="EV35" s="29" t="s">
        <v>88</v>
      </c>
      <c r="EW35" s="29"/>
      <c r="EX35" s="29"/>
      <c r="EY35" s="29"/>
      <c r="EZ35" s="29"/>
      <c r="FA35" s="9" t="s">
        <v>159</v>
      </c>
      <c r="FB35" s="9"/>
      <c r="FC35" s="9"/>
      <c r="FD35" s="9"/>
      <c r="FE35" s="9"/>
      <c r="FF35" s="48" t="s">
        <v>58</v>
      </c>
      <c r="FG35" s="48"/>
      <c r="FH35" s="48"/>
      <c r="FI35" s="48"/>
      <c r="FJ35" s="48"/>
      <c r="FK35" s="29" t="s">
        <v>69</v>
      </c>
      <c r="FL35" s="29"/>
      <c r="FM35" s="29"/>
      <c r="FN35" s="29"/>
      <c r="FO35" s="29"/>
      <c r="FP35" s="49" t="s">
        <v>88</v>
      </c>
      <c r="FQ35" s="49"/>
      <c r="FR35" s="49"/>
      <c r="FS35" s="49"/>
      <c r="FT35" s="49"/>
      <c r="FU35" s="7" t="s">
        <v>78</v>
      </c>
      <c r="FV35" s="7"/>
      <c r="FW35" s="7"/>
      <c r="FX35" s="7"/>
      <c r="FY35" s="7"/>
    </row>
    <row r="36" spans="1:181" s="28" customFormat="1" x14ac:dyDescent="0.3">
      <c r="A36" s="21" t="s">
        <v>278</v>
      </c>
      <c r="D36" s="50" t="s">
        <v>320</v>
      </c>
      <c r="E36" s="28" t="s">
        <v>240</v>
      </c>
      <c r="F36" s="28" t="s">
        <v>64</v>
      </c>
      <c r="L36" s="18"/>
      <c r="M36" s="18"/>
      <c r="N36" s="18"/>
      <c r="O36" s="18"/>
      <c r="P36" s="18"/>
      <c r="Q36" s="29"/>
      <c r="R36" s="29"/>
      <c r="S36" s="29"/>
      <c r="T36" s="29"/>
      <c r="U36" s="29"/>
      <c r="AA36" s="19"/>
      <c r="AB36" s="19"/>
      <c r="AC36" s="19"/>
      <c r="AD36" s="19"/>
      <c r="AE36" s="19"/>
      <c r="AF36" s="29"/>
      <c r="AG36" s="29"/>
      <c r="AH36" s="29"/>
      <c r="AI36" s="29"/>
      <c r="AJ36" s="29"/>
      <c r="AK36" s="40" t="s">
        <v>65</v>
      </c>
      <c r="AL36" s="40"/>
      <c r="AM36" s="40" t="s">
        <v>65</v>
      </c>
      <c r="AN36" s="40" t="s">
        <v>65</v>
      </c>
      <c r="AO36" s="40"/>
      <c r="AP36" s="41" t="s">
        <v>102</v>
      </c>
      <c r="AQ36" s="41"/>
      <c r="AR36" s="41">
        <v>9.3000000000000007</v>
      </c>
      <c r="AS36" s="41">
        <v>8.5</v>
      </c>
      <c r="AT36" s="41"/>
      <c r="AU36" s="29" t="s">
        <v>86</v>
      </c>
      <c r="AV36" s="29"/>
      <c r="AW36" s="29">
        <v>20</v>
      </c>
      <c r="AX36" s="29">
        <v>21</v>
      </c>
      <c r="AY36" s="29"/>
      <c r="AZ36" s="42" t="s">
        <v>236</v>
      </c>
      <c r="BA36" s="42"/>
      <c r="BB36" s="42">
        <v>1.5</v>
      </c>
      <c r="BC36" s="42">
        <v>1.9</v>
      </c>
      <c r="BD36" s="42"/>
      <c r="BE36" s="29" t="s">
        <v>48</v>
      </c>
      <c r="BF36" s="29"/>
      <c r="BG36" s="29">
        <v>26</v>
      </c>
      <c r="BH36" s="29">
        <v>29</v>
      </c>
      <c r="BI36" s="29"/>
      <c r="BJ36" s="43" t="s">
        <v>68</v>
      </c>
      <c r="BK36" s="43"/>
      <c r="BL36" s="43">
        <v>3.2</v>
      </c>
      <c r="BM36" s="43">
        <v>2</v>
      </c>
      <c r="BN36" s="43"/>
      <c r="BO36" s="44" t="s">
        <v>89</v>
      </c>
      <c r="BP36" s="44"/>
      <c r="BQ36" s="44">
        <v>54</v>
      </c>
      <c r="BR36" s="44">
        <v>50</v>
      </c>
      <c r="BS36" s="44"/>
      <c r="BT36" s="29" t="s">
        <v>92</v>
      </c>
      <c r="BU36" s="29"/>
      <c r="BV36" s="29">
        <v>5.0999999999999996</v>
      </c>
      <c r="BW36" s="29">
        <v>5.8</v>
      </c>
      <c r="BX36" s="29"/>
      <c r="BY36" s="45"/>
      <c r="BZ36" s="45"/>
      <c r="CA36" s="45">
        <v>0</v>
      </c>
      <c r="CB36" s="45">
        <v>0</v>
      </c>
      <c r="CC36" s="45"/>
      <c r="CD36" s="29" t="s">
        <v>236</v>
      </c>
      <c r="CE36" s="29"/>
      <c r="CF36" s="29">
        <v>1.5</v>
      </c>
      <c r="CG36" s="29">
        <v>1.9</v>
      </c>
      <c r="CH36" s="29"/>
      <c r="CI36" s="30" t="s">
        <v>48</v>
      </c>
      <c r="CJ36" s="30"/>
      <c r="CK36" s="30">
        <v>26</v>
      </c>
      <c r="CL36" s="30">
        <v>29</v>
      </c>
      <c r="CM36" s="30"/>
      <c r="CN36" s="29" t="s">
        <v>45</v>
      </c>
      <c r="CO36" s="29"/>
      <c r="CP36" s="29">
        <v>2.7</v>
      </c>
      <c r="CQ36" s="29">
        <v>4.9000000000000004</v>
      </c>
      <c r="CR36" s="29"/>
      <c r="CS36" s="46" t="s">
        <v>86</v>
      </c>
      <c r="CT36" s="46"/>
      <c r="CU36" s="46">
        <v>26</v>
      </c>
      <c r="CV36" s="46">
        <v>0</v>
      </c>
      <c r="CW36" s="46"/>
      <c r="CX36" s="47" t="s">
        <v>92</v>
      </c>
      <c r="CY36" s="47"/>
      <c r="CZ36" s="47">
        <v>5.0999999999999996</v>
      </c>
      <c r="DA36" s="47">
        <v>5.8</v>
      </c>
      <c r="DB36" s="47"/>
      <c r="DC36" s="29" t="s">
        <v>57</v>
      </c>
      <c r="DD36" s="29"/>
      <c r="DE36" s="29">
        <v>0</v>
      </c>
      <c r="DF36" s="29">
        <v>0</v>
      </c>
      <c r="DG36" s="29"/>
      <c r="DH36" s="9" t="s">
        <v>56</v>
      </c>
      <c r="DI36" s="9"/>
      <c r="DJ36" s="9">
        <v>5.2</v>
      </c>
      <c r="DK36" s="9">
        <v>5.2</v>
      </c>
      <c r="DL36" s="9"/>
      <c r="DM36" s="30" t="s">
        <v>78</v>
      </c>
      <c r="DN36" s="30"/>
      <c r="DO36" s="30">
        <v>3.3</v>
      </c>
      <c r="DP36" s="30">
        <v>4</v>
      </c>
      <c r="DQ36" s="30"/>
      <c r="DR36" s="29" t="s">
        <v>102</v>
      </c>
      <c r="DS36" s="29"/>
      <c r="DT36" s="29" t="s">
        <v>151</v>
      </c>
      <c r="DU36" s="29" t="s">
        <v>151</v>
      </c>
      <c r="DV36" s="29"/>
      <c r="DW36" s="9" t="s">
        <v>86</v>
      </c>
      <c r="DX36" s="9"/>
      <c r="DY36" s="9">
        <v>0</v>
      </c>
      <c r="DZ36" s="9">
        <v>0</v>
      </c>
      <c r="EA36" s="9"/>
      <c r="EB36" s="29" t="s">
        <v>77</v>
      </c>
      <c r="EC36" s="29"/>
      <c r="ED36" s="29">
        <v>6</v>
      </c>
      <c r="EE36" s="29">
        <v>6</v>
      </c>
      <c r="EF36" s="29"/>
      <c r="EG36" s="9" t="s">
        <v>232</v>
      </c>
      <c r="EH36" s="9"/>
      <c r="EI36" s="9" t="s">
        <v>151</v>
      </c>
      <c r="EJ36" s="9" t="s">
        <v>151</v>
      </c>
      <c r="EK36" s="9"/>
      <c r="EL36" s="29"/>
      <c r="EM36" s="29"/>
      <c r="EN36" s="29">
        <v>5.2</v>
      </c>
      <c r="EO36" s="29">
        <v>7</v>
      </c>
      <c r="EP36" s="29"/>
      <c r="EQ36" s="9" t="s">
        <v>57</v>
      </c>
      <c r="ER36" s="9"/>
      <c r="ES36" s="9">
        <v>0</v>
      </c>
      <c r="ET36" s="9">
        <v>0</v>
      </c>
      <c r="EU36" s="9"/>
      <c r="EV36" s="29"/>
      <c r="EW36" s="29"/>
      <c r="EX36" s="29">
        <v>4.5</v>
      </c>
      <c r="EY36" s="29">
        <v>4.7</v>
      </c>
      <c r="EZ36" s="29"/>
      <c r="FA36" s="9"/>
      <c r="FB36" s="9"/>
      <c r="FC36" s="9">
        <v>2.7</v>
      </c>
      <c r="FD36" s="9">
        <v>4.7</v>
      </c>
      <c r="FE36" s="9"/>
      <c r="FF36" s="48" t="s">
        <v>236</v>
      </c>
      <c r="FG36" s="48"/>
      <c r="FH36" s="48">
        <v>1.5</v>
      </c>
      <c r="FI36" s="48">
        <v>1.9</v>
      </c>
      <c r="FJ36" s="48"/>
      <c r="FK36" s="29" t="s">
        <v>48</v>
      </c>
      <c r="FL36" s="29"/>
      <c r="FM36" s="29">
        <v>26</v>
      </c>
      <c r="FN36" s="29">
        <v>26</v>
      </c>
      <c r="FO36" s="29"/>
      <c r="FP36" s="49" t="s">
        <v>111</v>
      </c>
      <c r="FQ36" s="49"/>
      <c r="FR36" s="49">
        <v>8</v>
      </c>
      <c r="FS36" s="49">
        <v>7.8</v>
      </c>
      <c r="FT36" s="49"/>
      <c r="FU36" s="7" t="s">
        <v>90</v>
      </c>
      <c r="FV36" s="7"/>
      <c r="FW36" s="7">
        <v>2.5</v>
      </c>
      <c r="FX36" s="7">
        <v>2.7</v>
      </c>
      <c r="FY36" s="7"/>
    </row>
    <row r="37" spans="1:181" s="28" customFormat="1" x14ac:dyDescent="0.3">
      <c r="A37" s="28" t="s">
        <v>279</v>
      </c>
      <c r="D37" s="28" t="s">
        <v>280</v>
      </c>
      <c r="E37" s="28" t="s">
        <v>240</v>
      </c>
      <c r="F37" s="28" t="s">
        <v>64</v>
      </c>
      <c r="L37" s="18"/>
      <c r="M37" s="18"/>
      <c r="N37" s="18"/>
      <c r="O37" s="18"/>
      <c r="P37" s="18"/>
      <c r="Q37" s="29"/>
      <c r="R37" s="29"/>
      <c r="S37" s="29"/>
      <c r="T37" s="29"/>
      <c r="U37" s="29"/>
      <c r="AA37" s="19"/>
      <c r="AB37" s="19"/>
      <c r="AC37" s="19"/>
      <c r="AD37" s="19"/>
      <c r="AE37" s="19"/>
      <c r="AF37" s="29"/>
      <c r="AG37" s="29"/>
      <c r="AH37" s="29"/>
      <c r="AI37" s="29"/>
      <c r="AJ37" s="29"/>
      <c r="AK37" s="40" t="s">
        <v>65</v>
      </c>
      <c r="AL37" s="40" t="s">
        <v>65</v>
      </c>
      <c r="AM37" s="40" t="s">
        <v>65</v>
      </c>
      <c r="AN37" s="40" t="s">
        <v>65</v>
      </c>
      <c r="AO37" s="40"/>
      <c r="AP37" s="41" t="s">
        <v>102</v>
      </c>
      <c r="AQ37" s="41">
        <v>9</v>
      </c>
      <c r="AR37" s="41">
        <v>9</v>
      </c>
      <c r="AS37" s="41">
        <v>8.5</v>
      </c>
      <c r="AT37" s="41"/>
      <c r="AU37" s="29" t="s">
        <v>86</v>
      </c>
      <c r="AV37" s="29">
        <v>22</v>
      </c>
      <c r="AW37" s="29">
        <v>22</v>
      </c>
      <c r="AX37" s="29">
        <v>21</v>
      </c>
      <c r="AY37" s="29"/>
      <c r="AZ37" s="42" t="s">
        <v>236</v>
      </c>
      <c r="BA37" s="42">
        <v>1.4</v>
      </c>
      <c r="BB37" s="42">
        <v>1.5</v>
      </c>
      <c r="BC37" s="42">
        <v>1.9</v>
      </c>
      <c r="BD37" s="42"/>
      <c r="BE37" s="29" t="s">
        <v>48</v>
      </c>
      <c r="BF37" s="29">
        <v>28</v>
      </c>
      <c r="BG37" s="29">
        <v>28</v>
      </c>
      <c r="BH37" s="29">
        <v>29</v>
      </c>
      <c r="BI37" s="29"/>
      <c r="BJ37" s="43" t="s">
        <v>68</v>
      </c>
      <c r="BK37" s="43">
        <v>3.1</v>
      </c>
      <c r="BL37" s="43">
        <v>2.7</v>
      </c>
      <c r="BM37" s="43">
        <v>2</v>
      </c>
      <c r="BN37" s="43"/>
      <c r="BO37" s="44" t="s">
        <v>89</v>
      </c>
      <c r="BP37" s="44">
        <v>50</v>
      </c>
      <c r="BQ37" s="44">
        <v>50</v>
      </c>
      <c r="BR37" s="44">
        <v>50</v>
      </c>
      <c r="BS37" s="44"/>
      <c r="BT37" s="29" t="s">
        <v>92</v>
      </c>
      <c r="BU37" s="29">
        <v>4.8</v>
      </c>
      <c r="BV37" s="29">
        <v>4.8</v>
      </c>
      <c r="BW37" s="29">
        <v>5.8</v>
      </c>
      <c r="BX37" s="29"/>
      <c r="BY37" s="45"/>
      <c r="BZ37" s="45">
        <v>0</v>
      </c>
      <c r="CA37" s="45">
        <v>0</v>
      </c>
      <c r="CB37" s="45">
        <v>0</v>
      </c>
      <c r="CC37" s="45"/>
      <c r="CD37" s="29" t="s">
        <v>236</v>
      </c>
      <c r="CE37" s="29">
        <v>1.4</v>
      </c>
      <c r="CF37" s="29">
        <v>1.5</v>
      </c>
      <c r="CG37" s="29">
        <v>1.9</v>
      </c>
      <c r="CH37" s="29"/>
      <c r="CI37" s="30" t="s">
        <v>48</v>
      </c>
      <c r="CJ37" s="30">
        <v>28</v>
      </c>
      <c r="CK37" s="30">
        <v>28</v>
      </c>
      <c r="CL37" s="30">
        <v>29</v>
      </c>
      <c r="CM37" s="30"/>
      <c r="CN37" s="29" t="s">
        <v>45</v>
      </c>
      <c r="CO37" s="29">
        <v>2.5</v>
      </c>
      <c r="CP37" s="29">
        <v>2.5</v>
      </c>
      <c r="CQ37" s="29">
        <v>4.9000000000000004</v>
      </c>
      <c r="CR37" s="29"/>
      <c r="CS37" s="46" t="s">
        <v>86</v>
      </c>
      <c r="CT37" s="46">
        <v>28</v>
      </c>
      <c r="CU37" s="46">
        <v>28</v>
      </c>
      <c r="CV37" s="46">
        <v>0</v>
      </c>
      <c r="CW37" s="46"/>
      <c r="CX37" s="47" t="s">
        <v>92</v>
      </c>
      <c r="CY37" s="47">
        <v>4.8</v>
      </c>
      <c r="CZ37" s="47">
        <v>4.8</v>
      </c>
      <c r="DA37" s="47">
        <v>5.8</v>
      </c>
      <c r="DB37" s="47"/>
      <c r="DC37" s="29" t="s">
        <v>57</v>
      </c>
      <c r="DD37" s="29">
        <v>0</v>
      </c>
      <c r="DE37" s="29">
        <v>0</v>
      </c>
      <c r="DF37" s="29">
        <v>0</v>
      </c>
      <c r="DG37" s="29"/>
      <c r="DH37" s="9" t="s">
        <v>56</v>
      </c>
      <c r="DI37" s="9">
        <v>5.0999999999999996</v>
      </c>
      <c r="DJ37" s="9">
        <v>5.2</v>
      </c>
      <c r="DK37" s="9">
        <v>5.2</v>
      </c>
      <c r="DL37" s="9"/>
      <c r="DM37" s="30" t="s">
        <v>78</v>
      </c>
      <c r="DN37" s="30">
        <v>3</v>
      </c>
      <c r="DO37" s="30">
        <v>3</v>
      </c>
      <c r="DP37" s="30">
        <v>4</v>
      </c>
      <c r="DQ37" s="30"/>
      <c r="DR37" s="29" t="s">
        <v>102</v>
      </c>
      <c r="DS37" s="29" t="s">
        <v>151</v>
      </c>
      <c r="DT37" s="29" t="s">
        <v>151</v>
      </c>
      <c r="DU37" s="29" t="s">
        <v>151</v>
      </c>
      <c r="DV37" s="29"/>
      <c r="DW37" s="9" t="s">
        <v>86</v>
      </c>
      <c r="DX37" s="9">
        <v>0</v>
      </c>
      <c r="DY37" s="9">
        <v>0</v>
      </c>
      <c r="DZ37" s="9">
        <v>0</v>
      </c>
      <c r="EA37" s="9"/>
      <c r="EB37" s="29" t="s">
        <v>77</v>
      </c>
      <c r="EC37" s="29">
        <v>6</v>
      </c>
      <c r="ED37" s="29">
        <v>6</v>
      </c>
      <c r="EE37" s="29">
        <v>6</v>
      </c>
      <c r="EF37" s="29"/>
      <c r="EG37" s="9" t="s">
        <v>232</v>
      </c>
      <c r="EH37" s="9" t="s">
        <v>151</v>
      </c>
      <c r="EI37" s="9" t="s">
        <v>151</v>
      </c>
      <c r="EJ37" s="9" t="s">
        <v>151</v>
      </c>
      <c r="EK37" s="9"/>
      <c r="EL37" s="29"/>
      <c r="EM37" s="29">
        <v>5.0999999999999996</v>
      </c>
      <c r="EN37" s="29">
        <v>5.2</v>
      </c>
      <c r="EO37" s="29">
        <v>7</v>
      </c>
      <c r="EP37" s="29"/>
      <c r="EQ37" s="9" t="s">
        <v>57</v>
      </c>
      <c r="ER37" s="9">
        <v>0</v>
      </c>
      <c r="ES37" s="9">
        <v>0</v>
      </c>
      <c r="ET37" s="9">
        <v>0</v>
      </c>
      <c r="EU37" s="9"/>
      <c r="EV37" s="29"/>
      <c r="EW37" s="29">
        <v>4.5</v>
      </c>
      <c r="EX37" s="29">
        <v>4.5</v>
      </c>
      <c r="EY37" s="29">
        <v>4.7</v>
      </c>
      <c r="EZ37" s="29"/>
      <c r="FA37" s="9"/>
      <c r="FB37" s="9">
        <v>2.7</v>
      </c>
      <c r="FC37" s="9">
        <v>2.7</v>
      </c>
      <c r="FD37" s="9">
        <v>4.7</v>
      </c>
      <c r="FE37" s="9"/>
      <c r="FF37" s="48" t="s">
        <v>236</v>
      </c>
      <c r="FG37" s="48">
        <v>1.4</v>
      </c>
      <c r="FH37" s="48">
        <v>1.5</v>
      </c>
      <c r="FI37" s="48">
        <v>1.9</v>
      </c>
      <c r="FJ37" s="48"/>
      <c r="FK37" s="29" t="s">
        <v>48</v>
      </c>
      <c r="FL37" s="29">
        <v>28</v>
      </c>
      <c r="FM37" s="29">
        <v>28</v>
      </c>
      <c r="FN37" s="29">
        <v>29</v>
      </c>
      <c r="FO37" s="29"/>
      <c r="FP37" s="49" t="s">
        <v>111</v>
      </c>
      <c r="FQ37" s="49">
        <v>8</v>
      </c>
      <c r="FR37" s="49">
        <v>7.9</v>
      </c>
      <c r="FS37" s="49">
        <v>7.8</v>
      </c>
      <c r="FT37" s="49"/>
      <c r="FU37" s="7" t="s">
        <v>90</v>
      </c>
      <c r="FV37" s="7">
        <v>2.4</v>
      </c>
      <c r="FW37" s="7">
        <v>2.4</v>
      </c>
      <c r="FX37" s="7">
        <v>2.7</v>
      </c>
      <c r="FY37" s="7"/>
    </row>
    <row r="38" spans="1:181" x14ac:dyDescent="0.3">
      <c r="A38" s="67" t="s">
        <v>284</v>
      </c>
      <c r="D38" t="s">
        <v>285</v>
      </c>
      <c r="E38" t="s">
        <v>63</v>
      </c>
      <c r="F38" t="s">
        <v>64</v>
      </c>
      <c r="AK38" s="40" t="s">
        <v>43</v>
      </c>
      <c r="AL38" s="40" t="s">
        <v>65</v>
      </c>
      <c r="AM38" s="40" t="s">
        <v>65</v>
      </c>
      <c r="AN38" s="40" t="s">
        <v>65</v>
      </c>
      <c r="AP38" s="41" t="s">
        <v>172</v>
      </c>
      <c r="AQ38" s="41">
        <v>3.7</v>
      </c>
      <c r="AR38" s="41">
        <v>4.5999999999999996</v>
      </c>
      <c r="AS38" s="41">
        <v>4.5999999999999996</v>
      </c>
      <c r="AU38" s="20" t="s">
        <v>67</v>
      </c>
      <c r="AV38" s="20">
        <v>24</v>
      </c>
      <c r="AW38" s="20">
        <v>21</v>
      </c>
      <c r="AX38" s="20">
        <v>21</v>
      </c>
      <c r="AZ38" s="42" t="s">
        <v>181</v>
      </c>
      <c r="BA38" s="42">
        <v>5.8</v>
      </c>
      <c r="BB38" s="42">
        <v>5.8</v>
      </c>
      <c r="BC38" s="42">
        <v>5.8</v>
      </c>
      <c r="BE38" s="20" t="s">
        <v>69</v>
      </c>
      <c r="BF38" s="20">
        <v>24</v>
      </c>
      <c r="BG38" s="20">
        <v>21</v>
      </c>
      <c r="BH38" s="20">
        <v>21</v>
      </c>
      <c r="BJ38" s="43" t="s">
        <v>66</v>
      </c>
      <c r="BK38" s="43">
        <v>1.9</v>
      </c>
      <c r="BL38" s="43">
        <v>2.2000000000000002</v>
      </c>
      <c r="BM38" s="43">
        <v>2.2000000000000002</v>
      </c>
      <c r="BO38" s="44" t="s">
        <v>46</v>
      </c>
      <c r="BP38" s="44">
        <v>52</v>
      </c>
      <c r="BQ38" s="44">
        <v>58</v>
      </c>
      <c r="BR38" s="44">
        <v>58</v>
      </c>
      <c r="BT38" s="20" t="s">
        <v>182</v>
      </c>
      <c r="BU38" s="20">
        <v>6.6</v>
      </c>
      <c r="BV38" s="20">
        <v>6.6</v>
      </c>
      <c r="BW38" s="20">
        <v>7.9</v>
      </c>
      <c r="BY38" s="45" t="s">
        <v>57</v>
      </c>
      <c r="BZ38" s="45" t="s">
        <v>151</v>
      </c>
      <c r="CA38" s="45" t="s">
        <v>151</v>
      </c>
      <c r="CB38" s="45" t="s">
        <v>151</v>
      </c>
      <c r="CD38" s="20" t="s">
        <v>181</v>
      </c>
      <c r="CE38" s="20">
        <v>5.8</v>
      </c>
      <c r="CF38" s="20">
        <v>5.8</v>
      </c>
      <c r="CG38" s="20">
        <v>5.8</v>
      </c>
      <c r="CI38" s="30" t="s">
        <v>69</v>
      </c>
      <c r="CJ38" s="30">
        <v>24</v>
      </c>
      <c r="CK38" s="30">
        <v>21</v>
      </c>
      <c r="CL38" s="30">
        <v>21</v>
      </c>
      <c r="CN38" s="20">
        <v>0</v>
      </c>
      <c r="CP38" s="20">
        <v>0.1</v>
      </c>
      <c r="CQ38" s="20">
        <v>0.1</v>
      </c>
      <c r="CS38" s="46" t="s">
        <v>69</v>
      </c>
      <c r="CT38" s="46">
        <v>28</v>
      </c>
      <c r="CU38" s="46">
        <v>29</v>
      </c>
      <c r="CV38" s="46">
        <v>29</v>
      </c>
      <c r="CX38" s="47" t="s">
        <v>182</v>
      </c>
      <c r="CY38" s="47">
        <v>6.6</v>
      </c>
      <c r="CZ38" s="47">
        <v>6.6</v>
      </c>
      <c r="DA38" s="47">
        <v>7.9</v>
      </c>
      <c r="DC38" s="20" t="s">
        <v>57</v>
      </c>
      <c r="DD38" s="20" t="s">
        <v>151</v>
      </c>
      <c r="DE38" s="20" t="s">
        <v>151</v>
      </c>
      <c r="DF38" s="20" t="s">
        <v>151</v>
      </c>
      <c r="DH38" s="9" t="s">
        <v>101</v>
      </c>
      <c r="DI38" s="9">
        <v>2.1</v>
      </c>
      <c r="DJ38" s="9">
        <v>2.1</v>
      </c>
      <c r="DK38" s="9">
        <v>2.1</v>
      </c>
      <c r="DM38" s="30" t="s">
        <v>110</v>
      </c>
      <c r="DN38" s="30">
        <v>1.7</v>
      </c>
      <c r="DO38" s="30">
        <v>1.7</v>
      </c>
      <c r="DP38" s="30">
        <v>3</v>
      </c>
      <c r="DR38" s="20" t="s">
        <v>151</v>
      </c>
      <c r="DT38" s="20" t="s">
        <v>151</v>
      </c>
      <c r="DU38" s="20" t="s">
        <v>151</v>
      </c>
      <c r="DW38" s="9" t="s">
        <v>57</v>
      </c>
      <c r="DX38" s="9" t="s">
        <v>151</v>
      </c>
      <c r="DY38" s="9" t="s">
        <v>151</v>
      </c>
      <c r="DZ38" s="9" t="s">
        <v>151</v>
      </c>
      <c r="EB38" s="20" t="s">
        <v>183</v>
      </c>
      <c r="EC38" s="20">
        <v>6.6</v>
      </c>
      <c r="ED38" s="20">
        <v>6.6</v>
      </c>
      <c r="EE38" s="20">
        <v>6.6</v>
      </c>
      <c r="EG38" s="9" t="s">
        <v>45</v>
      </c>
      <c r="EH38" s="9" t="s">
        <v>151</v>
      </c>
      <c r="EI38" s="9" t="s">
        <v>151</v>
      </c>
      <c r="EJ38" s="9" t="s">
        <v>151</v>
      </c>
      <c r="EL38" s="20" t="s">
        <v>159</v>
      </c>
      <c r="EM38" s="20" t="s">
        <v>151</v>
      </c>
      <c r="EN38" s="20" t="s">
        <v>151</v>
      </c>
      <c r="EO38" s="20" t="s">
        <v>151</v>
      </c>
      <c r="EQ38" s="9" t="s">
        <v>57</v>
      </c>
      <c r="ER38" s="9" t="s">
        <v>151</v>
      </c>
      <c r="ES38" s="9" t="s">
        <v>151</v>
      </c>
      <c r="ET38" s="9" t="s">
        <v>151</v>
      </c>
      <c r="EV38" s="20" t="s">
        <v>184</v>
      </c>
      <c r="EW38" s="20" t="s">
        <v>151</v>
      </c>
      <c r="EX38" s="20" t="s">
        <v>151</v>
      </c>
      <c r="EY38" s="20" t="s">
        <v>151</v>
      </c>
      <c r="FA38" s="9" t="s">
        <v>54</v>
      </c>
      <c r="FB38" s="9" t="s">
        <v>151</v>
      </c>
      <c r="FC38" s="9" t="s">
        <v>151</v>
      </c>
      <c r="FD38" s="9" t="s">
        <v>151</v>
      </c>
      <c r="FF38" s="48" t="s">
        <v>181</v>
      </c>
      <c r="FG38" s="48">
        <v>5.8</v>
      </c>
      <c r="FH38" s="48">
        <v>5.8</v>
      </c>
      <c r="FI38" s="48">
        <v>5.8</v>
      </c>
      <c r="FK38" s="20" t="s">
        <v>69</v>
      </c>
      <c r="FL38" s="20">
        <v>24</v>
      </c>
      <c r="FM38" s="20">
        <v>21</v>
      </c>
      <c r="FN38" s="20">
        <v>21</v>
      </c>
      <c r="FP38" s="49" t="s">
        <v>140</v>
      </c>
      <c r="FQ38" s="49">
        <v>4.8</v>
      </c>
      <c r="FR38" s="49">
        <v>4.8</v>
      </c>
      <c r="FS38" s="49">
        <v>4.8</v>
      </c>
      <c r="FU38" s="7" t="s">
        <v>185</v>
      </c>
      <c r="FV38" s="7">
        <v>3.6</v>
      </c>
      <c r="FW38" s="7">
        <v>3.6</v>
      </c>
      <c r="FX38" s="7">
        <v>3.6</v>
      </c>
    </row>
    <row r="39" spans="1:181" x14ac:dyDescent="0.3">
      <c r="A39" s="12" t="s">
        <v>286</v>
      </c>
      <c r="B39" t="s">
        <v>287</v>
      </c>
      <c r="D39" t="s">
        <v>288</v>
      </c>
      <c r="E39" t="s">
        <v>63</v>
      </c>
      <c r="F39" t="s">
        <v>64</v>
      </c>
      <c r="AK39" s="40" t="s">
        <v>44</v>
      </c>
      <c r="AP39" s="41" t="s">
        <v>107</v>
      </c>
      <c r="AU39" s="20" t="s">
        <v>45</v>
      </c>
      <c r="AZ39" s="42" t="s">
        <v>54</v>
      </c>
      <c r="BE39" s="20" t="s">
        <v>289</v>
      </c>
      <c r="BJ39" s="43" t="s">
        <v>173</v>
      </c>
      <c r="BO39" s="44" t="s">
        <v>290</v>
      </c>
      <c r="BT39" s="20" t="s">
        <v>107</v>
      </c>
      <c r="BY39" s="45" t="s">
        <v>45</v>
      </c>
      <c r="CD39" s="20" t="s">
        <v>114</v>
      </c>
      <c r="CI39" s="30" t="s">
        <v>291</v>
      </c>
      <c r="CX39" s="47" t="s">
        <v>107</v>
      </c>
      <c r="DC39" s="20" t="s">
        <v>45</v>
      </c>
      <c r="DH39" s="9" t="s">
        <v>253</v>
      </c>
      <c r="DM39" s="30" t="s">
        <v>78</v>
      </c>
      <c r="DW39" s="9" t="s">
        <v>57</v>
      </c>
      <c r="EQ39" s="9" t="s">
        <v>57</v>
      </c>
      <c r="FK39" s="20" t="s">
        <v>57</v>
      </c>
    </row>
    <row r="40" spans="1:181" x14ac:dyDescent="0.3">
      <c r="A40" t="s">
        <v>292</v>
      </c>
      <c r="C40" t="s">
        <v>293</v>
      </c>
      <c r="D40" t="s">
        <v>294</v>
      </c>
      <c r="E40" t="s">
        <v>281</v>
      </c>
      <c r="F40" t="s">
        <v>142</v>
      </c>
      <c r="AK40" s="40" t="s">
        <v>65</v>
      </c>
      <c r="AL40" s="40" t="s">
        <v>65</v>
      </c>
      <c r="AM40" s="40" t="s">
        <v>84</v>
      </c>
      <c r="AN40" s="40" t="s">
        <v>84</v>
      </c>
      <c r="AP40" s="41" t="s">
        <v>76</v>
      </c>
      <c r="AQ40" s="41">
        <v>3.3</v>
      </c>
      <c r="AR40" s="41">
        <v>6.2</v>
      </c>
      <c r="AS40" s="41">
        <v>5.9</v>
      </c>
      <c r="AU40" s="20" t="s">
        <v>222</v>
      </c>
      <c r="AV40" s="20">
        <v>21</v>
      </c>
      <c r="AW40" s="20">
        <v>25</v>
      </c>
      <c r="AX40" s="20">
        <v>17</v>
      </c>
      <c r="AZ40" s="42" t="s">
        <v>87</v>
      </c>
      <c r="BA40" s="42">
        <v>2.6</v>
      </c>
      <c r="BB40" s="42">
        <v>3.8</v>
      </c>
      <c r="BC40" s="42">
        <v>3.3</v>
      </c>
      <c r="BE40" s="20" t="s">
        <v>223</v>
      </c>
      <c r="BF40" s="20">
        <v>58</v>
      </c>
      <c r="BG40" s="20">
        <v>50</v>
      </c>
      <c r="BH40" s="20">
        <v>50</v>
      </c>
      <c r="BJ40" s="43" t="s">
        <v>246</v>
      </c>
      <c r="BK40" s="43">
        <v>5.0999999999999996</v>
      </c>
      <c r="BL40" s="43">
        <v>2.7</v>
      </c>
      <c r="BM40" s="43">
        <v>3.1</v>
      </c>
      <c r="BO40" s="44" t="s">
        <v>222</v>
      </c>
      <c r="BP40" s="44">
        <v>21</v>
      </c>
      <c r="BQ40" s="44">
        <v>25</v>
      </c>
      <c r="BR40" s="44">
        <v>33</v>
      </c>
      <c r="BT40" s="20" t="s">
        <v>76</v>
      </c>
      <c r="BU40" s="20">
        <v>3.3</v>
      </c>
      <c r="BV40" s="20">
        <v>6.2</v>
      </c>
      <c r="BW40" s="20">
        <v>5.9</v>
      </c>
      <c r="BY40" s="45" t="s">
        <v>222</v>
      </c>
      <c r="BZ40" s="45">
        <v>21</v>
      </c>
      <c r="CA40" s="45">
        <v>25</v>
      </c>
      <c r="CB40" s="45">
        <v>17</v>
      </c>
      <c r="CD40" s="20" t="s">
        <v>87</v>
      </c>
      <c r="CE40" s="20">
        <v>2.6</v>
      </c>
      <c r="CF40" s="20">
        <v>3.8</v>
      </c>
      <c r="CG40" s="20">
        <v>3.9</v>
      </c>
      <c r="CI40" s="30" t="s">
        <v>223</v>
      </c>
      <c r="CJ40" s="30">
        <v>58</v>
      </c>
      <c r="CK40" s="30">
        <v>50</v>
      </c>
      <c r="CL40" s="30">
        <v>34</v>
      </c>
      <c r="CO40" s="20" t="s">
        <v>151</v>
      </c>
      <c r="CP40" s="20" t="s">
        <v>151</v>
      </c>
      <c r="CQ40" s="20">
        <v>4.5</v>
      </c>
      <c r="CT40" s="46" t="s">
        <v>151</v>
      </c>
      <c r="CU40" s="46">
        <v>0</v>
      </c>
      <c r="CV40" s="46">
        <v>0</v>
      </c>
      <c r="CX40" s="47" t="s">
        <v>76</v>
      </c>
      <c r="CY40" s="47">
        <v>3.3</v>
      </c>
      <c r="CZ40" s="47">
        <v>6.2</v>
      </c>
      <c r="DA40" s="47">
        <v>5.9</v>
      </c>
      <c r="DC40" s="20" t="s">
        <v>222</v>
      </c>
      <c r="DD40" s="20">
        <v>21</v>
      </c>
      <c r="DE40" s="20">
        <v>25</v>
      </c>
      <c r="DF40" s="20">
        <v>17</v>
      </c>
      <c r="DH40" s="9" t="s">
        <v>47</v>
      </c>
      <c r="DI40" s="9">
        <v>6.7</v>
      </c>
      <c r="DJ40" s="9">
        <v>5.0999999999999996</v>
      </c>
      <c r="DK40" s="9">
        <v>5.0999999999999996</v>
      </c>
      <c r="DM40" s="30" t="s">
        <v>78</v>
      </c>
      <c r="DN40" s="30">
        <v>3</v>
      </c>
      <c r="DO40" s="30">
        <v>4.3</v>
      </c>
      <c r="DP40" s="30">
        <v>4</v>
      </c>
      <c r="DS40" s="20" t="s">
        <v>151</v>
      </c>
      <c r="DT40" s="20" t="s">
        <v>151</v>
      </c>
      <c r="DU40" s="20" t="s">
        <v>151</v>
      </c>
      <c r="DW40" s="9" t="s">
        <v>57</v>
      </c>
      <c r="DX40" s="9" t="s">
        <v>151</v>
      </c>
      <c r="DY40" s="9">
        <v>0</v>
      </c>
      <c r="DZ40" s="9">
        <v>0</v>
      </c>
      <c r="EC40" s="20">
        <v>5.4</v>
      </c>
      <c r="ED40" s="20">
        <v>5.4</v>
      </c>
      <c r="EE40" s="20">
        <v>5.4</v>
      </c>
      <c r="EH40" s="9" t="s">
        <v>151</v>
      </c>
      <c r="EI40" s="9" t="s">
        <v>151</v>
      </c>
      <c r="EJ40" s="9" t="s">
        <v>151</v>
      </c>
      <c r="EL40" s="20" t="s">
        <v>94</v>
      </c>
      <c r="EM40" s="20">
        <v>1.8</v>
      </c>
      <c r="EN40" s="20">
        <v>1.1000000000000001</v>
      </c>
      <c r="EO40" s="20">
        <v>1.1000000000000001</v>
      </c>
      <c r="EQ40" s="9" t="s">
        <v>225</v>
      </c>
      <c r="ER40" s="9">
        <v>26</v>
      </c>
      <c r="ES40" s="9">
        <v>25</v>
      </c>
      <c r="ET40" s="9">
        <v>17</v>
      </c>
      <c r="EV40" s="20" t="s">
        <v>191</v>
      </c>
      <c r="EW40" s="20">
        <v>8.4</v>
      </c>
      <c r="EX40" s="20">
        <v>10</v>
      </c>
      <c r="EY40" s="20">
        <v>10</v>
      </c>
      <c r="FA40" s="9" t="s">
        <v>114</v>
      </c>
      <c r="FB40" s="9">
        <v>3.2</v>
      </c>
      <c r="FC40" s="9">
        <v>4.0999999999999996</v>
      </c>
      <c r="FD40" s="9">
        <v>4.0999999999999996</v>
      </c>
      <c r="FF40" s="48" t="s">
        <v>76</v>
      </c>
      <c r="FG40" s="48">
        <v>3.3</v>
      </c>
      <c r="FH40" s="48">
        <v>6.5</v>
      </c>
      <c r="FI40" s="48">
        <v>6.7</v>
      </c>
      <c r="FK40" s="20" t="s">
        <v>120</v>
      </c>
      <c r="FL40" s="20">
        <v>32</v>
      </c>
      <c r="FM40" s="20">
        <v>25</v>
      </c>
      <c r="FN40" s="20">
        <v>17</v>
      </c>
      <c r="FP40" s="49" t="s">
        <v>49</v>
      </c>
      <c r="FQ40" s="49">
        <v>6.5</v>
      </c>
      <c r="FR40" s="49">
        <v>6.5</v>
      </c>
      <c r="FS40" s="49">
        <v>6.5</v>
      </c>
      <c r="FU40" s="7" t="s">
        <v>230</v>
      </c>
      <c r="FV40" s="7">
        <v>2.8</v>
      </c>
      <c r="FW40" s="7">
        <v>6</v>
      </c>
      <c r="FX40" s="7">
        <v>6.2</v>
      </c>
    </row>
    <row r="41" spans="1:181" s="21" customFormat="1" x14ac:dyDescent="0.3">
      <c r="A41" s="21" t="s">
        <v>295</v>
      </c>
      <c r="B41" s="21" t="s">
        <v>296</v>
      </c>
      <c r="D41" s="50" t="s">
        <v>319</v>
      </c>
      <c r="E41" s="21" t="s">
        <v>189</v>
      </c>
      <c r="F41" s="21" t="s">
        <v>42</v>
      </c>
      <c r="L41" s="18"/>
      <c r="M41" s="18"/>
      <c r="N41" s="18"/>
      <c r="O41" s="18"/>
      <c r="P41" s="18"/>
      <c r="Q41" s="22"/>
      <c r="R41" s="22"/>
      <c r="S41" s="22"/>
      <c r="T41" s="22"/>
      <c r="U41" s="22"/>
      <c r="AA41" s="19"/>
      <c r="AB41" s="19"/>
      <c r="AC41" s="19"/>
      <c r="AD41" s="19"/>
      <c r="AE41" s="19"/>
      <c r="AF41" s="22"/>
      <c r="AG41" s="22"/>
      <c r="AH41" s="22"/>
      <c r="AI41" s="22"/>
      <c r="AJ41" s="22"/>
      <c r="AK41" s="40" t="s">
        <v>65</v>
      </c>
      <c r="AL41" s="40" t="s">
        <v>65</v>
      </c>
      <c r="AM41" s="40" t="s">
        <v>65</v>
      </c>
      <c r="AN41" s="40" t="s">
        <v>84</v>
      </c>
      <c r="AO41" s="40"/>
      <c r="AP41" s="41" t="s">
        <v>246</v>
      </c>
      <c r="AQ41" s="41">
        <v>3.9</v>
      </c>
      <c r="AR41" s="41">
        <v>4.5999999999999996</v>
      </c>
      <c r="AS41" s="41">
        <v>5.4</v>
      </c>
      <c r="AT41" s="41"/>
      <c r="AU41" s="22" t="s">
        <v>46</v>
      </c>
      <c r="AV41" s="22">
        <v>50</v>
      </c>
      <c r="AW41" s="22">
        <v>50</v>
      </c>
      <c r="AX41" s="22">
        <v>47</v>
      </c>
      <c r="AY41" s="22"/>
      <c r="AZ41" s="42" t="s">
        <v>56</v>
      </c>
      <c r="BA41" s="42">
        <v>5.3</v>
      </c>
      <c r="BB41" s="42">
        <v>5.3</v>
      </c>
      <c r="BC41" s="42">
        <v>5.6</v>
      </c>
      <c r="BD41" s="42"/>
      <c r="BE41" s="22" t="s">
        <v>48</v>
      </c>
      <c r="BF41" s="22">
        <v>30</v>
      </c>
      <c r="BG41" s="22">
        <v>28</v>
      </c>
      <c r="BH41" s="22">
        <v>16</v>
      </c>
      <c r="BI41" s="22"/>
      <c r="BJ41" s="43" t="s">
        <v>102</v>
      </c>
      <c r="BK41" s="43">
        <v>4.7</v>
      </c>
      <c r="BL41" s="43">
        <v>3.8</v>
      </c>
      <c r="BM41" s="43">
        <v>5.0999999999999996</v>
      </c>
      <c r="BN41" s="43"/>
      <c r="BO41" s="44" t="s">
        <v>50</v>
      </c>
      <c r="BP41" s="44">
        <v>20</v>
      </c>
      <c r="BQ41" s="44">
        <v>22</v>
      </c>
      <c r="BR41" s="44">
        <v>37</v>
      </c>
      <c r="BS41" s="44"/>
      <c r="BT41" s="22" t="s">
        <v>94</v>
      </c>
      <c r="BU41" s="22">
        <v>1.8</v>
      </c>
      <c r="BV41" s="22">
        <v>4.3</v>
      </c>
      <c r="BW41" s="22">
        <v>4.8</v>
      </c>
      <c r="BX41" s="22"/>
      <c r="BY41" s="45" t="s">
        <v>50</v>
      </c>
      <c r="BZ41" s="45">
        <v>20</v>
      </c>
      <c r="CA41" s="45">
        <v>22</v>
      </c>
      <c r="CB41" s="45">
        <v>21</v>
      </c>
      <c r="CC41" s="45"/>
      <c r="CD41" s="22" t="s">
        <v>56</v>
      </c>
      <c r="CE41" s="22">
        <v>5.3</v>
      </c>
      <c r="CF41" s="22">
        <v>5.3</v>
      </c>
      <c r="CG41" s="22">
        <v>5.6</v>
      </c>
      <c r="CH41" s="22"/>
      <c r="CI41" s="30" t="s">
        <v>48</v>
      </c>
      <c r="CJ41" s="30">
        <v>30</v>
      </c>
      <c r="CK41" s="30">
        <v>28</v>
      </c>
      <c r="CL41" s="30">
        <v>16</v>
      </c>
      <c r="CM41" s="30"/>
      <c r="CN41" s="22"/>
      <c r="CO41" s="22" t="s">
        <v>151</v>
      </c>
      <c r="CP41" s="22" t="s">
        <v>151</v>
      </c>
      <c r="CQ41" s="22">
        <v>7.3</v>
      </c>
      <c r="CR41" s="22"/>
      <c r="CS41" s="46"/>
      <c r="CT41" s="46" t="s">
        <v>151</v>
      </c>
      <c r="CU41" s="46">
        <v>0</v>
      </c>
      <c r="CV41" s="46" t="s">
        <v>151</v>
      </c>
      <c r="CW41" s="46"/>
      <c r="CX41" s="47" t="s">
        <v>94</v>
      </c>
      <c r="CY41" s="47">
        <v>1.8</v>
      </c>
      <c r="CZ41" s="47">
        <v>4.3</v>
      </c>
      <c r="DA41" s="47">
        <v>4.8</v>
      </c>
      <c r="DB41" s="47"/>
      <c r="DC41" s="22" t="s">
        <v>50</v>
      </c>
      <c r="DD41" s="22">
        <v>20</v>
      </c>
      <c r="DE41" s="22">
        <v>22</v>
      </c>
      <c r="DF41" s="22">
        <v>21</v>
      </c>
      <c r="DG41" s="22"/>
      <c r="DH41" s="9" t="s">
        <v>297</v>
      </c>
      <c r="DI41" s="9">
        <v>8.1999999999999993</v>
      </c>
      <c r="DJ41" s="9">
        <v>8.1999999999999993</v>
      </c>
      <c r="DK41" s="9">
        <v>7.7</v>
      </c>
      <c r="DL41" s="9"/>
      <c r="DM41" s="30" t="s">
        <v>78</v>
      </c>
      <c r="DN41" s="30">
        <v>3</v>
      </c>
      <c r="DO41" s="30">
        <v>5.5</v>
      </c>
      <c r="DP41" s="30">
        <v>5.5</v>
      </c>
      <c r="DQ41" s="30"/>
      <c r="DR41" s="22" t="s">
        <v>56</v>
      </c>
      <c r="DS41" s="22">
        <v>5.3</v>
      </c>
      <c r="DT41" s="22">
        <v>4.9000000000000004</v>
      </c>
      <c r="DU41" s="22">
        <v>5.8</v>
      </c>
      <c r="DV41" s="22"/>
      <c r="DW41" s="9" t="s">
        <v>48</v>
      </c>
      <c r="DX41" s="9">
        <v>30</v>
      </c>
      <c r="DY41" s="9">
        <v>28</v>
      </c>
      <c r="DZ41" s="9">
        <v>26</v>
      </c>
      <c r="EA41" s="9"/>
      <c r="EB41" s="22" t="s">
        <v>172</v>
      </c>
      <c r="EC41" s="22">
        <v>7.3</v>
      </c>
      <c r="ED41" s="22">
        <v>7.3</v>
      </c>
      <c r="EE41" s="22">
        <v>7</v>
      </c>
      <c r="EF41" s="22"/>
      <c r="EG41" s="9" t="s">
        <v>185</v>
      </c>
      <c r="EH41" s="9">
        <v>5.6</v>
      </c>
      <c r="EI41" s="9">
        <v>5.2</v>
      </c>
      <c r="EJ41" s="9">
        <v>5.8</v>
      </c>
      <c r="EK41" s="9"/>
      <c r="EL41" s="22"/>
      <c r="EM41" s="22" t="s">
        <v>151</v>
      </c>
      <c r="EN41" s="22" t="s">
        <v>151</v>
      </c>
      <c r="EO41" s="22" t="s">
        <v>151</v>
      </c>
      <c r="EP41" s="22"/>
      <c r="EQ41" s="9" t="s">
        <v>57</v>
      </c>
      <c r="ER41" s="9" t="s">
        <v>151</v>
      </c>
      <c r="ES41" s="9">
        <v>0</v>
      </c>
      <c r="ET41" s="9" t="s">
        <v>151</v>
      </c>
      <c r="EU41" s="9"/>
      <c r="EV41" s="22"/>
      <c r="EW41" s="22" t="s">
        <v>151</v>
      </c>
      <c r="EX41" s="22" t="s">
        <v>151</v>
      </c>
      <c r="EY41" s="22" t="s">
        <v>151</v>
      </c>
      <c r="EZ41" s="22"/>
      <c r="FA41" s="9"/>
      <c r="FB41" s="9" t="s">
        <v>151</v>
      </c>
      <c r="FC41" s="9" t="s">
        <v>151</v>
      </c>
      <c r="FD41" s="9" t="s">
        <v>151</v>
      </c>
      <c r="FE41" s="9"/>
      <c r="FF41" s="48" t="s">
        <v>56</v>
      </c>
      <c r="FG41" s="48">
        <v>5.3</v>
      </c>
      <c r="FH41" s="48">
        <v>5.3</v>
      </c>
      <c r="FI41" s="48">
        <v>5.6</v>
      </c>
      <c r="FJ41" s="48"/>
      <c r="FK41" s="22" t="s">
        <v>48</v>
      </c>
      <c r="FL41" s="22">
        <v>30</v>
      </c>
      <c r="FM41" s="22">
        <v>28</v>
      </c>
      <c r="FN41" s="22">
        <v>16</v>
      </c>
      <c r="FO41" s="22"/>
      <c r="FP41" s="49" t="s">
        <v>99</v>
      </c>
      <c r="FQ41" s="49">
        <v>5.4</v>
      </c>
      <c r="FR41" s="49">
        <v>5.4</v>
      </c>
      <c r="FS41" s="49">
        <v>5.5</v>
      </c>
      <c r="FT41" s="49"/>
      <c r="FU41" s="7" t="s">
        <v>103</v>
      </c>
      <c r="FV41" s="7">
        <v>3.7</v>
      </c>
      <c r="FW41" s="7">
        <v>3.7</v>
      </c>
      <c r="FX41" s="7">
        <v>4.0999999999999996</v>
      </c>
      <c r="FY41" s="7"/>
    </row>
    <row r="42" spans="1:181" x14ac:dyDescent="0.3">
      <c r="A42" t="s">
        <v>298</v>
      </c>
      <c r="B42" t="s">
        <v>299</v>
      </c>
      <c r="C42" t="s">
        <v>300</v>
      </c>
      <c r="D42" t="s">
        <v>301</v>
      </c>
      <c r="E42" t="s">
        <v>83</v>
      </c>
      <c r="F42" t="s">
        <v>42</v>
      </c>
      <c r="G42" s="6">
        <v>12567</v>
      </c>
      <c r="H42" s="6">
        <v>12765</v>
      </c>
      <c r="I42" s="6">
        <v>12996</v>
      </c>
      <c r="J42" s="6">
        <v>13117</v>
      </c>
      <c r="K42" s="6">
        <v>14106</v>
      </c>
      <c r="L42" s="18" t="s">
        <v>151</v>
      </c>
      <c r="M42" s="18" t="s">
        <v>151</v>
      </c>
      <c r="N42" s="18" t="s">
        <v>151</v>
      </c>
      <c r="O42" s="18" t="s">
        <v>151</v>
      </c>
      <c r="P42" s="18" t="s">
        <v>151</v>
      </c>
      <c r="Q42" s="7" t="s">
        <v>151</v>
      </c>
      <c r="R42" s="7" t="s">
        <v>151</v>
      </c>
      <c r="S42" s="7" t="s">
        <v>151</v>
      </c>
      <c r="T42" s="7" t="s">
        <v>151</v>
      </c>
      <c r="U42" s="7" t="s">
        <v>151</v>
      </c>
      <c r="V42" s="8">
        <f>14827.8*1000000</f>
        <v>14827800000</v>
      </c>
      <c r="W42" s="8">
        <f>15301.3*1000000</f>
        <v>15301300000</v>
      </c>
      <c r="X42" s="8">
        <f>16200.4*1000000</f>
        <v>16200400000</v>
      </c>
      <c r="Y42" s="8">
        <f>15184.3*1000000</f>
        <v>15184300000</v>
      </c>
      <c r="Z42" s="8">
        <f>26714.5*1000000</f>
        <v>26714500000</v>
      </c>
      <c r="AA42" s="19">
        <f>(2765.7+6003.8)*1000000</f>
        <v>8769500000</v>
      </c>
      <c r="AB42" s="19">
        <f>(5665.3+3376.7)*1000000</f>
        <v>9042000000</v>
      </c>
      <c r="AC42" s="19">
        <f>(5586.2+3993.6)*1000000</f>
        <v>9579800000</v>
      </c>
      <c r="AD42" s="19">
        <f>(4668.7+3792.9)*1000000</f>
        <v>8461600000</v>
      </c>
      <c r="AE42" s="19">
        <f>(4594.2+5958.3)*1000000</f>
        <v>10552500000</v>
      </c>
      <c r="AF42" s="9" t="s">
        <v>170</v>
      </c>
      <c r="AG42" s="9" t="s">
        <v>170</v>
      </c>
      <c r="AH42" s="9" t="s">
        <v>170</v>
      </c>
      <c r="AI42" s="9" t="s">
        <v>170</v>
      </c>
      <c r="AJ42" s="9" t="s">
        <v>170</v>
      </c>
      <c r="AK42" s="40" t="s">
        <v>65</v>
      </c>
      <c r="AL42" s="40" t="s">
        <v>65</v>
      </c>
      <c r="AM42" s="40" t="s">
        <v>84</v>
      </c>
      <c r="AN42" s="40" t="s">
        <v>171</v>
      </c>
      <c r="AP42" s="41" t="s">
        <v>140</v>
      </c>
      <c r="AQ42" s="41">
        <v>4.0999999999999996</v>
      </c>
      <c r="AR42" s="41">
        <v>5.3</v>
      </c>
      <c r="AS42" s="41">
        <v>5.8</v>
      </c>
      <c r="AU42" s="20" t="s">
        <v>46</v>
      </c>
      <c r="AV42" s="20">
        <v>50</v>
      </c>
      <c r="AW42" s="20">
        <v>50</v>
      </c>
      <c r="AX42" s="20">
        <v>47</v>
      </c>
      <c r="AZ42" s="42" t="s">
        <v>68</v>
      </c>
      <c r="BA42" s="42">
        <v>4</v>
      </c>
      <c r="BB42" s="42">
        <v>3.7</v>
      </c>
      <c r="BC42" s="42">
        <v>3.2</v>
      </c>
      <c r="BE42" s="20" t="s">
        <v>48</v>
      </c>
      <c r="BF42" s="20">
        <v>30</v>
      </c>
      <c r="BG42" s="20">
        <v>28</v>
      </c>
      <c r="BH42" s="20">
        <v>16</v>
      </c>
      <c r="BJ42" s="43" t="s">
        <v>207</v>
      </c>
      <c r="BK42" s="43">
        <v>6.2</v>
      </c>
      <c r="BL42" s="43">
        <v>6.9</v>
      </c>
      <c r="BM42" s="43">
        <v>5.5</v>
      </c>
      <c r="BO42" s="44" t="s">
        <v>50</v>
      </c>
      <c r="BP42" s="44">
        <v>20</v>
      </c>
      <c r="BQ42" s="44">
        <v>22</v>
      </c>
      <c r="BR42" s="44">
        <v>37</v>
      </c>
      <c r="BT42" s="20" t="s">
        <v>139</v>
      </c>
      <c r="BU42" s="20">
        <v>2.1</v>
      </c>
      <c r="BV42" s="20">
        <v>4.7</v>
      </c>
      <c r="BW42" s="20">
        <v>6</v>
      </c>
      <c r="BY42" s="45" t="s">
        <v>50</v>
      </c>
      <c r="BZ42" s="45">
        <v>20</v>
      </c>
      <c r="CA42" s="45">
        <v>22</v>
      </c>
      <c r="CB42" s="45">
        <v>21</v>
      </c>
      <c r="CD42" s="20" t="s">
        <v>68</v>
      </c>
      <c r="CE42" s="20">
        <v>4</v>
      </c>
      <c r="CF42" s="20">
        <v>3.7</v>
      </c>
      <c r="CG42" s="20">
        <v>3.2</v>
      </c>
      <c r="CI42" s="30" t="s">
        <v>48</v>
      </c>
      <c r="CJ42" s="30">
        <v>30</v>
      </c>
      <c r="CK42" s="30">
        <v>28</v>
      </c>
      <c r="CL42" s="30">
        <v>16</v>
      </c>
      <c r="CO42" s="20" t="s">
        <v>151</v>
      </c>
      <c r="CP42" s="20" t="s">
        <v>151</v>
      </c>
      <c r="CQ42" s="20">
        <v>5.4</v>
      </c>
      <c r="CT42" s="46" t="s">
        <v>151</v>
      </c>
      <c r="CU42" s="46">
        <v>0</v>
      </c>
      <c r="CV42" s="46" t="s">
        <v>151</v>
      </c>
      <c r="CX42" s="47" t="s">
        <v>139</v>
      </c>
      <c r="CY42" s="47">
        <v>2.1</v>
      </c>
      <c r="CZ42" s="47">
        <v>4.7</v>
      </c>
      <c r="DA42" s="47">
        <v>6</v>
      </c>
      <c r="DC42" s="20" t="s">
        <v>50</v>
      </c>
      <c r="DD42" s="20">
        <v>20</v>
      </c>
      <c r="DE42" s="20">
        <v>22</v>
      </c>
      <c r="DF42" s="20">
        <v>21</v>
      </c>
      <c r="DH42" s="9" t="s">
        <v>162</v>
      </c>
      <c r="DI42" s="9">
        <v>7.9</v>
      </c>
      <c r="DJ42" s="9">
        <v>7.4</v>
      </c>
      <c r="DK42" s="9">
        <v>7.7</v>
      </c>
      <c r="DM42" s="30" t="s">
        <v>78</v>
      </c>
      <c r="DN42" s="30">
        <v>3</v>
      </c>
      <c r="DO42" s="30">
        <v>5.3</v>
      </c>
      <c r="DP42" s="30">
        <v>6.7</v>
      </c>
      <c r="DR42" s="20" t="s">
        <v>99</v>
      </c>
      <c r="DS42" s="20">
        <v>5.4</v>
      </c>
      <c r="DT42" s="20">
        <v>5.7</v>
      </c>
      <c r="DU42" s="20">
        <v>5.6</v>
      </c>
      <c r="DW42" s="9" t="s">
        <v>48</v>
      </c>
      <c r="DX42" s="9">
        <v>30</v>
      </c>
      <c r="DY42" s="9">
        <v>28</v>
      </c>
      <c r="DZ42" s="9">
        <v>26</v>
      </c>
      <c r="EB42" s="20" t="s">
        <v>55</v>
      </c>
      <c r="EC42" s="20">
        <v>7.4</v>
      </c>
      <c r="ED42" s="20">
        <v>7.4</v>
      </c>
      <c r="EE42" s="20">
        <v>7.4</v>
      </c>
      <c r="EG42" s="9" t="s">
        <v>66</v>
      </c>
      <c r="EH42" s="9">
        <v>5.8</v>
      </c>
      <c r="EI42" s="9">
        <v>6.1</v>
      </c>
      <c r="EJ42" s="9">
        <v>6</v>
      </c>
      <c r="EM42" s="20" t="s">
        <v>151</v>
      </c>
      <c r="EN42" s="20" t="s">
        <v>151</v>
      </c>
      <c r="EO42" s="20" t="s">
        <v>151</v>
      </c>
      <c r="EQ42" s="9" t="s">
        <v>57</v>
      </c>
      <c r="ER42" s="9" t="s">
        <v>151</v>
      </c>
      <c r="ES42" s="9">
        <v>0</v>
      </c>
      <c r="ET42" s="9" t="s">
        <v>151</v>
      </c>
      <c r="EW42" s="20" t="s">
        <v>151</v>
      </c>
      <c r="EX42" s="20" t="s">
        <v>151</v>
      </c>
      <c r="EY42" s="20" t="s">
        <v>151</v>
      </c>
      <c r="FB42" s="9" t="s">
        <v>151</v>
      </c>
      <c r="FC42" s="9" t="s">
        <v>151</v>
      </c>
      <c r="FD42" s="9" t="s">
        <v>151</v>
      </c>
      <c r="FF42" s="48" t="s">
        <v>68</v>
      </c>
      <c r="FG42" s="48">
        <v>4</v>
      </c>
      <c r="FH42" s="48">
        <v>3.7</v>
      </c>
      <c r="FI42" s="48">
        <v>3.2</v>
      </c>
      <c r="FK42" s="20" t="s">
        <v>48</v>
      </c>
      <c r="FL42" s="20">
        <v>30</v>
      </c>
      <c r="FM42" s="20">
        <v>28</v>
      </c>
      <c r="FN42" s="20">
        <v>16</v>
      </c>
      <c r="FP42" s="49" t="s">
        <v>207</v>
      </c>
      <c r="FQ42" s="49">
        <v>6.6</v>
      </c>
      <c r="FR42" s="49">
        <v>6.8</v>
      </c>
      <c r="FS42" s="49">
        <v>6.7</v>
      </c>
      <c r="FU42" s="7" t="s">
        <v>232</v>
      </c>
      <c r="FV42" s="7">
        <v>3.6</v>
      </c>
      <c r="FW42" s="7">
        <v>3.4</v>
      </c>
      <c r="FX42" s="7">
        <v>2.9</v>
      </c>
    </row>
    <row r="43" spans="1:181" s="6" customFormat="1" x14ac:dyDescent="0.3">
      <c r="A43" s="6" t="s">
        <v>302</v>
      </c>
      <c r="B43" s="6" t="s">
        <v>282</v>
      </c>
      <c r="C43" s="6" t="s">
        <v>303</v>
      </c>
      <c r="D43" s="6" t="s">
        <v>283</v>
      </c>
      <c r="E43" s="6" t="s">
        <v>180</v>
      </c>
      <c r="F43" s="6" t="s">
        <v>64</v>
      </c>
      <c r="G43" s="12"/>
      <c r="H43" s="12"/>
      <c r="I43" s="12"/>
      <c r="J43" s="6">
        <v>8540</v>
      </c>
      <c r="K43" s="6">
        <v>8422</v>
      </c>
      <c r="L43" s="12"/>
      <c r="M43" s="12"/>
      <c r="N43" s="18">
        <f>2884.5+4941.89</f>
        <v>7826.39</v>
      </c>
      <c r="O43" s="18">
        <f>3364.99+2005.3</f>
        <v>5370.29</v>
      </c>
      <c r="P43" s="18">
        <f>2016.4+1244</f>
        <v>3260.4</v>
      </c>
      <c r="Q43" s="30">
        <v>75.283799999999999</v>
      </c>
      <c r="R43" s="30">
        <v>94.995000000000005</v>
      </c>
      <c r="S43" s="30">
        <v>83.175899999999999</v>
      </c>
      <c r="T43" s="30">
        <v>61.367899999999999</v>
      </c>
      <c r="U43" s="30">
        <v>54.464599999999997</v>
      </c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30" t="s">
        <v>170</v>
      </c>
      <c r="AG43" s="30" t="s">
        <v>170</v>
      </c>
      <c r="AH43" s="30" t="s">
        <v>170</v>
      </c>
      <c r="AI43" s="30" t="s">
        <v>170</v>
      </c>
      <c r="AJ43" s="30" t="s">
        <v>170</v>
      </c>
      <c r="AK43" s="40" t="s">
        <v>44</v>
      </c>
      <c r="AL43" s="40" t="s">
        <v>44</v>
      </c>
      <c r="AM43" s="40" t="s">
        <v>44</v>
      </c>
      <c r="AN43" s="40" t="s">
        <v>44</v>
      </c>
      <c r="AO43" s="40"/>
      <c r="AP43" s="41" t="s">
        <v>267</v>
      </c>
      <c r="AQ43" s="41">
        <v>7.9</v>
      </c>
      <c r="AR43" s="41">
        <v>7.9</v>
      </c>
      <c r="AS43" s="41">
        <v>9.5</v>
      </c>
      <c r="AT43" s="41"/>
      <c r="AU43" s="30" t="s">
        <v>67</v>
      </c>
      <c r="AV43" s="30">
        <v>24</v>
      </c>
      <c r="AW43" s="30">
        <v>24</v>
      </c>
      <c r="AX43" s="30">
        <v>19</v>
      </c>
      <c r="AY43" s="30"/>
      <c r="AZ43" s="42" t="s">
        <v>121</v>
      </c>
      <c r="BA43" s="42">
        <v>5.3</v>
      </c>
      <c r="BB43" s="42">
        <v>5.3</v>
      </c>
      <c r="BC43" s="42">
        <v>6</v>
      </c>
      <c r="BD43" s="42"/>
      <c r="BE43" s="30" t="s">
        <v>69</v>
      </c>
      <c r="BF43" s="30">
        <v>24</v>
      </c>
      <c r="BG43" s="30">
        <v>24</v>
      </c>
      <c r="BH43" s="30">
        <v>37</v>
      </c>
      <c r="BI43" s="30"/>
      <c r="BJ43" s="43" t="s">
        <v>88</v>
      </c>
      <c r="BK43" s="43">
        <v>4.8</v>
      </c>
      <c r="BL43" s="43">
        <v>4.8</v>
      </c>
      <c r="BM43" s="43">
        <v>2.6</v>
      </c>
      <c r="BN43" s="43"/>
      <c r="BO43" s="44" t="s">
        <v>46</v>
      </c>
      <c r="BP43" s="44">
        <v>52</v>
      </c>
      <c r="BQ43" s="44">
        <v>52</v>
      </c>
      <c r="BR43" s="44">
        <v>44</v>
      </c>
      <c r="BS43" s="44"/>
      <c r="BT43" s="30" t="s">
        <v>66</v>
      </c>
      <c r="BU43" s="30">
        <v>9.1</v>
      </c>
      <c r="BV43" s="30">
        <v>9.1</v>
      </c>
      <c r="BW43" s="30">
        <v>8.4</v>
      </c>
      <c r="BX43" s="30"/>
      <c r="BY43" s="45" t="s">
        <v>57</v>
      </c>
      <c r="BZ43" s="45">
        <v>0</v>
      </c>
      <c r="CA43" s="45">
        <v>0</v>
      </c>
      <c r="CB43" s="45">
        <v>0</v>
      </c>
      <c r="CC43" s="45"/>
      <c r="CD43" s="30" t="s">
        <v>121</v>
      </c>
      <c r="CE43" s="30">
        <v>5.3</v>
      </c>
      <c r="CF43" s="30">
        <v>5.3</v>
      </c>
      <c r="CG43" s="30">
        <v>5.6</v>
      </c>
      <c r="CH43" s="30"/>
      <c r="CI43" s="30" t="s">
        <v>69</v>
      </c>
      <c r="CJ43" s="30">
        <v>24</v>
      </c>
      <c r="CK43" s="30">
        <v>24</v>
      </c>
      <c r="CL43" s="30">
        <v>19</v>
      </c>
      <c r="CM43" s="30"/>
      <c r="CN43" s="30" t="s">
        <v>258</v>
      </c>
      <c r="CO43" s="30">
        <v>4.8</v>
      </c>
      <c r="CP43" s="30">
        <v>4.8</v>
      </c>
      <c r="CQ43" s="30">
        <v>1.9</v>
      </c>
      <c r="CR43" s="30"/>
      <c r="CS43" s="46" t="s">
        <v>69</v>
      </c>
      <c r="CT43" s="46">
        <v>28</v>
      </c>
      <c r="CU43" s="46">
        <v>28</v>
      </c>
      <c r="CV43" s="46">
        <v>0</v>
      </c>
      <c r="CW43" s="46"/>
      <c r="CX43" s="47" t="s">
        <v>66</v>
      </c>
      <c r="CY43" s="47">
        <v>9.1</v>
      </c>
      <c r="CZ43" s="47">
        <v>9.1</v>
      </c>
      <c r="DA43" s="47">
        <v>8.4</v>
      </c>
      <c r="DB43" s="47"/>
      <c r="DC43" s="30" t="s">
        <v>57</v>
      </c>
      <c r="DD43" s="30">
        <v>0</v>
      </c>
      <c r="DE43" s="30">
        <v>0</v>
      </c>
      <c r="DF43" s="30">
        <v>0</v>
      </c>
      <c r="DG43" s="30"/>
      <c r="DH43" s="9" t="s">
        <v>54</v>
      </c>
      <c r="DI43" s="9">
        <v>4.9000000000000004</v>
      </c>
      <c r="DJ43" s="9">
        <v>4.9000000000000004</v>
      </c>
      <c r="DK43" s="9">
        <v>4.9000000000000004</v>
      </c>
      <c r="DL43" s="9"/>
      <c r="DM43" s="30" t="s">
        <v>103</v>
      </c>
      <c r="DN43" s="30">
        <v>7</v>
      </c>
      <c r="DO43" s="30">
        <v>7</v>
      </c>
      <c r="DP43" s="30">
        <v>6.3</v>
      </c>
      <c r="DQ43" s="30"/>
      <c r="DR43" s="30" t="s">
        <v>181</v>
      </c>
      <c r="DS43" s="30" t="s">
        <v>151</v>
      </c>
      <c r="DT43" s="30" t="s">
        <v>151</v>
      </c>
      <c r="DU43" s="30" t="s">
        <v>151</v>
      </c>
      <c r="DV43" s="30"/>
      <c r="DW43" s="9" t="s">
        <v>57</v>
      </c>
      <c r="DX43" s="9">
        <v>0</v>
      </c>
      <c r="DY43" s="9">
        <v>0</v>
      </c>
      <c r="DZ43" s="9">
        <v>0</v>
      </c>
      <c r="EA43" s="9"/>
      <c r="EB43" s="30" t="s">
        <v>174</v>
      </c>
      <c r="EC43" s="30">
        <v>3.5</v>
      </c>
      <c r="ED43" s="30">
        <v>3.5</v>
      </c>
      <c r="EE43" s="30">
        <v>3.5</v>
      </c>
      <c r="EF43" s="30"/>
      <c r="EG43" s="9" t="s">
        <v>45</v>
      </c>
      <c r="EH43" s="9" t="s">
        <v>151</v>
      </c>
      <c r="EI43" s="9" t="s">
        <v>151</v>
      </c>
      <c r="EJ43" s="9" t="s">
        <v>151</v>
      </c>
      <c r="EK43" s="9"/>
      <c r="EL43" s="30" t="s">
        <v>103</v>
      </c>
      <c r="EM43" s="30">
        <v>4.4000000000000004</v>
      </c>
      <c r="EN43" s="30">
        <v>4.4000000000000004</v>
      </c>
      <c r="EO43" s="30">
        <v>4.4000000000000004</v>
      </c>
      <c r="EP43" s="30"/>
      <c r="EQ43" s="9" t="s">
        <v>57</v>
      </c>
      <c r="ER43" s="9">
        <v>0</v>
      </c>
      <c r="ES43" s="9">
        <v>0</v>
      </c>
      <c r="ET43" s="9">
        <v>0</v>
      </c>
      <c r="EU43" s="9"/>
      <c r="EV43" s="30" t="s">
        <v>123</v>
      </c>
      <c r="EW43" s="30">
        <v>8.1</v>
      </c>
      <c r="EX43" s="30">
        <v>8.1</v>
      </c>
      <c r="EY43" s="30">
        <v>8.1</v>
      </c>
      <c r="EZ43" s="30"/>
      <c r="FA43" s="9" t="s">
        <v>47</v>
      </c>
      <c r="FB43" s="9">
        <v>5.5</v>
      </c>
      <c r="FC43" s="9">
        <v>5.5</v>
      </c>
      <c r="FD43" s="9">
        <v>5.5</v>
      </c>
      <c r="FE43" s="9"/>
      <c r="FF43" s="48" t="s">
        <v>121</v>
      </c>
      <c r="FG43" s="48">
        <v>5.3</v>
      </c>
      <c r="FH43" s="48">
        <v>5.3</v>
      </c>
      <c r="FI43" s="48">
        <v>5.6</v>
      </c>
      <c r="FJ43" s="48"/>
      <c r="FK43" s="30" t="s">
        <v>69</v>
      </c>
      <c r="FL43" s="30">
        <v>24</v>
      </c>
      <c r="FM43" s="30">
        <v>24</v>
      </c>
      <c r="FN43" s="30">
        <v>19</v>
      </c>
      <c r="FO43" s="30"/>
      <c r="FP43" s="49" t="s">
        <v>133</v>
      </c>
      <c r="FQ43" s="49">
        <v>4.4000000000000004</v>
      </c>
      <c r="FR43" s="49">
        <v>4.4000000000000004</v>
      </c>
      <c r="FS43" s="49">
        <v>4.3</v>
      </c>
      <c r="FT43" s="49"/>
      <c r="FU43" s="7" t="s">
        <v>75</v>
      </c>
      <c r="FV43" s="7">
        <v>2.7</v>
      </c>
      <c r="FW43" s="7">
        <v>2.7</v>
      </c>
      <c r="FX43" s="7">
        <v>2.9</v>
      </c>
      <c r="FY43" s="7"/>
    </row>
    <row r="44" spans="1:181" x14ac:dyDescent="0.3">
      <c r="A44" t="s">
        <v>304</v>
      </c>
      <c r="B44" t="s">
        <v>305</v>
      </c>
      <c r="D44" t="s">
        <v>306</v>
      </c>
      <c r="E44" t="s">
        <v>63</v>
      </c>
      <c r="F44" t="s">
        <v>64</v>
      </c>
      <c r="G44" s="6">
        <v>4182</v>
      </c>
      <c r="H44" s="6">
        <v>4114</v>
      </c>
      <c r="I44" s="6">
        <v>4114</v>
      </c>
      <c r="J44" s="6">
        <v>4147</v>
      </c>
      <c r="K44" s="6">
        <v>4106</v>
      </c>
      <c r="L44" s="18" t="s">
        <v>151</v>
      </c>
      <c r="M44" s="18">
        <v>29284.82</v>
      </c>
      <c r="N44" s="18">
        <v>29566.47</v>
      </c>
      <c r="O44" s="18">
        <v>21591.39</v>
      </c>
      <c r="P44" s="26">
        <f>(4781.31+24464.26+55421.3)</f>
        <v>84666.87</v>
      </c>
      <c r="Q44" s="7" t="s">
        <v>151</v>
      </c>
      <c r="R44" s="7" t="s">
        <v>151</v>
      </c>
      <c r="S44" s="7" t="s">
        <v>151</v>
      </c>
      <c r="T44" s="7" t="s">
        <v>151</v>
      </c>
      <c r="U44" s="7" t="s">
        <v>151</v>
      </c>
      <c r="V44" s="8">
        <f>2003454233</f>
        <v>2003454233</v>
      </c>
      <c r="W44" s="8">
        <v>2045682389</v>
      </c>
      <c r="X44" s="8">
        <v>2111129084</v>
      </c>
      <c r="Y44" s="8">
        <f>2191411790</f>
        <v>2191411790</v>
      </c>
      <c r="Z44" s="8">
        <v>2356114635</v>
      </c>
      <c r="AA44" s="19">
        <v>883489311</v>
      </c>
      <c r="AB44" s="19">
        <v>908123674</v>
      </c>
      <c r="AC44" s="19">
        <v>955086432</v>
      </c>
      <c r="AD44" s="19">
        <v>1105945406</v>
      </c>
      <c r="AE44" s="19">
        <v>2191411790</v>
      </c>
      <c r="AF44" s="9" t="s">
        <v>169</v>
      </c>
      <c r="AG44" s="9" t="s">
        <v>169</v>
      </c>
      <c r="AH44" s="9" t="s">
        <v>170</v>
      </c>
      <c r="AI44" s="9" t="s">
        <v>170</v>
      </c>
      <c r="AJ44" s="9" t="s">
        <v>170</v>
      </c>
      <c r="AK44" s="40" t="s">
        <v>171</v>
      </c>
      <c r="AL44" s="40" t="s">
        <v>171</v>
      </c>
      <c r="AM44" s="40" t="s">
        <v>171</v>
      </c>
      <c r="AN44" s="40" t="s">
        <v>44</v>
      </c>
      <c r="AP44" s="41" t="s">
        <v>164</v>
      </c>
      <c r="AQ44" s="41">
        <v>7.2</v>
      </c>
      <c r="AR44" s="41">
        <v>7.2</v>
      </c>
      <c r="AS44" s="41">
        <v>9.3000000000000007</v>
      </c>
      <c r="AU44" s="20" t="s">
        <v>45</v>
      </c>
      <c r="AV44" s="20">
        <v>5</v>
      </c>
      <c r="AW44" s="20">
        <v>5</v>
      </c>
      <c r="AX44" s="20">
        <v>5</v>
      </c>
      <c r="AZ44" s="42" t="s">
        <v>99</v>
      </c>
      <c r="BA44" s="42">
        <v>5.8</v>
      </c>
      <c r="BB44" s="42">
        <v>5.8</v>
      </c>
      <c r="BC44" s="42">
        <v>4.8</v>
      </c>
      <c r="BE44" s="20" t="s">
        <v>307</v>
      </c>
      <c r="BF44" s="20">
        <v>29</v>
      </c>
      <c r="BG44" s="20">
        <v>29</v>
      </c>
      <c r="BH44" s="20">
        <v>44</v>
      </c>
      <c r="BJ44" s="43" t="s">
        <v>109</v>
      </c>
      <c r="BK44" s="43">
        <v>4.4000000000000004</v>
      </c>
      <c r="BL44" s="43">
        <v>4.4000000000000004</v>
      </c>
      <c r="BM44" s="43">
        <v>5.7</v>
      </c>
      <c r="BO44" s="44" t="s">
        <v>308</v>
      </c>
      <c r="BP44" s="44">
        <v>66</v>
      </c>
      <c r="BQ44" s="44">
        <v>66</v>
      </c>
      <c r="BR44" s="44">
        <v>51</v>
      </c>
      <c r="BT44" s="20" t="s">
        <v>56</v>
      </c>
      <c r="BU44" s="20">
        <v>5.2</v>
      </c>
      <c r="BV44" s="20">
        <v>5.2</v>
      </c>
      <c r="BW44" s="20">
        <v>5.3</v>
      </c>
      <c r="BY44" s="45" t="s">
        <v>57</v>
      </c>
      <c r="BZ44" s="45">
        <v>0</v>
      </c>
      <c r="CA44" s="45">
        <v>0</v>
      </c>
      <c r="CB44" s="45">
        <v>0</v>
      </c>
      <c r="CD44" s="20" t="s">
        <v>99</v>
      </c>
      <c r="CE44" s="20">
        <v>5.8</v>
      </c>
      <c r="CF44" s="20">
        <v>5.8</v>
      </c>
      <c r="CG44" s="20">
        <v>6.7</v>
      </c>
      <c r="CI44" s="30" t="s">
        <v>307</v>
      </c>
      <c r="CJ44" s="30">
        <v>29</v>
      </c>
      <c r="CK44" s="30">
        <v>29</v>
      </c>
      <c r="CL44" s="30">
        <v>22</v>
      </c>
      <c r="CN44" s="20" t="s">
        <v>309</v>
      </c>
      <c r="CO44" s="20">
        <v>3</v>
      </c>
      <c r="CP44" s="20">
        <v>3</v>
      </c>
      <c r="CQ44" s="20">
        <v>5.9</v>
      </c>
      <c r="CS44" s="46" t="s">
        <v>307</v>
      </c>
      <c r="CT44" s="46">
        <v>37</v>
      </c>
      <c r="CU44" s="46">
        <v>37</v>
      </c>
      <c r="CV44" s="46" t="s">
        <v>151</v>
      </c>
      <c r="CX44" s="47" t="s">
        <v>56</v>
      </c>
      <c r="CY44" s="47">
        <v>5.2</v>
      </c>
      <c r="CZ44" s="47">
        <v>5.2</v>
      </c>
      <c r="DA44" s="47">
        <v>5.3</v>
      </c>
      <c r="DC44" s="20" t="s">
        <v>57</v>
      </c>
      <c r="DD44" s="20">
        <v>0</v>
      </c>
      <c r="DE44" s="20">
        <v>0</v>
      </c>
      <c r="DF44" s="20">
        <v>0</v>
      </c>
      <c r="DH44" s="9" t="s">
        <v>51</v>
      </c>
      <c r="DI44" s="9">
        <v>5</v>
      </c>
      <c r="DJ44" s="9">
        <v>5</v>
      </c>
      <c r="DK44" s="9">
        <v>5</v>
      </c>
      <c r="DM44" s="30" t="s">
        <v>76</v>
      </c>
      <c r="DN44" s="30">
        <v>3.3</v>
      </c>
      <c r="DO44" s="30">
        <v>3.3</v>
      </c>
      <c r="DP44" s="30">
        <v>3.3</v>
      </c>
      <c r="DS44" s="20" t="s">
        <v>151</v>
      </c>
      <c r="DT44" s="20" t="s">
        <v>151</v>
      </c>
      <c r="DU44" s="20" t="s">
        <v>151</v>
      </c>
      <c r="DW44" s="9" t="s">
        <v>57</v>
      </c>
      <c r="DX44" s="9">
        <v>0</v>
      </c>
      <c r="DY44" s="9">
        <v>0</v>
      </c>
      <c r="DZ44" s="9">
        <v>0</v>
      </c>
      <c r="EB44" s="20" t="s">
        <v>174</v>
      </c>
      <c r="EC44" s="20">
        <v>3.5</v>
      </c>
      <c r="ED44" s="20">
        <v>3.5</v>
      </c>
      <c r="EE44" s="20">
        <v>3.5</v>
      </c>
      <c r="EH44" s="9" t="s">
        <v>151</v>
      </c>
      <c r="EI44" s="9" t="s">
        <v>151</v>
      </c>
      <c r="EJ44" s="9" t="s">
        <v>151</v>
      </c>
      <c r="EM44" s="20" t="s">
        <v>151</v>
      </c>
      <c r="EN44" s="20" t="s">
        <v>151</v>
      </c>
      <c r="EO44" s="20" t="s">
        <v>151</v>
      </c>
      <c r="EQ44" s="9" t="s">
        <v>57</v>
      </c>
      <c r="ER44" s="9">
        <v>0</v>
      </c>
      <c r="ES44" s="9">
        <v>0</v>
      </c>
      <c r="ET44" s="9">
        <v>0</v>
      </c>
      <c r="EW44" s="20" t="s">
        <v>151</v>
      </c>
      <c r="EX44" s="20" t="s">
        <v>151</v>
      </c>
      <c r="EY44" s="20" t="s">
        <v>151</v>
      </c>
      <c r="FB44" s="9" t="s">
        <v>151</v>
      </c>
      <c r="FC44" s="9" t="s">
        <v>151</v>
      </c>
      <c r="FD44" s="9" t="s">
        <v>151</v>
      </c>
      <c r="FF44" s="48" t="s">
        <v>99</v>
      </c>
      <c r="FG44" s="48">
        <v>5.8</v>
      </c>
      <c r="FH44" s="48">
        <v>5.8</v>
      </c>
      <c r="FI44" s="48">
        <v>6.7</v>
      </c>
      <c r="FK44" s="20" t="s">
        <v>307</v>
      </c>
      <c r="FL44" s="20">
        <v>29</v>
      </c>
      <c r="FM44" s="20">
        <v>29</v>
      </c>
      <c r="FN44" s="20">
        <v>22</v>
      </c>
      <c r="FP44" s="49" t="s">
        <v>133</v>
      </c>
      <c r="FQ44" s="49">
        <v>4.2</v>
      </c>
      <c r="FR44" s="49">
        <v>4.2</v>
      </c>
      <c r="FS44" s="49">
        <v>4.2</v>
      </c>
      <c r="FU44" s="7" t="s">
        <v>230</v>
      </c>
      <c r="FV44" s="7">
        <v>3.2</v>
      </c>
      <c r="FW44" s="7">
        <v>3.2</v>
      </c>
      <c r="FX44" s="7">
        <v>3.9</v>
      </c>
    </row>
    <row r="45" spans="1:181" x14ac:dyDescent="0.3">
      <c r="A45" t="s">
        <v>318</v>
      </c>
      <c r="B45" t="s">
        <v>213</v>
      </c>
      <c r="D45" t="s">
        <v>215</v>
      </c>
      <c r="E45" t="s">
        <v>189</v>
      </c>
      <c r="F45" t="s">
        <v>64</v>
      </c>
      <c r="G45" s="6">
        <v>3400</v>
      </c>
      <c r="H45" s="6">
        <v>3517</v>
      </c>
      <c r="I45" s="6">
        <v>3539</v>
      </c>
      <c r="J45" s="6">
        <v>3515</v>
      </c>
      <c r="K45" s="6">
        <v>3447</v>
      </c>
      <c r="L45" s="18">
        <v>99189</v>
      </c>
      <c r="M45" s="18">
        <v>66668</v>
      </c>
      <c r="N45" s="18">
        <v>57867</v>
      </c>
      <c r="O45" s="18">
        <v>45586</v>
      </c>
      <c r="P45" s="18">
        <v>51361</v>
      </c>
      <c r="Q45" s="7" t="s">
        <v>151</v>
      </c>
      <c r="R45" s="7" t="s">
        <v>151</v>
      </c>
      <c r="S45" s="7" t="s">
        <v>151</v>
      </c>
      <c r="T45" s="7" t="s">
        <v>151</v>
      </c>
      <c r="U45" s="7" t="s">
        <v>151</v>
      </c>
      <c r="V45" s="8">
        <f>7492*1000000</f>
        <v>7492000000</v>
      </c>
      <c r="W45" s="8">
        <f>7995*1000000</f>
        <v>7995000000</v>
      </c>
      <c r="X45" s="8">
        <f>8031728*1000</f>
        <v>8031728000</v>
      </c>
      <c r="Y45" s="8">
        <f>8058390*1000</f>
        <v>8058390000</v>
      </c>
      <c r="Z45" s="8">
        <f>8151*1000000</f>
        <v>8151000000</v>
      </c>
      <c r="AA45" s="19">
        <f>(7492-2051)*1000000</f>
        <v>5441000000</v>
      </c>
      <c r="AB45" s="19">
        <f>(7995-2006)*1000000</f>
        <v>5989000000</v>
      </c>
      <c r="AC45" s="19">
        <f>(6056420+336661)*1000</f>
        <v>6393081000</v>
      </c>
      <c r="AD45" s="19">
        <f>(6367575+319105)*1000</f>
        <v>6686680000</v>
      </c>
      <c r="AE45" s="19">
        <f>(8151-1319)*1000000</f>
        <v>6832000000</v>
      </c>
      <c r="AF45" s="9" t="s">
        <v>170</v>
      </c>
      <c r="AG45" s="9" t="s">
        <v>169</v>
      </c>
      <c r="AH45" s="9" t="s">
        <v>169</v>
      </c>
      <c r="AI45" s="9" t="s">
        <v>170</v>
      </c>
      <c r="AJ45" s="9" t="s">
        <v>170</v>
      </c>
      <c r="AK45" s="40" t="s">
        <v>43</v>
      </c>
      <c r="AL45" s="40" t="s">
        <v>43</v>
      </c>
      <c r="AM45" s="40" t="s">
        <v>43</v>
      </c>
      <c r="AN45" s="40" t="s">
        <v>190</v>
      </c>
      <c r="AP45" s="41" t="s">
        <v>310</v>
      </c>
      <c r="AQ45" s="41">
        <v>9.6</v>
      </c>
      <c r="AR45" s="41">
        <v>9.6</v>
      </c>
      <c r="AS45" s="41">
        <v>7.4</v>
      </c>
      <c r="AU45" s="20" t="s">
        <v>67</v>
      </c>
      <c r="AV45" s="20">
        <v>24</v>
      </c>
      <c r="AW45" s="20">
        <v>24</v>
      </c>
      <c r="AX45" s="20">
        <v>19</v>
      </c>
      <c r="AZ45" s="42" t="s">
        <v>162</v>
      </c>
      <c r="BA45" s="42">
        <v>7.5</v>
      </c>
      <c r="BB45" s="42">
        <v>7.5</v>
      </c>
      <c r="BC45" s="42">
        <v>5</v>
      </c>
      <c r="BE45" s="20" t="s">
        <v>69</v>
      </c>
      <c r="BF45" s="20">
        <v>24</v>
      </c>
      <c r="BG45" s="20">
        <v>24</v>
      </c>
      <c r="BH45" s="20">
        <v>37</v>
      </c>
      <c r="BJ45" s="43" t="s">
        <v>54</v>
      </c>
      <c r="BK45" s="43">
        <v>5.0999999999999996</v>
      </c>
      <c r="BL45" s="43">
        <v>5.0999999999999996</v>
      </c>
      <c r="BM45" s="43">
        <v>6.1</v>
      </c>
      <c r="BO45" s="44" t="s">
        <v>46</v>
      </c>
      <c r="BP45" s="44">
        <v>52</v>
      </c>
      <c r="BQ45" s="44">
        <v>52</v>
      </c>
      <c r="BR45" s="44">
        <v>44</v>
      </c>
      <c r="BT45" s="20" t="s">
        <v>58</v>
      </c>
      <c r="BU45" s="20">
        <v>5.8</v>
      </c>
      <c r="BV45" s="20">
        <v>5.8</v>
      </c>
      <c r="BW45" s="20">
        <v>6.5</v>
      </c>
      <c r="BY45" s="45" t="s">
        <v>57</v>
      </c>
      <c r="BZ45" s="45">
        <v>0</v>
      </c>
      <c r="CA45" s="45">
        <v>0</v>
      </c>
      <c r="CB45" s="45">
        <v>0</v>
      </c>
      <c r="CD45" s="20" t="s">
        <v>162</v>
      </c>
      <c r="CE45" s="20">
        <v>7.5</v>
      </c>
      <c r="CF45" s="20">
        <v>7.5</v>
      </c>
      <c r="CG45" s="20">
        <v>7.9</v>
      </c>
      <c r="CI45" s="30" t="s">
        <v>69</v>
      </c>
      <c r="CJ45" s="30">
        <v>24</v>
      </c>
      <c r="CK45" s="30">
        <v>24</v>
      </c>
      <c r="CL45" s="30">
        <v>19</v>
      </c>
      <c r="CN45" s="20" t="s">
        <v>54</v>
      </c>
      <c r="CO45" s="20">
        <v>4</v>
      </c>
      <c r="CP45" s="20">
        <v>4</v>
      </c>
      <c r="CQ45" s="20">
        <v>7.3</v>
      </c>
      <c r="CS45" s="46" t="s">
        <v>69</v>
      </c>
      <c r="CT45" s="46">
        <v>28</v>
      </c>
      <c r="CU45" s="46">
        <v>28</v>
      </c>
      <c r="CV45" s="46">
        <v>0</v>
      </c>
      <c r="CX45" s="47" t="s">
        <v>58</v>
      </c>
      <c r="CY45" s="47">
        <v>5.8</v>
      </c>
      <c r="CZ45" s="47">
        <v>5.8</v>
      </c>
      <c r="DA45" s="47">
        <v>6.5</v>
      </c>
      <c r="DC45" s="20" t="s">
        <v>57</v>
      </c>
      <c r="DD45" s="20">
        <v>0</v>
      </c>
      <c r="DE45" s="20">
        <v>0</v>
      </c>
      <c r="DF45" s="20">
        <v>0</v>
      </c>
      <c r="DH45" s="9" t="s">
        <v>173</v>
      </c>
      <c r="DI45" s="9">
        <v>7.5</v>
      </c>
      <c r="DJ45" s="9">
        <v>7.5</v>
      </c>
      <c r="DK45" s="9">
        <v>7.5</v>
      </c>
      <c r="DM45" s="30" t="s">
        <v>125</v>
      </c>
      <c r="DN45" s="30">
        <v>6.3</v>
      </c>
      <c r="DO45" s="30">
        <v>6.3</v>
      </c>
      <c r="DP45" s="30">
        <v>7</v>
      </c>
      <c r="DR45" s="20" t="s">
        <v>164</v>
      </c>
      <c r="DS45" s="20" t="s">
        <v>151</v>
      </c>
      <c r="DT45" s="20" t="s">
        <v>151</v>
      </c>
      <c r="DU45" s="20" t="s">
        <v>151</v>
      </c>
      <c r="DW45" s="9" t="s">
        <v>57</v>
      </c>
      <c r="DX45" s="9">
        <v>0</v>
      </c>
      <c r="DY45" s="9">
        <v>0</v>
      </c>
      <c r="DZ45" s="9">
        <v>0</v>
      </c>
      <c r="EB45" s="20" t="s">
        <v>88</v>
      </c>
      <c r="EC45" s="20">
        <v>4.9000000000000004</v>
      </c>
      <c r="ED45" s="20">
        <v>4.8</v>
      </c>
      <c r="EE45" s="20">
        <v>4.8</v>
      </c>
      <c r="EG45" s="9" t="s">
        <v>45</v>
      </c>
      <c r="EH45" s="9" t="s">
        <v>151</v>
      </c>
      <c r="EI45" s="9" t="s">
        <v>151</v>
      </c>
      <c r="EJ45" s="9" t="s">
        <v>151</v>
      </c>
      <c r="EL45" s="20" t="s">
        <v>114</v>
      </c>
      <c r="EM45" s="20">
        <v>5.2</v>
      </c>
      <c r="EN45" s="20">
        <v>5.2</v>
      </c>
      <c r="EO45" s="20">
        <v>5.2</v>
      </c>
      <c r="EQ45" s="9" t="s">
        <v>57</v>
      </c>
      <c r="ER45" s="9">
        <v>0</v>
      </c>
      <c r="ES45" s="9">
        <v>0</v>
      </c>
      <c r="ET45" s="9">
        <v>0</v>
      </c>
      <c r="EV45" s="20" t="s">
        <v>218</v>
      </c>
      <c r="EW45" s="20">
        <v>7</v>
      </c>
      <c r="EX45" s="20">
        <v>7</v>
      </c>
      <c r="EY45" s="20">
        <v>7</v>
      </c>
      <c r="FA45" s="9" t="s">
        <v>114</v>
      </c>
      <c r="FB45" s="9">
        <v>5.2</v>
      </c>
      <c r="FC45" s="9">
        <v>5.2</v>
      </c>
      <c r="FD45" s="9">
        <v>5.2</v>
      </c>
      <c r="FF45" s="48" t="s">
        <v>162</v>
      </c>
      <c r="FG45" s="48">
        <v>7.5</v>
      </c>
      <c r="FH45" s="48">
        <v>7.5</v>
      </c>
      <c r="FI45" s="48">
        <v>7.9</v>
      </c>
      <c r="FK45" s="20" t="s">
        <v>69</v>
      </c>
      <c r="FL45" s="20">
        <v>24</v>
      </c>
      <c r="FM45" s="20">
        <v>24</v>
      </c>
      <c r="FN45" s="20">
        <v>19</v>
      </c>
      <c r="FP45" s="49" t="s">
        <v>99</v>
      </c>
      <c r="FQ45" s="49">
        <v>5.4</v>
      </c>
      <c r="FR45" s="49">
        <v>5.4</v>
      </c>
      <c r="FS45" s="49">
        <v>5.4</v>
      </c>
      <c r="FU45" s="7" t="s">
        <v>85</v>
      </c>
      <c r="FV45" s="7">
        <v>5.9</v>
      </c>
      <c r="FW45" s="7">
        <v>5.9</v>
      </c>
      <c r="FX45" s="7">
        <v>6.3</v>
      </c>
    </row>
  </sheetData>
  <mergeCells count="35">
    <mergeCell ref="FK1:FO1"/>
    <mergeCell ref="FU1:FY1"/>
    <mergeCell ref="FP1:FT1"/>
    <mergeCell ref="G1:K1"/>
    <mergeCell ref="L1:P1"/>
    <mergeCell ref="Q1:U1"/>
    <mergeCell ref="V1:Z1"/>
    <mergeCell ref="AA1:AE1"/>
    <mergeCell ref="AF1:AJ1"/>
    <mergeCell ref="AU1:AY1"/>
    <mergeCell ref="BE1:BI1"/>
    <mergeCell ref="BJ1:BN1"/>
    <mergeCell ref="BO1:BS1"/>
    <mergeCell ref="BT1:BX1"/>
    <mergeCell ref="BY1:CC1"/>
    <mergeCell ref="CD1:CH1"/>
    <mergeCell ref="FF1:FJ1"/>
    <mergeCell ref="CI1:CM1"/>
    <mergeCell ref="CN1:CR1"/>
    <mergeCell ref="CS1:CW1"/>
    <mergeCell ref="DC1:DG1"/>
    <mergeCell ref="DH1:DL1"/>
    <mergeCell ref="DM1:DQ1"/>
    <mergeCell ref="DR1:DV1"/>
    <mergeCell ref="DW1:EA1"/>
    <mergeCell ref="EB1:EF1"/>
    <mergeCell ref="EG1:EK1"/>
    <mergeCell ref="EL1:EP1"/>
    <mergeCell ref="EQ1:EU1"/>
    <mergeCell ref="EV1:EZ1"/>
    <mergeCell ref="FA1:FE1"/>
    <mergeCell ref="AK1:AO1"/>
    <mergeCell ref="AP1:AT1"/>
    <mergeCell ref="AZ1:BD1"/>
    <mergeCell ref="CX1:D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2022-11-04T13:55:39Z</dcterms:created>
  <dcterms:modified xsi:type="dcterms:W3CDTF">2022-11-07T08:03:58Z</dcterms:modified>
</cp:coreProperties>
</file>