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Cesar\2016-3\Analisi Estructural Matricial\Porticos\"/>
    </mc:Choice>
  </mc:AlternateContent>
  <bookViews>
    <workbookView xWindow="0" yWindow="0" windowWidth="20730" windowHeight="11760" tabRatio="500"/>
  </bookViews>
  <sheets>
    <sheet name="Hoja1" sheetId="1" r:id="rId1"/>
    <sheet name="Hoja2" sheetId="2" r:id="rId2"/>
  </sheets>
  <calcPr calcId="17102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" i="1" l="1"/>
  <c r="E14" i="1"/>
  <c r="F4" i="2"/>
  <c r="G4" i="2"/>
  <c r="K4" i="2" s="1"/>
  <c r="C94" i="2" l="1"/>
  <c r="C95" i="2"/>
  <c r="C96" i="2"/>
  <c r="C97" i="2"/>
  <c r="C98" i="2"/>
  <c r="C99" i="2"/>
  <c r="C100" i="2"/>
  <c r="C101" i="2"/>
  <c r="C102" i="2"/>
  <c r="AC63" i="2" a="1"/>
  <c r="AE63" i="2" s="1"/>
  <c r="AC64" i="2"/>
  <c r="AD65" i="2"/>
  <c r="P6" i="2"/>
  <c r="S6" i="2" s="1"/>
  <c r="G6" i="2"/>
  <c r="O6" i="2"/>
  <c r="P5" i="2"/>
  <c r="F5" i="2"/>
  <c r="O5" i="2" s="1"/>
  <c r="S5" i="2"/>
  <c r="G5" i="2"/>
  <c r="L5" i="2" s="1"/>
  <c r="K5" i="2"/>
  <c r="M5" i="2" s="1"/>
  <c r="G48" i="2"/>
  <c r="J48" i="2" s="1"/>
  <c r="T5" i="2"/>
  <c r="H46" i="2" s="1"/>
  <c r="N5" i="2"/>
  <c r="I46" i="2"/>
  <c r="I49" i="2" s="1"/>
  <c r="O4" i="2"/>
  <c r="P4" i="2"/>
  <c r="M4" i="2"/>
  <c r="L4" i="2"/>
  <c r="N4" i="2" s="1"/>
  <c r="Q5" i="2"/>
  <c r="R5" i="2" s="1"/>
  <c r="I48" i="2" s="1"/>
  <c r="I51" i="2" s="1"/>
  <c r="Q6" i="2"/>
  <c r="R6" i="2"/>
  <c r="I56" i="2" s="1"/>
  <c r="I59" i="2" s="1"/>
  <c r="Q4" i="2"/>
  <c r="R4" i="2" s="1"/>
  <c r="AA65" i="2"/>
  <c r="AA64" i="2"/>
  <c r="AA63" i="2"/>
  <c r="E64" i="1"/>
  <c r="E67" i="1" s="1"/>
  <c r="E57" i="1"/>
  <c r="E61" i="1" s="1"/>
  <c r="E62" i="1"/>
  <c r="L59" i="2"/>
  <c r="L56" i="2"/>
  <c r="L51" i="2"/>
  <c r="L49" i="2"/>
  <c r="L48" i="2"/>
  <c r="L46" i="2"/>
  <c r="I38" i="2"/>
  <c r="AA39" i="1" a="1"/>
  <c r="AB39" i="1" s="1"/>
  <c r="AC39" i="1"/>
  <c r="AA40" i="1"/>
  <c r="AC40" i="1"/>
  <c r="AB41" i="1"/>
  <c r="Y40" i="1"/>
  <c r="Y41" i="1"/>
  <c r="Y39" i="1"/>
  <c r="E16" i="1"/>
  <c r="K11" i="1"/>
  <c r="N14" i="1" s="1"/>
  <c r="E17" i="1"/>
  <c r="E21" i="1" s="1"/>
  <c r="K10" i="1"/>
  <c r="N13" i="1" s="1"/>
  <c r="E35" i="1"/>
  <c r="E42" i="1"/>
  <c r="E36" i="1"/>
  <c r="E41" i="1" s="1"/>
  <c r="E43" i="1"/>
  <c r="E47" i="1"/>
  <c r="E40" i="1"/>
  <c r="E63" i="1"/>
  <c r="E68" i="1"/>
  <c r="E46" i="1"/>
  <c r="L33" i="1" s="1"/>
  <c r="O33" i="1" s="1"/>
  <c r="E65" i="1"/>
  <c r="O56" i="1" s="1"/>
  <c r="L59" i="1"/>
  <c r="E44" i="1"/>
  <c r="M38" i="1"/>
  <c r="M35" i="1"/>
  <c r="J35" i="1"/>
  <c r="H4" i="1"/>
  <c r="Q11" i="1" s="1"/>
  <c r="H5" i="1"/>
  <c r="Q15" i="1" s="1"/>
  <c r="Q12" i="1"/>
  <c r="E18" i="1" l="1"/>
  <c r="O23" i="1" s="1"/>
  <c r="E20" i="1"/>
  <c r="O22" i="1" s="1"/>
  <c r="J10" i="1"/>
  <c r="M13" i="1" s="1"/>
  <c r="N23" i="1"/>
  <c r="J21" i="1"/>
  <c r="N22" i="1" s="1"/>
  <c r="J11" i="1"/>
  <c r="M14" i="1" s="1"/>
  <c r="O25" i="1"/>
  <c r="Q14" i="1"/>
  <c r="O35" i="1"/>
  <c r="L38" i="1"/>
  <c r="E45" i="1"/>
  <c r="K54" i="1"/>
  <c r="N57" i="1" s="1"/>
  <c r="N54" i="1"/>
  <c r="K57" i="1" s="1"/>
  <c r="M55" i="1"/>
  <c r="J58" i="1" s="1"/>
  <c r="J55" i="1"/>
  <c r="M58" i="1" s="1"/>
  <c r="M56" i="1"/>
  <c r="J59" i="1"/>
  <c r="L57" i="1"/>
  <c r="O57" i="1" s="1"/>
  <c r="L54" i="1"/>
  <c r="O54" i="1" s="1"/>
  <c r="L26" i="1"/>
  <c r="M54" i="1"/>
  <c r="J57" i="1" s="1"/>
  <c r="M59" i="1"/>
  <c r="L21" i="1"/>
  <c r="AA17" i="1" s="1"/>
  <c r="J26" i="1"/>
  <c r="M26" i="1"/>
  <c r="L25" i="1"/>
  <c r="K23" i="1"/>
  <c r="O24" i="1"/>
  <c r="M23" i="1"/>
  <c r="L22" i="1"/>
  <c r="J23" i="1"/>
  <c r="O21" i="1"/>
  <c r="K26" i="1"/>
  <c r="J34" i="1"/>
  <c r="M37" i="1" s="1"/>
  <c r="M33" i="1"/>
  <c r="J36" i="1" s="1"/>
  <c r="M34" i="1"/>
  <c r="J37" i="1" s="1"/>
  <c r="K33" i="1"/>
  <c r="N36" i="1" s="1"/>
  <c r="N34" i="1"/>
  <c r="K37" i="1" s="1"/>
  <c r="K34" i="1"/>
  <c r="N37" i="1" s="1"/>
  <c r="J33" i="1"/>
  <c r="M36" i="1" s="1"/>
  <c r="N33" i="1"/>
  <c r="K36" i="1" s="1"/>
  <c r="K46" i="2"/>
  <c r="H49" i="2" s="1"/>
  <c r="G47" i="2"/>
  <c r="K49" i="2"/>
  <c r="N35" i="1"/>
  <c r="Y17" i="1"/>
  <c r="J54" i="1"/>
  <c r="M57" i="1" s="1"/>
  <c r="L37" i="1"/>
  <c r="O37" i="1" s="1"/>
  <c r="K38" i="1"/>
  <c r="K21" i="1"/>
  <c r="L41" i="2"/>
  <c r="L38" i="2"/>
  <c r="I41" i="2"/>
  <c r="G56" i="2"/>
  <c r="N59" i="1"/>
  <c r="H47" i="2"/>
  <c r="G46" i="2"/>
  <c r="L36" i="1"/>
  <c r="O36" i="1" s="1"/>
  <c r="N56" i="1"/>
  <c r="E66" i="1"/>
  <c r="AA41" i="1"/>
  <c r="K59" i="1"/>
  <c r="J56" i="1"/>
  <c r="T4" i="2"/>
  <c r="G36" i="2" s="1"/>
  <c r="S4" i="2"/>
  <c r="K55" i="1"/>
  <c r="N58" i="1" s="1"/>
  <c r="N55" i="1"/>
  <c r="K58" i="1" s="1"/>
  <c r="L58" i="1"/>
  <c r="O58" i="1" s="1"/>
  <c r="L55" i="1"/>
  <c r="O55" i="1" s="1"/>
  <c r="L34" i="1"/>
  <c r="O34" i="1" s="1"/>
  <c r="N38" i="1"/>
  <c r="J38" i="1"/>
  <c r="K35" i="1"/>
  <c r="AA39" i="1"/>
  <c r="AB40" i="1"/>
  <c r="AC41" i="1"/>
  <c r="J51" i="2"/>
  <c r="K56" i="1"/>
  <c r="G51" i="2"/>
  <c r="K6" i="2"/>
  <c r="M6" i="2" s="1"/>
  <c r="L6" i="2"/>
  <c r="N6" i="2" s="1"/>
  <c r="G54" i="2" s="1"/>
  <c r="H48" i="2"/>
  <c r="I47" i="2"/>
  <c r="I54" i="2"/>
  <c r="H56" i="2"/>
  <c r="I55" i="2"/>
  <c r="AE64" i="2"/>
  <c r="AD63" i="2"/>
  <c r="AE65" i="2"/>
  <c r="AD64" i="2"/>
  <c r="AC63" i="2"/>
  <c r="T6" i="2"/>
  <c r="AC65" i="2"/>
  <c r="J24" i="1" l="1"/>
  <c r="K25" i="1"/>
  <c r="M21" i="1"/>
  <c r="E19" i="1"/>
  <c r="O26" i="1" s="1"/>
  <c r="S10" i="1" a="1"/>
  <c r="S15" i="1" s="1"/>
  <c r="H36" i="2"/>
  <c r="G37" i="2" s="1"/>
  <c r="L55" i="2"/>
  <c r="I58" i="2"/>
  <c r="L58" i="2" s="1"/>
  <c r="K56" i="2"/>
  <c r="H59" i="2"/>
  <c r="K59" i="2"/>
  <c r="AE39" i="1" a="1"/>
  <c r="G59" i="2"/>
  <c r="J59" i="2"/>
  <c r="J56" i="2"/>
  <c r="J47" i="2"/>
  <c r="G50" i="2" s="1"/>
  <c r="J50" i="2"/>
  <c r="L35" i="1"/>
  <c r="O38" i="1"/>
  <c r="H54" i="2"/>
  <c r="I57" i="2"/>
  <c r="L57" i="2" s="1"/>
  <c r="L54" i="2"/>
  <c r="H55" i="2"/>
  <c r="I37" i="2"/>
  <c r="I36" i="2"/>
  <c r="H38" i="2"/>
  <c r="G38" i="2"/>
  <c r="J49" i="2"/>
  <c r="J46" i="2"/>
  <c r="G49" i="2" s="1"/>
  <c r="H37" i="2"/>
  <c r="Z17" i="1"/>
  <c r="K48" i="2"/>
  <c r="H51" i="2"/>
  <c r="K51" i="2"/>
  <c r="L23" i="1"/>
  <c r="J54" i="2"/>
  <c r="G57" i="2" s="1"/>
  <c r="J57" i="2"/>
  <c r="AH63" i="2" a="1"/>
  <c r="L47" i="2"/>
  <c r="I50" i="2"/>
  <c r="L50" i="2" s="1"/>
  <c r="J36" i="2"/>
  <c r="G39" i="2" s="1"/>
  <c r="J39" i="2"/>
  <c r="O59" i="1"/>
  <c r="L56" i="1"/>
  <c r="K50" i="2"/>
  <c r="K47" i="2"/>
  <c r="H50" i="2" s="1"/>
  <c r="S11" i="1" l="1"/>
  <c r="S13" i="1"/>
  <c r="S10" i="1"/>
  <c r="S14" i="1"/>
  <c r="S12" i="1"/>
  <c r="K36" i="2"/>
  <c r="H39" i="2" s="1"/>
  <c r="K39" i="2"/>
  <c r="I40" i="2"/>
  <c r="L40" i="2" s="1"/>
  <c r="L37" i="2"/>
  <c r="AE39" i="1"/>
  <c r="AE41" i="1"/>
  <c r="AE40" i="1"/>
  <c r="J40" i="2"/>
  <c r="J37" i="2"/>
  <c r="G40" i="2" s="1"/>
  <c r="K55" i="2"/>
  <c r="H58" i="2" s="1"/>
  <c r="K58" i="2"/>
  <c r="K40" i="2"/>
  <c r="K37" i="2"/>
  <c r="H40" i="2" s="1"/>
  <c r="H41" i="2"/>
  <c r="K38" i="2"/>
  <c r="K41" i="2"/>
  <c r="G55" i="2"/>
  <c r="K57" i="2"/>
  <c r="K54" i="2"/>
  <c r="H57" i="2" s="1"/>
  <c r="AH65" i="2"/>
  <c r="S105" i="2" s="1"/>
  <c r="AH64" i="2"/>
  <c r="S104" i="2" s="1"/>
  <c r="AH63" i="2"/>
  <c r="S103" i="2" s="1"/>
  <c r="W94" i="2" s="1" a="1"/>
  <c r="G41" i="2"/>
  <c r="J41" i="2"/>
  <c r="J38" i="2"/>
  <c r="I39" i="2"/>
  <c r="L39" i="2" s="1"/>
  <c r="L36" i="2"/>
  <c r="J58" i="2" l="1"/>
  <c r="J55" i="2"/>
  <c r="G58" i="2" s="1"/>
  <c r="W94" i="2"/>
  <c r="AA94" i="2" s="1"/>
  <c r="W96" i="2"/>
  <c r="AA96" i="2" s="1"/>
  <c r="W98" i="2"/>
  <c r="AA98" i="2" s="1"/>
  <c r="W100" i="2"/>
  <c r="AA100" i="2" s="1"/>
  <c r="W102" i="2"/>
  <c r="AA102" i="2" s="1"/>
  <c r="W104" i="2"/>
  <c r="AA104" i="2" s="1"/>
  <c r="W99" i="2"/>
  <c r="AA99" i="2" s="1"/>
  <c r="W95" i="2"/>
  <c r="AA95" i="2" s="1"/>
  <c r="W97" i="2"/>
  <c r="AA97" i="2" s="1"/>
  <c r="W105" i="2"/>
  <c r="AA105" i="2" s="1"/>
  <c r="W103" i="2"/>
  <c r="AA103" i="2" s="1"/>
  <c r="W101" i="2"/>
  <c r="AA101" i="2" s="1"/>
</calcChain>
</file>

<file path=xl/sharedStrings.xml><?xml version="1.0" encoding="utf-8"?>
<sst xmlns="http://schemas.openxmlformats.org/spreadsheetml/2006/main" count="477" uniqueCount="124">
  <si>
    <t>"4-3"</t>
  </si>
  <si>
    <t>Longitud</t>
  </si>
  <si>
    <t>Angulo</t>
  </si>
  <si>
    <t>Elemento 3</t>
  </si>
  <si>
    <t>cos</t>
  </si>
  <si>
    <t>sen</t>
  </si>
  <si>
    <t>E</t>
  </si>
  <si>
    <t xml:space="preserve">A </t>
  </si>
  <si>
    <t>I</t>
  </si>
  <si>
    <t>AE/L</t>
  </si>
  <si>
    <t>EI</t>
  </si>
  <si>
    <t>2EI/L</t>
  </si>
  <si>
    <t>4EI/L</t>
  </si>
  <si>
    <t>6EI/L^2</t>
  </si>
  <si>
    <t>12EI/L^3</t>
  </si>
  <si>
    <t xml:space="preserve">  </t>
  </si>
  <si>
    <r>
      <t>X</t>
    </r>
    <r>
      <rPr>
        <sz val="8"/>
        <color theme="1"/>
        <rFont val="Calibri"/>
        <family val="2"/>
        <scheme val="minor"/>
      </rPr>
      <t>4-3</t>
    </r>
  </si>
  <si>
    <r>
      <t>Y</t>
    </r>
    <r>
      <rPr>
        <sz val="8"/>
        <color theme="1"/>
        <rFont val="Calibri"/>
        <family val="2"/>
        <scheme val="minor"/>
      </rPr>
      <t>4-3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</si>
  <si>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4-3</t>
    </r>
  </si>
  <si>
    <r>
      <t>X</t>
    </r>
    <r>
      <rPr>
        <sz val="8"/>
        <color theme="1"/>
        <rFont val="Calibri"/>
        <family val="2"/>
        <scheme val="minor"/>
      </rPr>
      <t>3-4</t>
    </r>
  </si>
  <si>
    <r>
      <t>Y</t>
    </r>
    <r>
      <rPr>
        <sz val="8"/>
        <color theme="1"/>
        <rFont val="Calibri"/>
        <family val="2"/>
        <scheme val="minor"/>
      </rPr>
      <t>3-4</t>
    </r>
  </si>
  <si>
    <r>
      <t>M</t>
    </r>
    <r>
      <rPr>
        <sz val="8"/>
        <color theme="1"/>
        <rFont val="Calibri"/>
        <family val="2"/>
        <scheme val="minor"/>
      </rPr>
      <t>3-4</t>
    </r>
  </si>
  <si>
    <t>=</t>
  </si>
  <si>
    <t>W2*L</t>
  </si>
  <si>
    <t>*</t>
  </si>
  <si>
    <r>
      <rPr>
        <b/>
        <sz val="16"/>
        <color theme="1"/>
        <rFont val="Calibri"/>
        <family val="2"/>
        <scheme val="minor"/>
      </rPr>
      <t>T</t>
    </r>
    <r>
      <rPr>
        <b/>
        <sz val="8"/>
        <color theme="1"/>
        <rFont val="Calibri"/>
        <family val="2"/>
        <scheme val="minor"/>
      </rPr>
      <t>L-G</t>
    </r>
  </si>
  <si>
    <t>MIU</t>
  </si>
  <si>
    <t>LANDA</t>
  </si>
  <si>
    <r>
      <rPr>
        <sz val="16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1</t>
    </r>
  </si>
  <si>
    <r>
      <rPr>
        <sz val="16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>1</t>
    </r>
  </si>
  <si>
    <r>
      <rPr>
        <sz val="16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2</t>
    </r>
  </si>
  <si>
    <r>
      <rPr>
        <sz val="16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>2</t>
    </r>
  </si>
  <si>
    <r>
      <rPr>
        <sz val="16"/>
        <color theme="1"/>
        <rFont val="Calibri"/>
        <family val="2"/>
        <scheme val="minor"/>
      </rPr>
      <t>ø</t>
    </r>
    <r>
      <rPr>
        <sz val="8"/>
        <color theme="1"/>
        <rFont val="Calibri"/>
        <family val="2"/>
        <scheme val="minor"/>
      </rPr>
      <t>1</t>
    </r>
  </si>
  <si>
    <r>
      <rPr>
        <sz val="16"/>
        <color theme="1"/>
        <rFont val="Calibri"/>
        <family val="2"/>
        <scheme val="minor"/>
      </rPr>
      <t>ø</t>
    </r>
    <r>
      <rPr>
        <sz val="8"/>
        <color theme="1"/>
        <rFont val="Calibri"/>
        <family val="2"/>
        <scheme val="minor"/>
      </rPr>
      <t>2</t>
    </r>
  </si>
  <si>
    <t>+</t>
  </si>
  <si>
    <t>Elemento 2</t>
  </si>
  <si>
    <t>"2-4"</t>
  </si>
  <si>
    <r>
      <t>X</t>
    </r>
    <r>
      <rPr>
        <sz val="8"/>
        <color theme="1"/>
        <rFont val="Calibri"/>
        <family val="2"/>
        <scheme val="minor"/>
      </rPr>
      <t>4-2</t>
    </r>
  </si>
  <si>
    <r>
      <t>Y</t>
    </r>
    <r>
      <rPr>
        <sz val="8"/>
        <color theme="1"/>
        <rFont val="Calibri"/>
        <family val="2"/>
        <scheme val="minor"/>
      </rPr>
      <t>4-2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</si>
  <si>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4-2</t>
    </r>
  </si>
  <si>
    <r>
      <t>X</t>
    </r>
    <r>
      <rPr>
        <sz val="8"/>
        <color theme="1"/>
        <rFont val="Calibri"/>
        <family val="2"/>
        <scheme val="minor"/>
      </rPr>
      <t>2-4</t>
    </r>
  </si>
  <si>
    <r>
      <t>Y</t>
    </r>
    <r>
      <rPr>
        <sz val="8"/>
        <color theme="1"/>
        <rFont val="Calibri"/>
        <family val="2"/>
        <scheme val="minor"/>
      </rPr>
      <t>2-4</t>
    </r>
  </si>
  <si>
    <r>
      <t>M</t>
    </r>
    <r>
      <rPr>
        <sz val="8"/>
        <color theme="1"/>
        <rFont val="Calibri"/>
        <family val="2"/>
        <scheme val="minor"/>
      </rPr>
      <t>2-4</t>
    </r>
  </si>
  <si>
    <t>landa</t>
  </si>
  <si>
    <t>miu</t>
  </si>
  <si>
    <r>
      <rPr>
        <sz val="16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4</t>
    </r>
  </si>
  <si>
    <r>
      <rPr>
        <sz val="16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>4</t>
    </r>
  </si>
  <si>
    <r>
      <rPr>
        <sz val="16"/>
        <color theme="1"/>
        <rFont val="Calibri"/>
        <family val="2"/>
        <scheme val="minor"/>
      </rPr>
      <t>ø</t>
    </r>
    <r>
      <rPr>
        <sz val="8"/>
        <color theme="1"/>
        <rFont val="Calibri"/>
        <family val="2"/>
        <scheme val="minor"/>
      </rPr>
      <t>4</t>
    </r>
  </si>
  <si>
    <r>
      <rPr>
        <sz val="16"/>
        <color theme="1"/>
        <rFont val="Calibri"/>
        <family val="2"/>
        <scheme val="minor"/>
      </rPr>
      <t>u</t>
    </r>
    <r>
      <rPr>
        <sz val="8"/>
        <color theme="1"/>
        <rFont val="Calibri"/>
        <family val="2"/>
        <scheme val="minor"/>
      </rPr>
      <t>3</t>
    </r>
  </si>
  <si>
    <r>
      <rPr>
        <sz val="16"/>
        <color theme="1"/>
        <rFont val="Calibri"/>
        <family val="2"/>
        <scheme val="minor"/>
      </rPr>
      <t>v</t>
    </r>
    <r>
      <rPr>
        <sz val="8"/>
        <color theme="1"/>
        <rFont val="Calibri"/>
        <family val="2"/>
        <scheme val="minor"/>
      </rPr>
      <t>3</t>
    </r>
  </si>
  <si>
    <r>
      <rPr>
        <sz val="16"/>
        <color theme="1"/>
        <rFont val="Calibri"/>
        <family val="2"/>
        <scheme val="minor"/>
      </rPr>
      <t>ø</t>
    </r>
    <r>
      <rPr>
        <sz val="8"/>
        <color theme="1"/>
        <rFont val="Calibri"/>
        <family val="2"/>
        <scheme val="minor"/>
      </rPr>
      <t>3</t>
    </r>
  </si>
  <si>
    <t>"1-4"</t>
  </si>
  <si>
    <r>
      <t>X</t>
    </r>
    <r>
      <rPr>
        <sz val="8"/>
        <color theme="1"/>
        <rFont val="Calibri"/>
        <family val="2"/>
        <scheme val="minor"/>
      </rPr>
      <t>1-4</t>
    </r>
  </si>
  <si>
    <r>
      <t>Y</t>
    </r>
    <r>
      <rPr>
        <sz val="8"/>
        <color theme="1"/>
        <rFont val="Calibri"/>
        <family val="2"/>
        <scheme val="minor"/>
      </rPr>
      <t>1-4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</si>
  <si>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1-4</t>
    </r>
  </si>
  <si>
    <r>
      <t>X</t>
    </r>
    <r>
      <rPr>
        <sz val="8"/>
        <color theme="1"/>
        <rFont val="Calibri"/>
        <family val="2"/>
        <scheme val="minor"/>
      </rPr>
      <t>4-1</t>
    </r>
  </si>
  <si>
    <r>
      <t>Y</t>
    </r>
    <r>
      <rPr>
        <sz val="8"/>
        <color theme="1"/>
        <rFont val="Calibri"/>
        <family val="2"/>
        <scheme val="minor"/>
      </rPr>
      <t>4-1</t>
    </r>
  </si>
  <si>
    <r>
      <t>M</t>
    </r>
    <r>
      <rPr>
        <sz val="8"/>
        <color theme="1"/>
        <rFont val="Calibri"/>
        <family val="2"/>
        <scheme val="minor"/>
      </rPr>
      <t>4-1</t>
    </r>
  </si>
  <si>
    <r>
      <t>X</t>
    </r>
    <r>
      <rPr>
        <sz val="8"/>
        <color theme="1"/>
        <rFont val="Calibri"/>
        <family val="2"/>
        <scheme val="minor"/>
      </rPr>
      <t>4</t>
    </r>
  </si>
  <si>
    <r>
      <t>Y</t>
    </r>
    <r>
      <rPr>
        <sz val="8"/>
        <color theme="1"/>
        <rFont val="Calibri"/>
        <family val="2"/>
        <scheme val="minor"/>
      </rPr>
      <t>4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</si>
  <si>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4</t>
    </r>
  </si>
  <si>
    <t>u4</t>
  </si>
  <si>
    <t>v4</t>
  </si>
  <si>
    <r>
      <t>X</t>
    </r>
    <r>
      <rPr>
        <sz val="8"/>
        <color theme="1"/>
        <rFont val="Calibri"/>
        <family val="2"/>
        <scheme val="minor"/>
      </rPr>
      <t>1</t>
    </r>
  </si>
  <si>
    <r>
      <t>Y</t>
    </r>
    <r>
      <rPr>
        <sz val="8"/>
        <color theme="1"/>
        <rFont val="Calibri"/>
        <family val="2"/>
        <scheme val="minor"/>
      </rPr>
      <t>1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</si>
  <si>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</si>
  <si>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  <scheme val="minor"/>
      </rPr>
      <t>2</t>
    </r>
  </si>
  <si>
    <r>
      <t>Y</t>
    </r>
    <r>
      <rPr>
        <sz val="8"/>
        <color theme="1"/>
        <rFont val="Calibri"/>
        <family val="2"/>
        <scheme val="minor"/>
      </rPr>
      <t>2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</si>
  <si>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2</t>
    </r>
  </si>
  <si>
    <r>
      <t>X</t>
    </r>
    <r>
      <rPr>
        <sz val="8"/>
        <color theme="1"/>
        <rFont val="Calibri"/>
        <family val="2"/>
        <scheme val="minor"/>
      </rPr>
      <t>3</t>
    </r>
  </si>
  <si>
    <r>
      <t>Y</t>
    </r>
    <r>
      <rPr>
        <sz val="8"/>
        <color theme="1"/>
        <rFont val="Calibri"/>
        <family val="2"/>
        <scheme val="minor"/>
      </rPr>
      <t>3</t>
    </r>
  </si>
  <si>
    <r>
      <rPr>
        <sz val="16"/>
        <color theme="1"/>
        <rFont val="Calibri"/>
        <family val="2"/>
        <scheme val="minor"/>
      </rPr>
      <t>M</t>
    </r>
    <r>
      <rPr>
        <sz val="8"/>
        <color theme="1"/>
        <rFont val="Calibri"/>
        <family val="2"/>
        <scheme val="minor"/>
      </rPr>
      <t>3</t>
    </r>
  </si>
  <si>
    <r>
      <t>u</t>
    </r>
    <r>
      <rPr>
        <sz val="8"/>
        <color rgb="FF000000"/>
        <rFont val="Calibri"/>
        <family val="2"/>
        <scheme val="minor"/>
      </rPr>
      <t>3</t>
    </r>
  </si>
  <si>
    <r>
      <t>v</t>
    </r>
    <r>
      <rPr>
        <sz val="8"/>
        <color rgb="FF000000"/>
        <rFont val="Calibri"/>
        <family val="2"/>
        <scheme val="minor"/>
      </rPr>
      <t>3</t>
    </r>
  </si>
  <si>
    <r>
      <t>ø</t>
    </r>
    <r>
      <rPr>
        <sz val="8"/>
        <color rgb="FF000000"/>
        <rFont val="Calibri"/>
        <family val="2"/>
        <scheme val="minor"/>
      </rPr>
      <t>3</t>
    </r>
  </si>
  <si>
    <t>Elemento</t>
  </si>
  <si>
    <t>K"4-3"</t>
  </si>
  <si>
    <t>t4</t>
  </si>
  <si>
    <t>u3</t>
  </si>
  <si>
    <t>v3</t>
  </si>
  <si>
    <t>t3</t>
  </si>
  <si>
    <t>Miu^2</t>
  </si>
  <si>
    <t>Landa^"</t>
  </si>
  <si>
    <t>K"2-4"</t>
  </si>
  <si>
    <t>v2</t>
  </si>
  <si>
    <t>t2</t>
  </si>
  <si>
    <t>u2</t>
  </si>
  <si>
    <t>K"1-4"</t>
  </si>
  <si>
    <t>u1</t>
  </si>
  <si>
    <t>v1</t>
  </si>
  <si>
    <t>t1</t>
  </si>
  <si>
    <t>X4-3</t>
  </si>
  <si>
    <t>Y4-3</t>
  </si>
  <si>
    <t>M4-3</t>
  </si>
  <si>
    <t>X3-4</t>
  </si>
  <si>
    <t>Y3-4</t>
  </si>
  <si>
    <t>M3-4</t>
  </si>
  <si>
    <t>TL-G</t>
  </si>
  <si>
    <t>x1-4</t>
  </si>
  <si>
    <t>y1-4</t>
  </si>
  <si>
    <t>M1-4</t>
  </si>
  <si>
    <t>x4-1</t>
  </si>
  <si>
    <t>y4-1</t>
  </si>
  <si>
    <t>m4-1</t>
  </si>
  <si>
    <t>x2-4</t>
  </si>
  <si>
    <t>y2-4</t>
  </si>
  <si>
    <t>M2-4</t>
  </si>
  <si>
    <t>x4-2</t>
  </si>
  <si>
    <t>y4-2</t>
  </si>
  <si>
    <t>m4-2</t>
  </si>
  <si>
    <t>X1</t>
  </si>
  <si>
    <t>Y1</t>
  </si>
  <si>
    <t>M1</t>
  </si>
  <si>
    <t>X2</t>
  </si>
  <si>
    <t>Y2</t>
  </si>
  <si>
    <t>M2</t>
  </si>
  <si>
    <t>X3</t>
  </si>
  <si>
    <t>Y3</t>
  </si>
  <si>
    <t>M3</t>
  </si>
  <si>
    <t>X4</t>
  </si>
  <si>
    <t>Y4</t>
  </si>
  <si>
    <t>M4</t>
  </si>
  <si>
    <t>-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</si>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</sst>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6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660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/>
      <right/>
      <top style="thick">
        <color auto="1"/>
      </top>
      <bottom/>
      <diagonal/>
    </border>
  </borders>
  <cellStyleXfs count="3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9" xfId="0" applyBorder="1"/>
    <xf numFmtId="1" fontId="1" fillId="0" borderId="10" xfId="0" applyNumberFormat="1" applyFon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5" xfId="0" applyBorder="1"/>
    <xf numFmtId="0" fontId="0" fillId="0" borderId="7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 applyAlignment="1">
      <alignment horizontal="center"/>
    </xf>
    <xf numFmtId="16" fontId="0" fillId="2" borderId="1" xfId="0" applyNumberFormat="1" applyFill="1" applyBorder="1" applyAlignment="1">
      <alignment horizontal="center"/>
    </xf>
    <xf numFmtId="1" fontId="1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0" borderId="0" xfId="0" applyFill="1" applyBorder="1"/>
    <xf numFmtId="1" fontId="1" fillId="0" borderId="6" xfId="0" applyNumberFormat="1" applyFont="1" applyBorder="1" applyAlignment="1">
      <alignment horizontal="center"/>
    </xf>
    <xf numFmtId="1" fontId="0" fillId="0" borderId="0" xfId="0" applyNumberFormat="1"/>
    <xf numFmtId="0" fontId="4" fillId="2" borderId="0" xfId="0" applyFont="1" applyFill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0" fontId="0" fillId="2" borderId="0" xfId="0" applyFill="1"/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1" fontId="0" fillId="2" borderId="0" xfId="0" applyNumberFormat="1" applyFill="1"/>
    <xf numFmtId="0" fontId="0" fillId="0" borderId="0" xfId="0" applyFill="1"/>
    <xf numFmtId="0" fontId="0" fillId="0" borderId="0" xfId="0" applyFill="1" applyBorder="1" applyAlignment="1">
      <alignment horizontal="center"/>
    </xf>
    <xf numFmtId="164" fontId="0" fillId="0" borderId="0" xfId="0" applyNumberFormat="1"/>
    <xf numFmtId="0" fontId="0" fillId="0" borderId="11" xfId="0" applyFill="1" applyBorder="1" applyAlignment="1">
      <alignment horizontal="center"/>
    </xf>
    <xf numFmtId="0" fontId="8" fillId="0" borderId="0" xfId="0" applyFont="1"/>
    <xf numFmtId="0" fontId="11" fillId="0" borderId="0" xfId="0" applyFont="1"/>
    <xf numFmtId="0" fontId="12" fillId="0" borderId="0" xfId="0" applyFont="1"/>
    <xf numFmtId="1" fontId="12" fillId="0" borderId="0" xfId="0" applyNumberFormat="1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1" fillId="0" borderId="2" xfId="0" applyFont="1" applyBorder="1"/>
    <xf numFmtId="0" fontId="11" fillId="0" borderId="3" xfId="0" applyFont="1" applyBorder="1"/>
    <xf numFmtId="0" fontId="11" fillId="0" borderId="5" xfId="0" applyFont="1" applyBorder="1"/>
    <xf numFmtId="0" fontId="11" fillId="0" borderId="0" xfId="0" applyFont="1" applyBorder="1"/>
    <xf numFmtId="0" fontId="12" fillId="0" borderId="0" xfId="0" applyFont="1" applyBorder="1"/>
    <xf numFmtId="0" fontId="12" fillId="0" borderId="6" xfId="0" applyFont="1" applyBorder="1"/>
    <xf numFmtId="0" fontId="12" fillId="0" borderId="8" xfId="0" applyFont="1" applyBorder="1"/>
    <xf numFmtId="0" fontId="12" fillId="0" borderId="9" xfId="0" applyFont="1" applyBorder="1"/>
    <xf numFmtId="0" fontId="0" fillId="0" borderId="0" xfId="0" applyAlignment="1">
      <alignment horizontal="right"/>
    </xf>
    <xf numFmtId="0" fontId="11" fillId="0" borderId="6" xfId="0" applyFont="1" applyBorder="1"/>
    <xf numFmtId="0" fontId="11" fillId="0" borderId="10" xfId="0" applyFont="1" applyFill="1" applyBorder="1"/>
    <xf numFmtId="0" fontId="11" fillId="0" borderId="11" xfId="0" applyFont="1" applyFill="1" applyBorder="1"/>
    <xf numFmtId="0" fontId="0" fillId="0" borderId="11" xfId="0" applyBorder="1"/>
    <xf numFmtId="1" fontId="0" fillId="0" borderId="11" xfId="0" applyNumberFormat="1" applyBorder="1"/>
    <xf numFmtId="1" fontId="12" fillId="0" borderId="11" xfId="0" applyNumberFormat="1" applyFont="1" applyBorder="1"/>
    <xf numFmtId="1" fontId="12" fillId="0" borderId="12" xfId="0" applyNumberFormat="1" applyFont="1" applyBorder="1"/>
    <xf numFmtId="0" fontId="0" fillId="0" borderId="10" xfId="0" applyBorder="1"/>
    <xf numFmtId="0" fontId="0" fillId="0" borderId="12" xfId="0" applyBorder="1"/>
    <xf numFmtId="0" fontId="0" fillId="3" borderId="10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4" borderId="0" xfId="0" applyFill="1"/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3" fillId="0" borderId="11" xfId="0" applyFont="1" applyBorder="1"/>
    <xf numFmtId="0" fontId="13" fillId="0" borderId="12" xfId="0" applyFont="1" applyBorder="1"/>
    <xf numFmtId="0" fontId="0" fillId="0" borderId="1" xfId="0" applyFill="1" applyBorder="1" applyAlignment="1">
      <alignment horizontal="center"/>
    </xf>
    <xf numFmtId="0" fontId="0" fillId="0" borderId="1" xfId="0" applyBorder="1"/>
    <xf numFmtId="0" fontId="11" fillId="0" borderId="0" xfId="0" applyFont="1" applyFill="1" applyBorder="1"/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1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2" fillId="0" borderId="4" xfId="0" applyFont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12" fillId="0" borderId="5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2" fillId="0" borderId="7" xfId="0" applyFont="1" applyBorder="1" applyAlignment="1">
      <alignment horizontal="center"/>
    </xf>
    <xf numFmtId="0" fontId="12" fillId="0" borderId="8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0" fillId="4" borderId="0" xfId="0" applyFill="1" applyAlignment="1">
      <alignment horizontal="center"/>
    </xf>
    <xf numFmtId="3" fontId="0" fillId="0" borderId="0" xfId="0" applyNumberFormat="1"/>
  </cellXfs>
  <cellStyles count="32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Q68"/>
  <sheetViews>
    <sheetView tabSelected="1" topLeftCell="D5" zoomScaleNormal="100" workbookViewId="0">
      <selection activeCell="E15" sqref="E15"/>
    </sheetView>
  </sheetViews>
  <sheetFormatPr baseColWidth="10" defaultRowHeight="15.75" x14ac:dyDescent="0.25"/>
  <cols>
    <col min="9" max="9" width="3.5" customWidth="1"/>
    <col min="16" max="16" width="3.875" customWidth="1"/>
    <col min="18" max="18" width="3.5" customWidth="1"/>
    <col min="26" max="26" width="12.125" bestFit="1" customWidth="1"/>
    <col min="27" max="29" width="12.875" bestFit="1" customWidth="1"/>
  </cols>
  <sheetData>
    <row r="1" spans="3:33" x14ac:dyDescent="0.25">
      <c r="U1" s="29"/>
      <c r="V1" s="8"/>
    </row>
    <row r="2" spans="3:33" x14ac:dyDescent="0.25">
      <c r="U2" s="29"/>
      <c r="V2" s="8"/>
    </row>
    <row r="3" spans="3:33" x14ac:dyDescent="0.25">
      <c r="U3" s="29"/>
      <c r="V3" s="8"/>
    </row>
    <row r="4" spans="3:33" x14ac:dyDescent="0.25">
      <c r="G4" t="s">
        <v>23</v>
      </c>
      <c r="H4">
        <f>12*E9/2</f>
        <v>24</v>
      </c>
      <c r="U4" s="29"/>
      <c r="V4" s="8"/>
    </row>
    <row r="5" spans="3:33" ht="21" x14ac:dyDescent="0.35">
      <c r="G5" s="3" t="s">
        <v>21</v>
      </c>
      <c r="H5">
        <f>12*E9^2/12</f>
        <v>16</v>
      </c>
      <c r="U5" s="29"/>
      <c r="V5" s="8"/>
    </row>
    <row r="6" spans="3:33" x14ac:dyDescent="0.25">
      <c r="U6" s="29"/>
      <c r="V6" s="8"/>
    </row>
    <row r="7" spans="3:33" ht="16.5" thickBot="1" x14ac:dyDescent="0.3">
      <c r="U7" s="29"/>
      <c r="V7" s="8"/>
    </row>
    <row r="8" spans="3:33" ht="16.5" thickBot="1" x14ac:dyDescent="0.3">
      <c r="D8" s="33" t="s">
        <v>3</v>
      </c>
      <c r="E8" s="34" t="s">
        <v>0</v>
      </c>
      <c r="H8" s="2"/>
      <c r="U8" s="29"/>
      <c r="V8" s="8"/>
    </row>
    <row r="9" spans="3:33" ht="16.5" thickBot="1" x14ac:dyDescent="0.3">
      <c r="D9" s="31" t="s">
        <v>1</v>
      </c>
      <c r="E9" s="32">
        <v>4</v>
      </c>
      <c r="U9" s="29"/>
      <c r="V9" s="8"/>
    </row>
    <row r="10" spans="3:33" ht="21.75" thickBot="1" x14ac:dyDescent="0.4">
      <c r="D10" s="31" t="s">
        <v>2</v>
      </c>
      <c r="E10" s="32">
        <v>90</v>
      </c>
      <c r="H10" s="17" t="s">
        <v>16</v>
      </c>
      <c r="J10" s="4">
        <f>E15</f>
        <v>-0.44807361612917013</v>
      </c>
      <c r="K10" s="5">
        <f>-E14</f>
        <v>-0.89399666360055785</v>
      </c>
      <c r="L10" s="5">
        <v>0</v>
      </c>
      <c r="M10" s="5">
        <v>0</v>
      </c>
      <c r="N10" s="5">
        <v>0</v>
      </c>
      <c r="O10" s="21">
        <v>0</v>
      </c>
      <c r="P10" s="8"/>
      <c r="Q10" s="24">
        <v>0</v>
      </c>
      <c r="S10" s="14">
        <f t="array" ref="S10:S15">MMULT(J10:O15,Q10:Q15)</f>
        <v>-21.455919926413387</v>
      </c>
      <c r="U10" s="29"/>
      <c r="V10" s="8"/>
      <c r="W10" s="17" t="s">
        <v>58</v>
      </c>
      <c r="Y10" s="38" t="s">
        <v>16</v>
      </c>
      <c r="Z10" s="36"/>
      <c r="AA10" s="36" t="s">
        <v>37</v>
      </c>
      <c r="AB10" s="36"/>
      <c r="AC10" s="36" t="s">
        <v>55</v>
      </c>
      <c r="AD10" s="38"/>
      <c r="AE10" s="35" t="s">
        <v>45</v>
      </c>
      <c r="AF10" s="8"/>
      <c r="AG10">
        <v>0</v>
      </c>
    </row>
    <row r="11" spans="3:33" ht="21.75" thickBot="1" x14ac:dyDescent="0.4">
      <c r="D11" s="31" t="s">
        <v>6</v>
      </c>
      <c r="E11" s="32">
        <v>20000000</v>
      </c>
      <c r="H11" s="18" t="s">
        <v>17</v>
      </c>
      <c r="J11" s="6">
        <f>E14</f>
        <v>0.89399666360055785</v>
      </c>
      <c r="K11" s="7">
        <f>E15</f>
        <v>-0.44807361612917013</v>
      </c>
      <c r="L11" s="7">
        <v>0</v>
      </c>
      <c r="M11" s="7">
        <v>0</v>
      </c>
      <c r="N11" s="7">
        <v>0</v>
      </c>
      <c r="O11" s="22">
        <v>0</v>
      </c>
      <c r="P11" s="8"/>
      <c r="Q11" s="19">
        <f>H4</f>
        <v>24</v>
      </c>
      <c r="S11" s="15">
        <v>-10.753766787100083</v>
      </c>
      <c r="U11" s="29"/>
      <c r="V11" s="8"/>
      <c r="W11" s="18" t="s">
        <v>59</v>
      </c>
      <c r="X11" t="s">
        <v>22</v>
      </c>
      <c r="Y11" s="38" t="s">
        <v>17</v>
      </c>
      <c r="Z11" s="36" t="s">
        <v>34</v>
      </c>
      <c r="AA11" s="36" t="s">
        <v>38</v>
      </c>
      <c r="AB11" s="36" t="s">
        <v>34</v>
      </c>
      <c r="AC11" s="36" t="s">
        <v>56</v>
      </c>
      <c r="AD11" s="38" t="s">
        <v>24</v>
      </c>
      <c r="AE11" s="35" t="s">
        <v>46</v>
      </c>
      <c r="AF11" s="37" t="s">
        <v>22</v>
      </c>
      <c r="AG11">
        <v>-50</v>
      </c>
    </row>
    <row r="12" spans="3:33" ht="21.75" thickBot="1" x14ac:dyDescent="0.4">
      <c r="D12" s="31" t="s">
        <v>7</v>
      </c>
      <c r="E12" s="32">
        <v>0.36</v>
      </c>
      <c r="H12" s="19" t="s">
        <v>18</v>
      </c>
      <c r="I12" s="1" t="s">
        <v>22</v>
      </c>
      <c r="J12" s="6">
        <v>0</v>
      </c>
      <c r="K12" s="7">
        <v>0</v>
      </c>
      <c r="L12" s="7">
        <v>1</v>
      </c>
      <c r="M12" s="7">
        <v>0</v>
      </c>
      <c r="N12" s="7">
        <v>0</v>
      </c>
      <c r="O12" s="22">
        <v>0</v>
      </c>
      <c r="P12" s="7" t="s">
        <v>24</v>
      </c>
      <c r="Q12" s="19">
        <f>H5</f>
        <v>16</v>
      </c>
      <c r="R12" s="1" t="s">
        <v>22</v>
      </c>
      <c r="S12" s="15">
        <v>16</v>
      </c>
      <c r="U12" s="29"/>
      <c r="V12" s="8"/>
      <c r="W12" s="16" t="s">
        <v>60</v>
      </c>
      <c r="Y12" s="39" t="s">
        <v>18</v>
      </c>
      <c r="Z12" s="7"/>
      <c r="AA12" s="7" t="s">
        <v>39</v>
      </c>
      <c r="AB12" s="7"/>
      <c r="AC12" s="36" t="s">
        <v>57</v>
      </c>
      <c r="AD12" s="38"/>
      <c r="AE12" s="35" t="s">
        <v>47</v>
      </c>
      <c r="AF12" s="8"/>
      <c r="AG12">
        <v>0</v>
      </c>
    </row>
    <row r="13" spans="3:33" ht="21.75" thickBot="1" x14ac:dyDescent="0.4">
      <c r="D13" s="31" t="s">
        <v>8</v>
      </c>
      <c r="E13" s="32">
        <v>3.888E-3</v>
      </c>
      <c r="H13" s="18" t="s">
        <v>19</v>
      </c>
      <c r="I13" s="1"/>
      <c r="J13" s="6">
        <v>0</v>
      </c>
      <c r="K13" s="7">
        <v>0</v>
      </c>
      <c r="L13" s="7">
        <v>0</v>
      </c>
      <c r="M13" s="7">
        <f t="shared" ref="M13:N14" si="0">J10</f>
        <v>-0.44807361612917013</v>
      </c>
      <c r="N13" s="7">
        <f t="shared" si="0"/>
        <v>-0.89399666360055785</v>
      </c>
      <c r="O13" s="22">
        <v>0</v>
      </c>
      <c r="P13" s="8"/>
      <c r="Q13" s="25">
        <v>0</v>
      </c>
      <c r="S13" s="15">
        <v>-21.455919926413387</v>
      </c>
      <c r="U13" s="29"/>
      <c r="V13" s="8"/>
      <c r="AE13" s="8"/>
    </row>
    <row r="14" spans="3:33" ht="21.75" thickBot="1" x14ac:dyDescent="0.4">
      <c r="C14" t="s">
        <v>26</v>
      </c>
      <c r="D14" s="31" t="s">
        <v>5</v>
      </c>
      <c r="E14" s="32">
        <f>SIN(E10)</f>
        <v>0.89399666360055785</v>
      </c>
      <c r="H14" s="18" t="s">
        <v>20</v>
      </c>
      <c r="J14" s="6">
        <v>0</v>
      </c>
      <c r="K14" s="7">
        <v>0</v>
      </c>
      <c r="L14" s="7">
        <v>0</v>
      </c>
      <c r="M14" s="7">
        <f t="shared" si="0"/>
        <v>0.89399666360055785</v>
      </c>
      <c r="N14" s="7">
        <f t="shared" si="0"/>
        <v>-0.44807361612917013</v>
      </c>
      <c r="O14" s="22">
        <v>0</v>
      </c>
      <c r="P14" s="8"/>
      <c r="Q14" s="19">
        <f>H4</f>
        <v>24</v>
      </c>
      <c r="S14" s="15">
        <v>-10.753766787100083</v>
      </c>
      <c r="U14" s="29"/>
      <c r="V14" s="8"/>
    </row>
    <row r="15" spans="3:33" ht="21.75" thickBot="1" x14ac:dyDescent="0.4">
      <c r="C15" t="s">
        <v>27</v>
      </c>
      <c r="D15" s="31" t="s">
        <v>4</v>
      </c>
      <c r="E15" s="32">
        <f>COS(E10)</f>
        <v>-0.44807361612917013</v>
      </c>
      <c r="H15" s="20" t="s">
        <v>21</v>
      </c>
      <c r="J15" s="10">
        <v>0</v>
      </c>
      <c r="K15" s="11">
        <v>0</v>
      </c>
      <c r="L15" s="11">
        <v>0</v>
      </c>
      <c r="M15" s="11">
        <v>0</v>
      </c>
      <c r="N15" s="11">
        <v>0</v>
      </c>
      <c r="O15" s="23">
        <v>1</v>
      </c>
      <c r="P15" s="8"/>
      <c r="Q15" s="26">
        <f>-H5</f>
        <v>-16</v>
      </c>
      <c r="S15" s="16">
        <v>-16</v>
      </c>
      <c r="U15" s="29"/>
      <c r="V15" s="8"/>
    </row>
    <row r="16" spans="3:33" ht="21.75" thickBot="1" x14ac:dyDescent="0.4">
      <c r="D16" s="31" t="s">
        <v>9</v>
      </c>
      <c r="E16" s="32">
        <f>E12*E11/E9</f>
        <v>1800000</v>
      </c>
      <c r="H16" t="s">
        <v>15</v>
      </c>
      <c r="J16" s="2" t="s">
        <v>25</v>
      </c>
      <c r="U16" s="29"/>
      <c r="V16" s="8"/>
    </row>
    <row r="17" spans="3:43" ht="21.75" thickBot="1" x14ac:dyDescent="0.4">
      <c r="D17" s="31" t="s">
        <v>10</v>
      </c>
      <c r="E17" s="32">
        <f>E11*E13</f>
        <v>77760</v>
      </c>
      <c r="U17" s="29"/>
      <c r="V17" s="8"/>
      <c r="W17" s="17" t="s">
        <v>58</v>
      </c>
      <c r="Y17">
        <f>J21+J33+M57</f>
        <v>442881.72999704676</v>
      </c>
      <c r="Z17">
        <f>K21+K33+N57</f>
        <v>-690542.51300857682</v>
      </c>
      <c r="AA17">
        <f>L21+L33+O57</f>
        <v>-26351.785423066885</v>
      </c>
    </row>
    <row r="18" spans="3:43" ht="21.75" thickBot="1" x14ac:dyDescent="0.4">
      <c r="D18" s="31" t="s">
        <v>11</v>
      </c>
      <c r="E18" s="32">
        <f>2*E17/E9</f>
        <v>38880</v>
      </c>
      <c r="U18" s="29"/>
      <c r="V18" s="8"/>
      <c r="W18" s="18" t="s">
        <v>59</v>
      </c>
      <c r="X18" t="s">
        <v>22</v>
      </c>
    </row>
    <row r="19" spans="3:43" ht="21.75" thickBot="1" x14ac:dyDescent="0.4">
      <c r="D19" s="31" t="s">
        <v>12</v>
      </c>
      <c r="E19" s="32">
        <f>2*E18</f>
        <v>77760</v>
      </c>
      <c r="U19" s="29"/>
      <c r="V19" s="8"/>
      <c r="W19" s="16" t="s">
        <v>60</v>
      </c>
    </row>
    <row r="20" spans="3:43" ht="21.75" thickBot="1" x14ac:dyDescent="0.4">
      <c r="D20" s="31" t="s">
        <v>13</v>
      </c>
      <c r="E20" s="32">
        <f>6*E17/E9^2</f>
        <v>29160</v>
      </c>
      <c r="J20" s="11" t="s">
        <v>45</v>
      </c>
      <c r="K20" s="11" t="s">
        <v>46</v>
      </c>
      <c r="L20" s="11" t="s">
        <v>47</v>
      </c>
      <c r="M20" s="11" t="s">
        <v>48</v>
      </c>
      <c r="N20" s="11" t="s">
        <v>49</v>
      </c>
      <c r="O20" s="11" t="s">
        <v>50</v>
      </c>
      <c r="U20" s="29"/>
      <c r="V20" s="8"/>
    </row>
    <row r="21" spans="3:43" ht="21.75" thickBot="1" x14ac:dyDescent="0.4">
      <c r="D21" s="31" t="s">
        <v>14</v>
      </c>
      <c r="E21" s="32">
        <f>12*E17/E9^3</f>
        <v>14580</v>
      </c>
      <c r="G21" s="17" t="s">
        <v>16</v>
      </c>
      <c r="I21" s="7" t="s">
        <v>45</v>
      </c>
      <c r="J21" s="6">
        <f>(E16*E15^2)+(E21*E14^2)</f>
        <v>373038.7117513594</v>
      </c>
      <c r="K21" s="7">
        <f>(E16-E21)*E14*E15</f>
        <v>-715196.96944594779</v>
      </c>
      <c r="L21" s="7">
        <f>-E20*E14</f>
        <v>-26068.942710592266</v>
      </c>
      <c r="M21" s="7">
        <f>-$J$21</f>
        <v>-373038.7117513594</v>
      </c>
      <c r="N21" s="7">
        <v>-24654.456437370958</v>
      </c>
      <c r="O21" s="21">
        <f>-E20*E14</f>
        <v>-26068.942710592266</v>
      </c>
      <c r="Q21" s="14" t="s">
        <v>45</v>
      </c>
      <c r="S21" s="7" t="s">
        <v>45</v>
      </c>
      <c r="T21" s="42">
        <v>18.000000000000004</v>
      </c>
      <c r="Y21" s="8"/>
      <c r="Z21" s="8"/>
      <c r="AA21" s="8"/>
      <c r="AB21" s="8"/>
    </row>
    <row r="22" spans="3:43" ht="21" x14ac:dyDescent="0.35">
      <c r="G22" s="18" t="s">
        <v>17</v>
      </c>
      <c r="I22" s="7" t="s">
        <v>46</v>
      </c>
      <c r="J22" s="6">
        <v>-24654.456437370958</v>
      </c>
      <c r="K22" s="7">
        <v>24843.018245687366</v>
      </c>
      <c r="L22" s="7">
        <f>E20*E15</f>
        <v>-13065.826646326601</v>
      </c>
      <c r="M22" s="7">
        <v>-24654.456437370958</v>
      </c>
      <c r="N22" s="7">
        <f>-$J$21</f>
        <v>-373038.7117513594</v>
      </c>
      <c r="O22" s="22">
        <f>E20*E15</f>
        <v>-13065.826646326601</v>
      </c>
      <c r="Q22" s="15" t="s">
        <v>46</v>
      </c>
      <c r="S22" s="7" t="s">
        <v>46</v>
      </c>
      <c r="T22" s="42">
        <v>17.999999999999996</v>
      </c>
      <c r="Y22" s="46"/>
      <c r="Z22" s="47" t="s">
        <v>45</v>
      </c>
      <c r="AA22" s="47" t="s">
        <v>46</v>
      </c>
      <c r="AB22" s="47" t="s">
        <v>47</v>
      </c>
      <c r="AC22" s="51" t="s">
        <v>28</v>
      </c>
      <c r="AD22" s="7" t="s">
        <v>29</v>
      </c>
      <c r="AE22" s="7" t="s">
        <v>32</v>
      </c>
      <c r="AF22" s="7" t="s">
        <v>30</v>
      </c>
      <c r="AG22" s="7" t="s">
        <v>31</v>
      </c>
      <c r="AH22" s="7" t="s">
        <v>33</v>
      </c>
      <c r="AI22" s="40" t="s">
        <v>72</v>
      </c>
      <c r="AJ22" s="40" t="s">
        <v>73</v>
      </c>
      <c r="AK22" s="40" t="s">
        <v>74</v>
      </c>
    </row>
    <row r="23" spans="3:43" ht="21" x14ac:dyDescent="0.35">
      <c r="G23" s="19" t="s">
        <v>18</v>
      </c>
      <c r="H23" s="1" t="s">
        <v>22</v>
      </c>
      <c r="I23" s="7" t="s">
        <v>47</v>
      </c>
      <c r="J23" s="6">
        <f>-E20*E14</f>
        <v>-26068.942710592266</v>
      </c>
      <c r="K23" s="7">
        <f>E20*E15</f>
        <v>-13065.826646326601</v>
      </c>
      <c r="L23" s="7">
        <f>E19</f>
        <v>77760</v>
      </c>
      <c r="M23" s="7">
        <f>E20*E14</f>
        <v>26068.942710592266</v>
      </c>
      <c r="N23" s="7">
        <f>-E20*E15</f>
        <v>13065.826646326601</v>
      </c>
      <c r="O23" s="22">
        <f>E18</f>
        <v>38880</v>
      </c>
      <c r="Q23" s="15" t="s">
        <v>47</v>
      </c>
      <c r="R23" s="1" t="s">
        <v>34</v>
      </c>
      <c r="S23" s="7" t="s">
        <v>47</v>
      </c>
      <c r="T23" s="42">
        <v>17.999999999999996</v>
      </c>
      <c r="V23" s="44" t="s">
        <v>58</v>
      </c>
      <c r="W23">
        <v>0</v>
      </c>
      <c r="Y23" s="47" t="s">
        <v>45</v>
      </c>
      <c r="Z23" s="48">
        <v>94686.036491374747</v>
      </c>
      <c r="AA23" s="48">
        <v>3.637978807091713E-12</v>
      </c>
      <c r="AB23" s="48">
        <v>1.1368683772161603E-13</v>
      </c>
      <c r="AC23" s="41">
        <v>-45000</v>
      </c>
      <c r="AD23" s="7">
        <v>0</v>
      </c>
      <c r="AE23" s="41">
        <v>0</v>
      </c>
      <c r="AF23" s="41">
        <v>-24843.018245687384</v>
      </c>
      <c r="AG23" s="41">
        <v>-24654.456437370962</v>
      </c>
      <c r="AH23" s="41">
        <v>-282.84271247461902</v>
      </c>
      <c r="AI23" s="41">
        <v>-24843.018245687366</v>
      </c>
      <c r="AJ23" s="41">
        <v>-24654.456437370958</v>
      </c>
      <c r="AK23" s="41">
        <v>282.84271247461913</v>
      </c>
      <c r="AM23" s="7" t="s">
        <v>45</v>
      </c>
      <c r="AN23" s="7" t="s">
        <v>45</v>
      </c>
      <c r="AP23" s="7" t="s">
        <v>45</v>
      </c>
      <c r="AQ23" s="49">
        <v>18.000000000000004</v>
      </c>
    </row>
    <row r="24" spans="3:43" ht="21" x14ac:dyDescent="0.35">
      <c r="G24" s="18" t="s">
        <v>19</v>
      </c>
      <c r="I24" s="7" t="s">
        <v>48</v>
      </c>
      <c r="J24" s="6">
        <f>-$J$21</f>
        <v>-373038.7117513594</v>
      </c>
      <c r="K24" s="7">
        <v>-24654.456437370958</v>
      </c>
      <c r="L24" s="7">
        <v>-282.84271247461913</v>
      </c>
      <c r="M24" s="7">
        <v>24843.018245687366</v>
      </c>
      <c r="N24" s="7">
        <v>-24654.456437370958</v>
      </c>
      <c r="O24" s="22">
        <f>E20*E14</f>
        <v>26068.942710592266</v>
      </c>
      <c r="Q24" s="15">
        <v>0</v>
      </c>
      <c r="S24" s="7" t="s">
        <v>48</v>
      </c>
      <c r="T24" s="42">
        <v>18.000000000000004</v>
      </c>
      <c r="V24" s="44" t="s">
        <v>59</v>
      </c>
      <c r="W24">
        <v>-50</v>
      </c>
      <c r="Y24" s="47" t="s">
        <v>46</v>
      </c>
      <c r="Z24" s="48">
        <v>3.637978807091713E-12</v>
      </c>
      <c r="AA24" s="48">
        <v>94686.036491374747</v>
      </c>
      <c r="AB24" s="48">
        <v>315.68542494923804</v>
      </c>
      <c r="AC24" s="41">
        <v>0</v>
      </c>
      <c r="AD24" s="7">
        <v>-45000</v>
      </c>
      <c r="AE24" s="8">
        <v>-250</v>
      </c>
      <c r="AF24" s="8">
        <v>-24654.456437370962</v>
      </c>
      <c r="AG24" s="8">
        <v>-24843.018245687384</v>
      </c>
      <c r="AH24" s="8">
        <v>282.84271247461908</v>
      </c>
      <c r="AI24" s="8">
        <v>-24654.456437370958</v>
      </c>
      <c r="AJ24" s="8">
        <v>-24843.018245687366</v>
      </c>
      <c r="AK24" s="8">
        <v>282.84271247461896</v>
      </c>
      <c r="AM24" s="7" t="s">
        <v>46</v>
      </c>
      <c r="AN24" s="7" t="s">
        <v>46</v>
      </c>
      <c r="AP24" s="7" t="s">
        <v>46</v>
      </c>
      <c r="AQ24" s="49">
        <v>90</v>
      </c>
    </row>
    <row r="25" spans="3:43" ht="21" x14ac:dyDescent="0.35">
      <c r="G25" s="18" t="s">
        <v>20</v>
      </c>
      <c r="I25" s="7" t="s">
        <v>49</v>
      </c>
      <c r="J25" s="6">
        <v>-24654.456437370958</v>
      </c>
      <c r="K25" s="7">
        <f>-$J$21</f>
        <v>-373038.7117513594</v>
      </c>
      <c r="L25" s="7">
        <f>-E20*E15</f>
        <v>13065.826646326601</v>
      </c>
      <c r="M25" s="7">
        <v>-24654.456437370958</v>
      </c>
      <c r="N25" s="7">
        <v>24843.018245687366</v>
      </c>
      <c r="O25" s="22">
        <f>-E20*E15</f>
        <v>13065.826646326601</v>
      </c>
      <c r="Q25" s="15">
        <v>0</v>
      </c>
      <c r="S25" s="7" t="s">
        <v>49</v>
      </c>
      <c r="T25" s="42">
        <v>17.999999999999996</v>
      </c>
      <c r="V25" s="45" t="s">
        <v>60</v>
      </c>
      <c r="W25">
        <v>0</v>
      </c>
      <c r="Y25" s="47" t="s">
        <v>47</v>
      </c>
      <c r="Z25" s="48">
        <v>1.1368683772161603E-13</v>
      </c>
      <c r="AA25" s="48">
        <v>315.68542494923804</v>
      </c>
      <c r="AB25" s="48">
        <v>3262.7416997969522</v>
      </c>
      <c r="AC25" s="41">
        <v>0</v>
      </c>
      <c r="AD25" s="7">
        <v>250</v>
      </c>
      <c r="AE25" s="8">
        <v>500</v>
      </c>
      <c r="AF25" s="8">
        <v>282.84271247461902</v>
      </c>
      <c r="AG25" s="8">
        <v>565.68542494923804</v>
      </c>
      <c r="AH25" s="8">
        <v>565.68542494923804</v>
      </c>
      <c r="AI25" s="8">
        <v>-282.84271247461913</v>
      </c>
      <c r="AJ25" s="8">
        <v>-282.84271247461896</v>
      </c>
      <c r="AK25" s="8">
        <v>565.68542494923804</v>
      </c>
      <c r="AM25" s="7" t="s">
        <v>47</v>
      </c>
      <c r="AN25" s="7" t="s">
        <v>47</v>
      </c>
      <c r="AP25" s="7" t="s">
        <v>47</v>
      </c>
      <c r="AQ25" s="49">
        <v>-54</v>
      </c>
    </row>
    <row r="26" spans="3:43" ht="21.75" thickBot="1" x14ac:dyDescent="0.4">
      <c r="G26" s="20" t="s">
        <v>21</v>
      </c>
      <c r="I26" s="7" t="s">
        <v>50</v>
      </c>
      <c r="J26" s="10">
        <f>-E20*E14</f>
        <v>-26068.942710592266</v>
      </c>
      <c r="K26" s="11">
        <f>E20*E15</f>
        <v>-13065.826646326601</v>
      </c>
      <c r="L26" s="11">
        <f>E18</f>
        <v>38880</v>
      </c>
      <c r="M26" s="11">
        <f>E20*E14</f>
        <v>26068.942710592266</v>
      </c>
      <c r="N26" s="11">
        <v>-282.84271247461896</v>
      </c>
      <c r="O26" s="23">
        <f>E19</f>
        <v>77760</v>
      </c>
      <c r="Q26" s="16">
        <v>0</v>
      </c>
      <c r="S26" s="7" t="s">
        <v>50</v>
      </c>
      <c r="T26" s="42">
        <v>-17.999999999999996</v>
      </c>
      <c r="V26" s="37" t="s">
        <v>63</v>
      </c>
      <c r="W26" s="37" t="s">
        <v>63</v>
      </c>
      <c r="X26" s="50"/>
      <c r="Y26" s="51" t="s">
        <v>28</v>
      </c>
      <c r="Z26" s="41">
        <v>-45000</v>
      </c>
      <c r="AA26" s="41">
        <v>0</v>
      </c>
      <c r="AB26" s="41">
        <v>0</v>
      </c>
      <c r="AC26" s="41">
        <v>45000</v>
      </c>
      <c r="AD26" s="8">
        <v>0</v>
      </c>
      <c r="AE26" s="8">
        <v>0</v>
      </c>
      <c r="AF26" s="8"/>
      <c r="AG26" s="8"/>
      <c r="AH26" s="8"/>
      <c r="AI26" s="8"/>
      <c r="AJ26" s="8"/>
      <c r="AK26" s="41"/>
      <c r="AM26" s="7" t="s">
        <v>28</v>
      </c>
      <c r="AN26">
        <v>0</v>
      </c>
      <c r="AP26" s="7" t="s">
        <v>28</v>
      </c>
      <c r="AQ26" s="49">
        <v>0</v>
      </c>
    </row>
    <row r="27" spans="3:43" ht="21" x14ac:dyDescent="0.35">
      <c r="U27" s="29">
        <v>1</v>
      </c>
      <c r="V27" s="36" t="s">
        <v>64</v>
      </c>
      <c r="W27" s="36" t="s">
        <v>64</v>
      </c>
      <c r="X27" s="50"/>
      <c r="Y27" s="7" t="s">
        <v>29</v>
      </c>
      <c r="Z27" s="8">
        <v>0</v>
      </c>
      <c r="AA27" s="8">
        <v>-45000</v>
      </c>
      <c r="AB27" s="8">
        <v>250</v>
      </c>
      <c r="AC27" s="8">
        <v>0</v>
      </c>
      <c r="AD27" s="8">
        <v>45000</v>
      </c>
      <c r="AE27" s="8">
        <v>250</v>
      </c>
      <c r="AF27" s="8"/>
      <c r="AG27" s="8"/>
      <c r="AH27" s="8"/>
      <c r="AI27" s="8"/>
      <c r="AJ27" s="8"/>
      <c r="AK27" s="8"/>
      <c r="AM27" s="7" t="s">
        <v>29</v>
      </c>
      <c r="AN27">
        <v>0</v>
      </c>
      <c r="AP27" s="7" t="s">
        <v>29</v>
      </c>
      <c r="AQ27" s="49">
        <v>72</v>
      </c>
    </row>
    <row r="28" spans="3:43" ht="21.75" thickBot="1" x14ac:dyDescent="0.4">
      <c r="U28" s="29">
        <v>2</v>
      </c>
      <c r="V28" s="35" t="s">
        <v>65</v>
      </c>
      <c r="W28" s="35" t="s">
        <v>65</v>
      </c>
      <c r="X28" s="50" t="s">
        <v>22</v>
      </c>
      <c r="Y28" s="7" t="s">
        <v>32</v>
      </c>
      <c r="Z28" s="8">
        <v>0</v>
      </c>
      <c r="AA28" s="8">
        <v>500</v>
      </c>
      <c r="AB28" s="8">
        <v>500</v>
      </c>
      <c r="AC28" s="8">
        <v>0</v>
      </c>
      <c r="AD28" s="8">
        <v>250</v>
      </c>
      <c r="AE28" s="8">
        <v>1000</v>
      </c>
      <c r="AF28" s="8"/>
      <c r="AG28" s="8"/>
      <c r="AH28" s="8"/>
      <c r="AI28" s="8"/>
      <c r="AJ28" s="8"/>
      <c r="AK28" s="8"/>
      <c r="AL28" s="1" t="s">
        <v>24</v>
      </c>
      <c r="AM28" s="7" t="s">
        <v>32</v>
      </c>
      <c r="AN28">
        <v>0</v>
      </c>
      <c r="AO28" s="1" t="s">
        <v>34</v>
      </c>
      <c r="AP28" s="7" t="s">
        <v>32</v>
      </c>
      <c r="AQ28" s="43">
        <v>72</v>
      </c>
    </row>
    <row r="29" spans="3:43" ht="21.75" thickTop="1" x14ac:dyDescent="0.35"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29">
        <v>3</v>
      </c>
      <c r="V29" s="36" t="s">
        <v>66</v>
      </c>
      <c r="W29" s="36" t="s">
        <v>66</v>
      </c>
      <c r="Y29" s="7" t="s">
        <v>30</v>
      </c>
      <c r="Z29" s="8">
        <v>-24843.018245687384</v>
      </c>
      <c r="AA29" s="8">
        <v>-24654.456437370962</v>
      </c>
      <c r="AB29" s="8">
        <v>282.84271247461902</v>
      </c>
      <c r="AC29" s="8"/>
      <c r="AD29" s="8"/>
      <c r="AE29" s="8"/>
      <c r="AF29" s="8">
        <v>24843.018245687384</v>
      </c>
      <c r="AG29" s="8">
        <v>24654.456437370962</v>
      </c>
      <c r="AH29" s="8">
        <v>282.84271247461902</v>
      </c>
      <c r="AI29" s="8"/>
      <c r="AJ29" s="8"/>
      <c r="AK29" s="8"/>
      <c r="AM29" s="7" t="s">
        <v>30</v>
      </c>
      <c r="AN29">
        <v>0</v>
      </c>
      <c r="AP29" s="7" t="s">
        <v>30</v>
      </c>
      <c r="AQ29" s="43">
        <v>0</v>
      </c>
    </row>
    <row r="30" spans="3:43" ht="21" x14ac:dyDescent="0.35">
      <c r="U30" s="29">
        <v>4</v>
      </c>
      <c r="V30" s="36" t="s">
        <v>67</v>
      </c>
      <c r="W30" s="36" t="s">
        <v>67</v>
      </c>
      <c r="Y30" s="7" t="s">
        <v>31</v>
      </c>
      <c r="Z30" s="8">
        <v>-24654.456437370962</v>
      </c>
      <c r="AA30" s="8">
        <v>-24843.018245687384</v>
      </c>
      <c r="AB30" s="8">
        <v>-282.84271247461908</v>
      </c>
      <c r="AC30" s="8"/>
      <c r="AD30" s="8"/>
      <c r="AE30" s="8"/>
      <c r="AF30" s="8">
        <v>24654.456437370962</v>
      </c>
      <c r="AG30" s="8">
        <v>24843.018245687384</v>
      </c>
      <c r="AH30" s="8">
        <v>-282.84271247461908</v>
      </c>
      <c r="AI30" s="8"/>
      <c r="AJ30" s="8"/>
      <c r="AK30" s="8"/>
      <c r="AM30" s="7" t="s">
        <v>31</v>
      </c>
      <c r="AN30">
        <v>0</v>
      </c>
      <c r="AP30" s="7" t="s">
        <v>31</v>
      </c>
      <c r="AQ30" s="43">
        <v>0</v>
      </c>
    </row>
    <row r="31" spans="3:43" ht="21" x14ac:dyDescent="0.35">
      <c r="U31" s="29">
        <v>5</v>
      </c>
      <c r="V31" s="35" t="s">
        <v>68</v>
      </c>
      <c r="W31" s="35" t="s">
        <v>68</v>
      </c>
      <c r="Y31" s="7" t="s">
        <v>33</v>
      </c>
      <c r="Z31" s="8">
        <v>-282.84271247461902</v>
      </c>
      <c r="AA31" s="8">
        <v>282.84271247461908</v>
      </c>
      <c r="AB31" s="8">
        <v>565.68542494923804</v>
      </c>
      <c r="AC31" s="8"/>
      <c r="AD31" s="8"/>
      <c r="AE31" s="8"/>
      <c r="AF31" s="8">
        <v>282.84271247461902</v>
      </c>
      <c r="AG31" s="8">
        <v>-282.84271247461908</v>
      </c>
      <c r="AH31" s="8">
        <v>1131.3708498984761</v>
      </c>
      <c r="AI31" s="8"/>
      <c r="AJ31" s="8"/>
      <c r="AK31" s="8"/>
      <c r="AM31" s="7" t="s">
        <v>33</v>
      </c>
      <c r="AN31">
        <v>0</v>
      </c>
      <c r="AP31" s="7" t="s">
        <v>33</v>
      </c>
      <c r="AQ31" s="43">
        <v>0</v>
      </c>
    </row>
    <row r="32" spans="3:43" ht="21.75" thickBot="1" x14ac:dyDescent="0.4">
      <c r="J32" s="11" t="s">
        <v>45</v>
      </c>
      <c r="K32" s="11" t="s">
        <v>46</v>
      </c>
      <c r="L32" s="11" t="s">
        <v>47</v>
      </c>
      <c r="M32" s="11" t="s">
        <v>30</v>
      </c>
      <c r="N32" s="11" t="s">
        <v>31</v>
      </c>
      <c r="O32" s="11" t="s">
        <v>33</v>
      </c>
      <c r="U32" s="29">
        <v>6</v>
      </c>
      <c r="V32" s="36" t="s">
        <v>69</v>
      </c>
      <c r="W32" s="36" t="s">
        <v>69</v>
      </c>
      <c r="Y32" s="40" t="s">
        <v>72</v>
      </c>
      <c r="Z32" s="8">
        <v>-24843.018245687366</v>
      </c>
      <c r="AA32" s="8">
        <v>-24654.456437370958</v>
      </c>
      <c r="AB32" s="8">
        <v>-282.84271247461913</v>
      </c>
      <c r="AC32" s="8"/>
      <c r="AD32" s="8"/>
      <c r="AE32" s="8"/>
      <c r="AF32" s="8"/>
      <c r="AG32" s="8"/>
      <c r="AH32" s="8"/>
      <c r="AI32" s="8">
        <v>24843.018245687366</v>
      </c>
      <c r="AJ32" s="8">
        <v>-24654.456437370958</v>
      </c>
      <c r="AK32" s="8">
        <v>-282.84271247461913</v>
      </c>
      <c r="AM32" s="40" t="s">
        <v>72</v>
      </c>
      <c r="AN32">
        <v>0</v>
      </c>
      <c r="AP32" s="40" t="s">
        <v>72</v>
      </c>
      <c r="AQ32" s="43">
        <v>18.000000000000004</v>
      </c>
    </row>
    <row r="33" spans="3:43" ht="21.75" thickBot="1" x14ac:dyDescent="0.4">
      <c r="G33" s="17" t="s">
        <v>37</v>
      </c>
      <c r="I33" s="19" t="s">
        <v>45</v>
      </c>
      <c r="J33" s="27">
        <f>(E42*E41^2)+(E47*E40^2)</f>
        <v>24843.018245687384</v>
      </c>
      <c r="K33" s="8">
        <f>(E42-E47)*E40*E41</f>
        <v>24654.456437370962</v>
      </c>
      <c r="L33" s="8">
        <f>-E46*E40</f>
        <v>-282.84271247461902</v>
      </c>
      <c r="M33" s="8">
        <f>-((E42*E41^2)+(E47*E40^2))</f>
        <v>-24843.018245687384</v>
      </c>
      <c r="N33" s="8">
        <f>-((E42-E47)*E40*E41)</f>
        <v>-24654.456437370962</v>
      </c>
      <c r="O33" s="8">
        <f t="shared" ref="O33:O34" si="1">L33</f>
        <v>-282.84271247461902</v>
      </c>
      <c r="Q33" s="14" t="s">
        <v>45</v>
      </c>
      <c r="S33" s="35"/>
      <c r="U33" s="29">
        <v>7</v>
      </c>
      <c r="V33" s="36" t="s">
        <v>70</v>
      </c>
      <c r="W33" s="36" t="s">
        <v>70</v>
      </c>
      <c r="Y33" s="40" t="s">
        <v>73</v>
      </c>
      <c r="Z33" s="8">
        <v>-24654.456437370958</v>
      </c>
      <c r="AA33" s="8">
        <v>-24843.018245687366</v>
      </c>
      <c r="AB33" s="8">
        <v>-282.84271247461896</v>
      </c>
      <c r="AC33" s="8"/>
      <c r="AD33" s="8"/>
      <c r="AE33" s="8"/>
      <c r="AF33" s="8"/>
      <c r="AG33" s="8"/>
      <c r="AH33" s="8"/>
      <c r="AI33" s="8">
        <v>-24654.456437370958</v>
      </c>
      <c r="AJ33" s="8">
        <v>24843.018245687366</v>
      </c>
      <c r="AK33" s="8">
        <v>-282.84271247461896</v>
      </c>
      <c r="AM33" s="40" t="s">
        <v>73</v>
      </c>
      <c r="AN33">
        <v>0</v>
      </c>
      <c r="AP33" s="40" t="s">
        <v>73</v>
      </c>
      <c r="AQ33" s="43">
        <v>17.999999999999996</v>
      </c>
    </row>
    <row r="34" spans="3:43" ht="21.75" thickBot="1" x14ac:dyDescent="0.4">
      <c r="D34" s="33" t="s">
        <v>35</v>
      </c>
      <c r="E34" s="34" t="s">
        <v>36</v>
      </c>
      <c r="G34" s="18" t="s">
        <v>38</v>
      </c>
      <c r="I34" s="19" t="s">
        <v>46</v>
      </c>
      <c r="J34" s="27">
        <f>(E42-E47)*E40*E41</f>
        <v>24654.456437370962</v>
      </c>
      <c r="K34" s="8">
        <f>(E42*E41^2)+(E47*E40^2)</f>
        <v>24843.018245687384</v>
      </c>
      <c r="L34" s="8">
        <f>E46*E41</f>
        <v>282.84271247461908</v>
      </c>
      <c r="M34" s="8">
        <f>-((E42-E47)*E40*E41)</f>
        <v>-24654.456437370962</v>
      </c>
      <c r="N34" s="8">
        <f>-((E42*E41^2)+(E47*E40^2))</f>
        <v>-24843.018245687384</v>
      </c>
      <c r="O34" s="8">
        <f t="shared" si="1"/>
        <v>282.84271247461908</v>
      </c>
      <c r="Q34" s="19" t="s">
        <v>46</v>
      </c>
      <c r="S34" s="35"/>
      <c r="U34" s="29">
        <v>8</v>
      </c>
      <c r="V34" s="35" t="s">
        <v>71</v>
      </c>
      <c r="W34" s="35" t="s">
        <v>71</v>
      </c>
      <c r="X34" s="8"/>
      <c r="Y34" s="40" t="s">
        <v>74</v>
      </c>
      <c r="Z34" s="8">
        <v>282.84271247461913</v>
      </c>
      <c r="AA34" s="8">
        <v>282.84271247461896</v>
      </c>
      <c r="AB34" s="8">
        <v>565.68542494923804</v>
      </c>
      <c r="AC34" s="8"/>
      <c r="AD34" s="8"/>
      <c r="AE34" s="8"/>
      <c r="AF34" s="8"/>
      <c r="AG34" s="8"/>
      <c r="AH34" s="8"/>
      <c r="AI34" s="8">
        <v>-282.84271247461913</v>
      </c>
      <c r="AJ34">
        <v>-282.84271247461896</v>
      </c>
      <c r="AK34">
        <v>1131.3708498984761</v>
      </c>
      <c r="AM34" s="40" t="s">
        <v>74</v>
      </c>
      <c r="AN34">
        <v>0</v>
      </c>
      <c r="AP34" s="40" t="s">
        <v>74</v>
      </c>
      <c r="AQ34" s="43">
        <v>-17.999999999999996</v>
      </c>
    </row>
    <row r="35" spans="3:43" ht="21.75" thickBot="1" x14ac:dyDescent="0.4">
      <c r="D35" s="31" t="s">
        <v>1</v>
      </c>
      <c r="E35" s="32">
        <f>SQRT(18)</f>
        <v>4.2426406871192848</v>
      </c>
      <c r="G35" s="19" t="s">
        <v>39</v>
      </c>
      <c r="I35" s="19" t="s">
        <v>47</v>
      </c>
      <c r="J35" s="27">
        <f>-E46*E40</f>
        <v>-282.84271247461902</v>
      </c>
      <c r="K35" s="8">
        <f>E46*E41</f>
        <v>282.84271247461908</v>
      </c>
      <c r="L35" s="8">
        <f>E45</f>
        <v>1131.3708498984761</v>
      </c>
      <c r="M35" s="8">
        <f>E46*E40</f>
        <v>282.84271247461902</v>
      </c>
      <c r="N35" s="8">
        <f>E44</f>
        <v>565.68542494923804</v>
      </c>
      <c r="O35" s="8">
        <f>E44</f>
        <v>565.68542494923804</v>
      </c>
      <c r="Q35" s="19" t="s">
        <v>47</v>
      </c>
      <c r="R35" s="1"/>
      <c r="S35" s="35"/>
      <c r="U35" s="29"/>
      <c r="V35" s="8"/>
    </row>
    <row r="36" spans="3:43" ht="21.75" thickBot="1" x14ac:dyDescent="0.4">
      <c r="D36" s="31" t="s">
        <v>2</v>
      </c>
      <c r="E36" s="32">
        <f>45*PI()/180</f>
        <v>0.78539816339744828</v>
      </c>
      <c r="G36" s="18" t="s">
        <v>40</v>
      </c>
      <c r="I36" s="19" t="s">
        <v>30</v>
      </c>
      <c r="J36" s="27">
        <f t="shared" ref="J36:K37" si="2">M33</f>
        <v>-24843.018245687384</v>
      </c>
      <c r="K36" s="8">
        <f t="shared" si="2"/>
        <v>-24654.456437370962</v>
      </c>
      <c r="L36" s="8">
        <f>E46*E40</f>
        <v>282.84271247461902</v>
      </c>
      <c r="M36" s="8">
        <f t="shared" ref="M36:N37" si="3">J33</f>
        <v>24843.018245687384</v>
      </c>
      <c r="N36" s="8">
        <f t="shared" si="3"/>
        <v>24654.456437370962</v>
      </c>
      <c r="O36" s="8">
        <f t="shared" ref="O36:O37" si="4">L36</f>
        <v>282.84271247461902</v>
      </c>
      <c r="Q36" s="25">
        <v>0</v>
      </c>
      <c r="S36" s="35"/>
      <c r="U36" s="29"/>
      <c r="V36" s="8"/>
    </row>
    <row r="37" spans="3:43" ht="21.75" thickBot="1" x14ac:dyDescent="0.4">
      <c r="D37" s="31" t="s">
        <v>6</v>
      </c>
      <c r="E37" s="32">
        <v>3000000</v>
      </c>
      <c r="G37" s="18" t="s">
        <v>41</v>
      </c>
      <c r="I37" s="19" t="s">
        <v>31</v>
      </c>
      <c r="J37" s="27">
        <f t="shared" si="2"/>
        <v>-24654.456437370962</v>
      </c>
      <c r="K37" s="8">
        <f t="shared" si="2"/>
        <v>-24843.018245687384</v>
      </c>
      <c r="L37" s="8">
        <f>-E46*E41</f>
        <v>-282.84271247461908</v>
      </c>
      <c r="M37" s="8">
        <f t="shared" si="3"/>
        <v>24654.456437370962</v>
      </c>
      <c r="N37" s="8">
        <f t="shared" si="3"/>
        <v>24843.018245687384</v>
      </c>
      <c r="O37" s="8">
        <f t="shared" si="4"/>
        <v>-282.84271247461908</v>
      </c>
      <c r="Q37" s="19">
        <v>0</v>
      </c>
      <c r="S37" s="35"/>
      <c r="U37" s="29"/>
      <c r="V37" s="8"/>
    </row>
    <row r="38" spans="3:43" ht="21.75" thickBot="1" x14ac:dyDescent="0.4">
      <c r="D38" s="31" t="s">
        <v>7</v>
      </c>
      <c r="E38" s="32">
        <v>7.0000000000000007E-2</v>
      </c>
      <c r="G38" s="20" t="s">
        <v>42</v>
      </c>
      <c r="I38" s="19" t="s">
        <v>33</v>
      </c>
      <c r="J38" s="28">
        <f>-E46*E40</f>
        <v>-282.84271247461902</v>
      </c>
      <c r="K38" s="12">
        <f>E46*E41</f>
        <v>282.84271247461908</v>
      </c>
      <c r="L38" s="12">
        <f>E44</f>
        <v>565.68542494923804</v>
      </c>
      <c r="M38" s="12">
        <f>E46*E40</f>
        <v>282.84271247461902</v>
      </c>
      <c r="N38" s="12">
        <f>-E46*E41</f>
        <v>-282.84271247461908</v>
      </c>
      <c r="O38" s="12">
        <f>E45</f>
        <v>1131.3708498984761</v>
      </c>
      <c r="Q38" s="26">
        <v>0</v>
      </c>
      <c r="S38" s="35"/>
      <c r="U38" s="29"/>
      <c r="V38" s="8"/>
    </row>
    <row r="39" spans="3:43" ht="16.5" thickBot="1" x14ac:dyDescent="0.3">
      <c r="D39" s="31" t="s">
        <v>8</v>
      </c>
      <c r="E39" s="32">
        <v>4.0000000000000002E-4</v>
      </c>
      <c r="U39" s="29"/>
      <c r="V39" s="8"/>
      <c r="W39">
        <v>0</v>
      </c>
      <c r="X39" s="49">
        <v>18.000000000000004</v>
      </c>
      <c r="Y39" s="43">
        <f>+W39-X39</f>
        <v>-18.000000000000004</v>
      </c>
      <c r="AA39">
        <f t="array" ref="AA39:AC41">MINVERSE(Z23:AB25)</f>
        <v>1.0561219341894126E-5</v>
      </c>
      <c r="AB39">
        <v>-4.0468144622886548E-22</v>
      </c>
      <c r="AC39">
        <v>-3.2883988187273559E-22</v>
      </c>
      <c r="AE39" s="52">
        <f t="array" ref="AE39:AE41">MMULT(AA39:AC41,Y39:Y41)</f>
        <v>-1.9010194815409427E-4</v>
      </c>
    </row>
    <row r="40" spans="3:43" ht="16.5" thickBot="1" x14ac:dyDescent="0.3">
      <c r="C40" t="s">
        <v>44</v>
      </c>
      <c r="D40" s="31" t="s">
        <v>5</v>
      </c>
      <c r="E40" s="32">
        <f>SIN(E36)</f>
        <v>0.70710678118654746</v>
      </c>
      <c r="U40" s="29"/>
      <c r="V40" s="8"/>
      <c r="W40">
        <v>-50</v>
      </c>
      <c r="X40" s="49">
        <v>90</v>
      </c>
      <c r="Y40" s="43">
        <f t="shared" ref="Y40:Y41" si="5">+W40-X40</f>
        <v>-140</v>
      </c>
      <c r="AA40">
        <v>-4.0468144622886548E-22</v>
      </c>
      <c r="AB40">
        <v>1.0564627302861054E-5</v>
      </c>
      <c r="AC40">
        <v>-1.0221767968152568E-6</v>
      </c>
      <c r="AE40" s="52">
        <v>-1.5342453694285716E-3</v>
      </c>
    </row>
    <row r="41" spans="3:43" ht="16.5" thickBot="1" x14ac:dyDescent="0.3">
      <c r="C41" t="s">
        <v>43</v>
      </c>
      <c r="D41" s="31" t="s">
        <v>4</v>
      </c>
      <c r="E41" s="32">
        <f>COS(E36)</f>
        <v>0.70710678118654757</v>
      </c>
      <c r="U41" s="29"/>
      <c r="V41" s="8"/>
      <c r="W41">
        <v>0</v>
      </c>
      <c r="X41" s="49">
        <v>-54</v>
      </c>
      <c r="Y41" s="43">
        <f t="shared" si="5"/>
        <v>54</v>
      </c>
      <c r="AA41">
        <v>-3.2883988187273563E-22</v>
      </c>
      <c r="AB41">
        <v>-1.022176796815257E-6</v>
      </c>
      <c r="AC41">
        <v>3.0658960419046601E-4</v>
      </c>
      <c r="AE41" s="52">
        <v>1.6698943377839302E-2</v>
      </c>
    </row>
    <row r="42" spans="3:43" ht="16.5" thickBot="1" x14ac:dyDescent="0.3">
      <c r="D42" s="31" t="s">
        <v>9</v>
      </c>
      <c r="E42" s="32">
        <f>E38*E37/E35</f>
        <v>49497.474683058339</v>
      </c>
      <c r="U42" s="29"/>
      <c r="V42" s="8"/>
    </row>
    <row r="43" spans="3:43" ht="16.5" thickBot="1" x14ac:dyDescent="0.3">
      <c r="D43" s="31" t="s">
        <v>10</v>
      </c>
      <c r="E43" s="32">
        <f>E37*E39</f>
        <v>1200</v>
      </c>
      <c r="U43" s="29"/>
      <c r="V43" s="8"/>
    </row>
    <row r="44" spans="3:43" ht="16.5" thickBot="1" x14ac:dyDescent="0.3">
      <c r="D44" s="31" t="s">
        <v>11</v>
      </c>
      <c r="E44" s="32">
        <f>2*E43/E35</f>
        <v>565.68542494923804</v>
      </c>
      <c r="U44" s="29"/>
      <c r="V44" s="8"/>
    </row>
    <row r="45" spans="3:43" ht="16.5" thickBot="1" x14ac:dyDescent="0.3">
      <c r="D45" s="31" t="s">
        <v>12</v>
      </c>
      <c r="E45" s="32">
        <f>2*E44</f>
        <v>1131.3708498984761</v>
      </c>
      <c r="U45" s="29"/>
      <c r="V45" s="8"/>
    </row>
    <row r="46" spans="3:43" ht="16.5" thickBot="1" x14ac:dyDescent="0.3">
      <c r="D46" s="31" t="s">
        <v>13</v>
      </c>
      <c r="E46" s="32">
        <f>6*E43/E35^2</f>
        <v>400.00000000000006</v>
      </c>
      <c r="U46" s="29"/>
      <c r="V46" s="8"/>
    </row>
    <row r="47" spans="3:43" ht="16.5" thickBot="1" x14ac:dyDescent="0.3">
      <c r="D47" s="31" t="s">
        <v>14</v>
      </c>
      <c r="E47" s="32">
        <f>12*E43/E35^3</f>
        <v>188.56180831641274</v>
      </c>
      <c r="U47" s="29"/>
      <c r="V47" s="8"/>
    </row>
    <row r="48" spans="3:43" x14ac:dyDescent="0.25">
      <c r="U48" s="29"/>
      <c r="V48" s="8"/>
    </row>
    <row r="49" spans="3:22" ht="16.5" thickBot="1" x14ac:dyDescent="0.3">
      <c r="U49" s="29"/>
      <c r="V49" s="8"/>
    </row>
    <row r="50" spans="3:22" ht="16.5" thickTop="1" x14ac:dyDescent="0.25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3" spans="3:22" ht="21.75" thickBot="1" x14ac:dyDescent="0.4">
      <c r="J53" s="11" t="s">
        <v>28</v>
      </c>
      <c r="K53" s="11" t="s">
        <v>29</v>
      </c>
      <c r="L53" s="11" t="s">
        <v>32</v>
      </c>
      <c r="M53" s="11" t="s">
        <v>45</v>
      </c>
      <c r="N53" s="11" t="s">
        <v>46</v>
      </c>
      <c r="O53" s="11" t="s">
        <v>47</v>
      </c>
    </row>
    <row r="54" spans="3:22" ht="21.75" thickBot="1" x14ac:dyDescent="0.4">
      <c r="G54" s="17" t="s">
        <v>52</v>
      </c>
      <c r="I54" s="19" t="s">
        <v>28</v>
      </c>
      <c r="J54" s="27">
        <f>(E63*E62^2)+(E68*E61^2)</f>
        <v>45000</v>
      </c>
      <c r="K54" s="8">
        <f>(E63-E68)*E61*E62</f>
        <v>0</v>
      </c>
      <c r="L54" s="8">
        <f>-E67*E61</f>
        <v>0</v>
      </c>
      <c r="M54" s="8">
        <f>-((E63*E62^2)+(E68*E61^2))</f>
        <v>-45000</v>
      </c>
      <c r="N54" s="8">
        <f>-((E63-E68)*E61*E62)</f>
        <v>0</v>
      </c>
      <c r="O54" s="9">
        <f t="shared" ref="O54:O55" si="6">L54</f>
        <v>0</v>
      </c>
      <c r="P54" s="19"/>
      <c r="Q54" s="24">
        <v>0</v>
      </c>
      <c r="S54" s="19" t="s">
        <v>28</v>
      </c>
      <c r="T54" s="14">
        <v>0</v>
      </c>
    </row>
    <row r="55" spans="3:22" ht="21.75" thickBot="1" x14ac:dyDescent="0.4">
      <c r="D55" s="33" t="s">
        <v>35</v>
      </c>
      <c r="E55" s="34" t="s">
        <v>51</v>
      </c>
      <c r="G55" s="18" t="s">
        <v>53</v>
      </c>
      <c r="I55" s="19" t="s">
        <v>29</v>
      </c>
      <c r="J55" s="27">
        <f>(E63-E68)*E61*E62</f>
        <v>0</v>
      </c>
      <c r="K55" s="8">
        <f>(E63*E62^2)+(E68*E61^2)</f>
        <v>45000</v>
      </c>
      <c r="L55" s="8">
        <f>E67*E62</f>
        <v>250</v>
      </c>
      <c r="M55" s="8">
        <f>-((E63-E68)*E61*E62)</f>
        <v>0</v>
      </c>
      <c r="N55" s="8">
        <f>-((E63*E62^2)+(E68*E61^2))</f>
        <v>-45000</v>
      </c>
      <c r="O55" s="9">
        <f t="shared" si="6"/>
        <v>250</v>
      </c>
      <c r="P55" s="19"/>
      <c r="Q55" s="19">
        <v>0</v>
      </c>
      <c r="S55" s="19" t="s">
        <v>29</v>
      </c>
      <c r="T55" s="15">
        <v>72</v>
      </c>
    </row>
    <row r="56" spans="3:22" ht="21.75" thickBot="1" x14ac:dyDescent="0.4">
      <c r="D56" s="31" t="s">
        <v>1</v>
      </c>
      <c r="E56" s="32">
        <v>6</v>
      </c>
      <c r="G56" s="19" t="s">
        <v>54</v>
      </c>
      <c r="H56" s="1" t="s">
        <v>22</v>
      </c>
      <c r="I56" s="19" t="s">
        <v>32</v>
      </c>
      <c r="J56" s="27">
        <f>-E67*E61</f>
        <v>0</v>
      </c>
      <c r="K56" s="8">
        <f>E67*E62</f>
        <v>250</v>
      </c>
      <c r="L56" s="8">
        <f>E66</f>
        <v>1000</v>
      </c>
      <c r="M56" s="8">
        <f>E67*E61</f>
        <v>0</v>
      </c>
      <c r="N56" s="8">
        <f>E65</f>
        <v>500</v>
      </c>
      <c r="O56" s="9">
        <f>E65</f>
        <v>500</v>
      </c>
      <c r="P56" s="19"/>
      <c r="Q56" s="19">
        <v>0</v>
      </c>
      <c r="R56" s="1" t="s">
        <v>34</v>
      </c>
      <c r="S56" s="19" t="s">
        <v>32</v>
      </c>
      <c r="T56" s="15">
        <v>72</v>
      </c>
    </row>
    <row r="57" spans="3:22" ht="21.75" thickBot="1" x14ac:dyDescent="0.4">
      <c r="D57" s="31" t="s">
        <v>2</v>
      </c>
      <c r="E57" s="32">
        <f>0*PI()/180</f>
        <v>0</v>
      </c>
      <c r="G57" s="18" t="s">
        <v>55</v>
      </c>
      <c r="I57" s="19" t="s">
        <v>45</v>
      </c>
      <c r="J57" s="27">
        <f t="shared" ref="J57:J58" si="7">M54</f>
        <v>-45000</v>
      </c>
      <c r="K57" s="8">
        <f t="shared" ref="K57:K58" si="8">N54</f>
        <v>0</v>
      </c>
      <c r="L57" s="8">
        <f>E67*E61</f>
        <v>0</v>
      </c>
      <c r="M57" s="8">
        <f t="shared" ref="M57:M58" si="9">J54</f>
        <v>45000</v>
      </c>
      <c r="N57" s="8">
        <f t="shared" ref="N57:N58" si="10">K54</f>
        <v>0</v>
      </c>
      <c r="O57" s="9">
        <f t="shared" ref="O57:O58" si="11">L57</f>
        <v>0</v>
      </c>
      <c r="P57" s="19"/>
      <c r="Q57" s="19" t="s">
        <v>45</v>
      </c>
      <c r="S57" s="19" t="s">
        <v>45</v>
      </c>
      <c r="T57" s="15">
        <v>0</v>
      </c>
    </row>
    <row r="58" spans="3:22" ht="21.75" thickBot="1" x14ac:dyDescent="0.4">
      <c r="D58" s="31" t="s">
        <v>6</v>
      </c>
      <c r="E58" s="32">
        <v>3000000</v>
      </c>
      <c r="G58" s="18" t="s">
        <v>56</v>
      </c>
      <c r="I58" s="19" t="s">
        <v>46</v>
      </c>
      <c r="J58" s="27">
        <f t="shared" si="7"/>
        <v>0</v>
      </c>
      <c r="K58" s="8">
        <f t="shared" si="8"/>
        <v>-45000</v>
      </c>
      <c r="L58" s="8">
        <f>-E67*E62</f>
        <v>-250</v>
      </c>
      <c r="M58" s="8">
        <f t="shared" si="9"/>
        <v>0</v>
      </c>
      <c r="N58" s="8">
        <f t="shared" si="10"/>
        <v>45000</v>
      </c>
      <c r="O58" s="9">
        <f t="shared" si="11"/>
        <v>-250</v>
      </c>
      <c r="P58" s="19"/>
      <c r="Q58" s="19" t="s">
        <v>46</v>
      </c>
      <c r="S58" s="19" t="s">
        <v>46</v>
      </c>
      <c r="T58" s="15">
        <v>72</v>
      </c>
    </row>
    <row r="59" spans="3:22" ht="21.75" thickBot="1" x14ac:dyDescent="0.4">
      <c r="D59" s="31" t="s">
        <v>7</v>
      </c>
      <c r="E59" s="32">
        <v>0.09</v>
      </c>
      <c r="G59" s="20" t="s">
        <v>57</v>
      </c>
      <c r="I59" s="19" t="s">
        <v>47</v>
      </c>
      <c r="J59" s="28">
        <f>-E67*E61</f>
        <v>0</v>
      </c>
      <c r="K59" s="12">
        <f>E67*E62</f>
        <v>250</v>
      </c>
      <c r="L59" s="12">
        <f>E65</f>
        <v>500</v>
      </c>
      <c r="M59" s="12">
        <f>E67*E61</f>
        <v>0</v>
      </c>
      <c r="N59" s="12">
        <f>-E67*E62</f>
        <v>-250</v>
      </c>
      <c r="O59" s="13">
        <f>E66</f>
        <v>1000</v>
      </c>
      <c r="P59" s="19"/>
      <c r="Q59" s="26" t="s">
        <v>47</v>
      </c>
      <c r="S59" s="19" t="s">
        <v>47</v>
      </c>
      <c r="T59" s="16">
        <v>-72</v>
      </c>
    </row>
    <row r="60" spans="3:22" ht="16.5" thickBot="1" x14ac:dyDescent="0.3">
      <c r="D60" s="31" t="s">
        <v>8</v>
      </c>
      <c r="E60" s="32">
        <v>5.0000000000000001E-4</v>
      </c>
    </row>
    <row r="61" spans="3:22" ht="16.5" thickBot="1" x14ac:dyDescent="0.3">
      <c r="D61" s="31" t="s">
        <v>5</v>
      </c>
      <c r="E61" s="32">
        <f>SIN(E57)</f>
        <v>0</v>
      </c>
    </row>
    <row r="62" spans="3:22" ht="16.5" thickBot="1" x14ac:dyDescent="0.3">
      <c r="D62" s="31" t="s">
        <v>4</v>
      </c>
      <c r="E62" s="32">
        <f>COS(E57)</f>
        <v>1</v>
      </c>
    </row>
    <row r="63" spans="3:22" ht="16.5" thickBot="1" x14ac:dyDescent="0.3">
      <c r="D63" s="31" t="s">
        <v>9</v>
      </c>
      <c r="E63" s="32">
        <f>E59*E58/E56</f>
        <v>45000</v>
      </c>
    </row>
    <row r="64" spans="3:22" ht="16.5" thickBot="1" x14ac:dyDescent="0.3">
      <c r="D64" s="31" t="s">
        <v>10</v>
      </c>
      <c r="E64" s="32">
        <f>E58*E60</f>
        <v>1500</v>
      </c>
    </row>
    <row r="65" spans="4:5" ht="16.5" thickBot="1" x14ac:dyDescent="0.3">
      <c r="D65" s="31" t="s">
        <v>11</v>
      </c>
      <c r="E65" s="32">
        <f>2*E64/E56</f>
        <v>500</v>
      </c>
    </row>
    <row r="66" spans="4:5" ht="16.5" thickBot="1" x14ac:dyDescent="0.3">
      <c r="D66" s="31" t="s">
        <v>12</v>
      </c>
      <c r="E66" s="32">
        <f>2*E65</f>
        <v>1000</v>
      </c>
    </row>
    <row r="67" spans="4:5" ht="16.5" thickBot="1" x14ac:dyDescent="0.3">
      <c r="D67" s="31" t="s">
        <v>13</v>
      </c>
      <c r="E67" s="32">
        <f>6*E64/E56^2</f>
        <v>250</v>
      </c>
    </row>
    <row r="68" spans="4:5" ht="16.5" thickBot="1" x14ac:dyDescent="0.3">
      <c r="D68" s="31" t="s">
        <v>14</v>
      </c>
      <c r="E68" s="32">
        <f>12*E64/E56^3</f>
        <v>83.333333333333329</v>
      </c>
    </row>
  </sheetData>
  <dataConsolidate topLabels="1">
    <dataRefs count="3">
      <dataRef ref="I20:O26" sheet="Hoja1"/>
      <dataRef ref="I32:O38" sheet="Hoja1"/>
      <dataRef ref="I53:O59" sheet="Hoja1"/>
    </dataRefs>
  </dataConsolid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H120"/>
  <sheetViews>
    <sheetView topLeftCell="A28" zoomScale="85" zoomScaleNormal="85" zoomScalePageLayoutView="125" workbookViewId="0">
      <selection activeCell="J19" sqref="J19"/>
    </sheetView>
  </sheetViews>
  <sheetFormatPr baseColWidth="10" defaultRowHeight="15.75" x14ac:dyDescent="0.25"/>
  <cols>
    <col min="15" max="16" width="12.625" bestFit="1" customWidth="1"/>
    <col min="17" max="17" width="11" bestFit="1" customWidth="1"/>
    <col min="29" max="31" width="13.375" bestFit="1" customWidth="1"/>
  </cols>
  <sheetData>
    <row r="2" spans="5:20" ht="16.5" thickBot="1" x14ac:dyDescent="0.3"/>
    <row r="3" spans="5:20" ht="16.5" thickBot="1" x14ac:dyDescent="0.3">
      <c r="E3" t="s">
        <v>75</v>
      </c>
      <c r="F3" s="31" t="s">
        <v>1</v>
      </c>
      <c r="G3" s="31" t="s">
        <v>2</v>
      </c>
      <c r="H3" s="31" t="s">
        <v>6</v>
      </c>
      <c r="I3" s="31" t="s">
        <v>7</v>
      </c>
      <c r="J3" s="31" t="s">
        <v>8</v>
      </c>
      <c r="K3" s="31" t="s">
        <v>5</v>
      </c>
      <c r="L3" s="31" t="s">
        <v>4</v>
      </c>
      <c r="M3" s="91" t="s">
        <v>81</v>
      </c>
      <c r="N3" s="91" t="s">
        <v>82</v>
      </c>
      <c r="O3" s="31" t="s">
        <v>9</v>
      </c>
      <c r="P3" s="31" t="s">
        <v>10</v>
      </c>
      <c r="Q3" s="31" t="s">
        <v>11</v>
      </c>
      <c r="R3" s="31" t="s">
        <v>12</v>
      </c>
      <c r="S3" s="31" t="s">
        <v>13</v>
      </c>
      <c r="T3" s="31" t="s">
        <v>14</v>
      </c>
    </row>
    <row r="4" spans="5:20" ht="16.5" thickBot="1" x14ac:dyDescent="0.3">
      <c r="E4" s="34" t="s">
        <v>0</v>
      </c>
      <c r="F4" s="32">
        <f>ROUND(SQRT(18),3)</f>
        <v>4.2430000000000003</v>
      </c>
      <c r="G4" s="32">
        <f>ROUND(315*PI()/180,3)</f>
        <v>5.4980000000000002</v>
      </c>
      <c r="H4" s="32">
        <v>3000000</v>
      </c>
      <c r="I4" s="32">
        <v>7.0000000000000007E-2</v>
      </c>
      <c r="J4" s="32">
        <v>4.0000000000000002E-4</v>
      </c>
      <c r="K4" s="32">
        <f>ROUND(SIN(G4),3)</f>
        <v>-0.70699999999999996</v>
      </c>
      <c r="L4" s="32">
        <f>ROUND(COS(G4),3)</f>
        <v>0.70699999999999996</v>
      </c>
      <c r="M4" s="92">
        <f>ROUND(K4*K4,3)</f>
        <v>0.5</v>
      </c>
      <c r="N4" s="92">
        <f>ROUND(L4*L4,3)</f>
        <v>0.5</v>
      </c>
      <c r="O4" s="32">
        <f>ROUND(I4*H4/F4,3)</f>
        <v>49493.283000000003</v>
      </c>
      <c r="P4" s="32">
        <f>H4*J4</f>
        <v>1200</v>
      </c>
      <c r="Q4" s="32">
        <f>ROUND(2*P4/F4,3)</f>
        <v>565.63800000000003</v>
      </c>
      <c r="R4" s="32">
        <f>ROUND(2*Q4,3)</f>
        <v>1131.2760000000001</v>
      </c>
      <c r="S4" s="32">
        <f>ROUND(6*P4/F4^2,3)</f>
        <v>399.93200000000002</v>
      </c>
      <c r="T4" s="32">
        <f>ROUND(12*P4/F4^3,3)</f>
        <v>188.51400000000001</v>
      </c>
    </row>
    <row r="5" spans="5:20" ht="16.5" thickBot="1" x14ac:dyDescent="0.3">
      <c r="E5" s="34" t="s">
        <v>36</v>
      </c>
      <c r="F5" s="32">
        <f>ROUND(SQRT(18),3)</f>
        <v>4.2430000000000003</v>
      </c>
      <c r="G5" s="32">
        <f>ROUND(45*PI()/180,3)</f>
        <v>0.78500000000000003</v>
      </c>
      <c r="H5" s="32">
        <v>3000000</v>
      </c>
      <c r="I5" s="32">
        <v>7.0000000000000007E-2</v>
      </c>
      <c r="J5" s="32">
        <v>4.0000000000000002E-4</v>
      </c>
      <c r="K5" s="32">
        <f>ROUND(SIN(G5),3)</f>
        <v>0.70699999999999996</v>
      </c>
      <c r="L5" s="32">
        <f>ROUND(COS(G5),3)</f>
        <v>0.70699999999999996</v>
      </c>
      <c r="M5" s="92">
        <f t="shared" ref="M5:N6" si="0">ROUND(K5*K5,3)</f>
        <v>0.5</v>
      </c>
      <c r="N5" s="92">
        <f t="shared" si="0"/>
        <v>0.5</v>
      </c>
      <c r="O5" s="32">
        <f t="shared" ref="O5:O6" si="1">ROUND(I5*H5/F5,3)</f>
        <v>49493.283000000003</v>
      </c>
      <c r="P5" s="32">
        <f>H5*J5</f>
        <v>1200</v>
      </c>
      <c r="Q5" s="32">
        <f t="shared" ref="Q5:Q6" si="2">ROUND(2*P5/F5,3)</f>
        <v>565.63800000000003</v>
      </c>
      <c r="R5" s="32">
        <f t="shared" ref="R5:R6" si="3">ROUND(2*Q5,3)</f>
        <v>1131.2760000000001</v>
      </c>
      <c r="S5" s="32">
        <f t="shared" ref="S5:S6" si="4">ROUND(6*P5/F5^2,3)</f>
        <v>399.93200000000002</v>
      </c>
      <c r="T5" s="32">
        <f t="shared" ref="T5:T6" si="5">ROUND(12*P5/F5^3,3)</f>
        <v>188.51400000000001</v>
      </c>
    </row>
    <row r="6" spans="5:20" ht="16.5" thickBot="1" x14ac:dyDescent="0.3">
      <c r="E6" s="34" t="s">
        <v>51</v>
      </c>
      <c r="F6" s="32">
        <v>6</v>
      </c>
      <c r="G6" s="32">
        <f>ROUND(0*PI()/180,3)</f>
        <v>0</v>
      </c>
      <c r="H6" s="32">
        <v>3000000</v>
      </c>
      <c r="I6" s="32">
        <v>0.09</v>
      </c>
      <c r="J6" s="32">
        <v>5.0000000000000001E-4</v>
      </c>
      <c r="K6" s="32">
        <f>ROUND(SIN(G6),3)</f>
        <v>0</v>
      </c>
      <c r="L6" s="32">
        <f>ROUND(COS(G6),3)</f>
        <v>1</v>
      </c>
      <c r="M6" s="92">
        <f t="shared" si="0"/>
        <v>0</v>
      </c>
      <c r="N6" s="92">
        <f t="shared" si="0"/>
        <v>1</v>
      </c>
      <c r="O6" s="32">
        <f t="shared" si="1"/>
        <v>45000</v>
      </c>
      <c r="P6" s="32">
        <f>H6*J6</f>
        <v>1500</v>
      </c>
      <c r="Q6" s="32">
        <f t="shared" si="2"/>
        <v>500</v>
      </c>
      <c r="R6" s="32">
        <f t="shared" si="3"/>
        <v>1000</v>
      </c>
      <c r="S6" s="32">
        <f t="shared" si="4"/>
        <v>250</v>
      </c>
      <c r="T6" s="32">
        <f t="shared" si="5"/>
        <v>83.332999999999998</v>
      </c>
    </row>
    <row r="15" spans="5:20" ht="16.5" thickBot="1" x14ac:dyDescent="0.3"/>
    <row r="16" spans="5:20" ht="21" x14ac:dyDescent="0.35">
      <c r="E16" s="17" t="s">
        <v>91</v>
      </c>
      <c r="G16" s="4">
        <v>0.70710678118654735</v>
      </c>
      <c r="H16" s="5">
        <v>0.70710678118654768</v>
      </c>
      <c r="I16" s="5">
        <v>0</v>
      </c>
      <c r="J16" s="5">
        <v>0</v>
      </c>
      <c r="K16" s="5">
        <v>0</v>
      </c>
      <c r="L16" s="21">
        <v>0</v>
      </c>
      <c r="M16" s="8"/>
      <c r="N16" s="24">
        <v>0</v>
      </c>
      <c r="P16" s="14">
        <v>18.000000000000004</v>
      </c>
    </row>
    <row r="17" spans="5:16" ht="21" x14ac:dyDescent="0.35">
      <c r="E17" s="18" t="s">
        <v>92</v>
      </c>
      <c r="G17" s="6">
        <v>-0.70710678118654768</v>
      </c>
      <c r="H17" s="7">
        <v>0.70710678118654735</v>
      </c>
      <c r="I17" s="7">
        <v>0</v>
      </c>
      <c r="J17" s="7">
        <v>0</v>
      </c>
      <c r="K17" s="7">
        <v>0</v>
      </c>
      <c r="L17" s="22">
        <v>0</v>
      </c>
      <c r="M17" s="8"/>
      <c r="N17" s="19">
        <v>25.45584412271571</v>
      </c>
      <c r="P17" s="15">
        <v>17.999999999999996</v>
      </c>
    </row>
    <row r="18" spans="5:16" x14ac:dyDescent="0.25">
      <c r="E18" s="19" t="s">
        <v>93</v>
      </c>
      <c r="F18" s="1" t="s">
        <v>22</v>
      </c>
      <c r="G18" s="6">
        <v>0</v>
      </c>
      <c r="H18" s="7">
        <v>0</v>
      </c>
      <c r="I18" s="7">
        <v>1</v>
      </c>
      <c r="J18" s="7">
        <v>0</v>
      </c>
      <c r="K18" s="7">
        <v>0</v>
      </c>
      <c r="L18" s="22">
        <v>0</v>
      </c>
      <c r="M18" s="7" t="s">
        <v>24</v>
      </c>
      <c r="N18" s="19">
        <v>17.999999999999996</v>
      </c>
      <c r="O18" s="1" t="s">
        <v>22</v>
      </c>
      <c r="P18" s="15">
        <v>17.999999999999996</v>
      </c>
    </row>
    <row r="19" spans="5:16" ht="21" x14ac:dyDescent="0.35">
      <c r="E19" s="18" t="s">
        <v>94</v>
      </c>
      <c r="F19" s="1"/>
      <c r="G19" s="6">
        <v>0</v>
      </c>
      <c r="H19" s="7">
        <v>0</v>
      </c>
      <c r="I19" s="7">
        <v>0</v>
      </c>
      <c r="J19" s="7">
        <v>0.70710678118654735</v>
      </c>
      <c r="K19" s="7">
        <v>0.70710678118654768</v>
      </c>
      <c r="L19" s="22">
        <v>0</v>
      </c>
      <c r="M19" s="8"/>
      <c r="N19" s="25">
        <v>0</v>
      </c>
      <c r="P19" s="15">
        <v>18.000000000000004</v>
      </c>
    </row>
    <row r="20" spans="5:16" ht="21" x14ac:dyDescent="0.35">
      <c r="E20" s="18" t="s">
        <v>95</v>
      </c>
      <c r="G20" s="6">
        <v>0</v>
      </c>
      <c r="H20" s="7">
        <v>0</v>
      </c>
      <c r="I20" s="7">
        <v>0</v>
      </c>
      <c r="J20" s="7">
        <v>-0.70710678118654768</v>
      </c>
      <c r="K20" s="7">
        <v>0.70710678118654735</v>
      </c>
      <c r="L20" s="22">
        <v>0</v>
      </c>
      <c r="M20" s="8"/>
      <c r="N20" s="19">
        <v>25.45584412271571</v>
      </c>
      <c r="P20" s="15">
        <v>17.999999999999996</v>
      </c>
    </row>
    <row r="21" spans="5:16" ht="21.75" thickBot="1" x14ac:dyDescent="0.4">
      <c r="E21" s="20" t="s">
        <v>96</v>
      </c>
      <c r="G21" s="10">
        <v>0</v>
      </c>
      <c r="H21" s="11">
        <v>0</v>
      </c>
      <c r="I21" s="11">
        <v>0</v>
      </c>
      <c r="J21" s="11">
        <v>0</v>
      </c>
      <c r="K21" s="11">
        <v>0</v>
      </c>
      <c r="L21" s="23">
        <v>1</v>
      </c>
      <c r="M21" s="8"/>
      <c r="N21" s="26">
        <v>-17.999999999999996</v>
      </c>
      <c r="P21" s="16">
        <v>-17.999999999999996</v>
      </c>
    </row>
    <row r="22" spans="5:16" x14ac:dyDescent="0.25">
      <c r="E22" t="s">
        <v>15</v>
      </c>
      <c r="G22" s="2" t="s">
        <v>97</v>
      </c>
    </row>
    <row r="35" spans="4:15" ht="16.5" thickBot="1" x14ac:dyDescent="0.3">
      <c r="G35" t="s">
        <v>61</v>
      </c>
      <c r="H35" t="s">
        <v>62</v>
      </c>
      <c r="I35" t="s">
        <v>77</v>
      </c>
      <c r="J35" t="s">
        <v>78</v>
      </c>
      <c r="K35" t="s">
        <v>79</v>
      </c>
      <c r="L35" t="s">
        <v>80</v>
      </c>
    </row>
    <row r="36" spans="4:15" x14ac:dyDescent="0.25">
      <c r="D36" t="s">
        <v>91</v>
      </c>
      <c r="E36" s="1"/>
      <c r="F36" s="69" t="s">
        <v>61</v>
      </c>
      <c r="G36" s="58">
        <f>ROUND($O$4*$N$4+$T$4*$M$4,3)</f>
        <v>24840.899000000001</v>
      </c>
      <c r="H36" s="59">
        <f>ROUND(($O$4-$T$4)*$K$4*$L$4,3)</f>
        <v>-24644.938999999998</v>
      </c>
      <c r="I36" s="59">
        <f>ROUND(-1*$S$4*$K$4,3)</f>
        <v>282.75200000000001</v>
      </c>
      <c r="J36" s="59">
        <f>ROUND(+G36*-1,3)</f>
        <v>-24840.899000000001</v>
      </c>
      <c r="K36" s="59">
        <f>+H36*-1</f>
        <v>24644.938999999998</v>
      </c>
      <c r="L36" s="60">
        <f>+I36</f>
        <v>282.75200000000001</v>
      </c>
      <c r="N36" t="s">
        <v>61</v>
      </c>
      <c r="O36" s="14">
        <v>18.000000000000004</v>
      </c>
    </row>
    <row r="37" spans="4:15" x14ac:dyDescent="0.25">
      <c r="D37" t="s">
        <v>92</v>
      </c>
      <c r="E37" s="1"/>
      <c r="F37" s="69" t="s">
        <v>62</v>
      </c>
      <c r="G37" s="27">
        <f>+H36</f>
        <v>-24644.938999999998</v>
      </c>
      <c r="H37" s="8">
        <f>ROUND(+$O$4*$M$4+$T$4*$N$4,3)</f>
        <v>24840.899000000001</v>
      </c>
      <c r="I37" s="8">
        <f>ROUND(+$S$4*$L$4,3)</f>
        <v>282.75200000000001</v>
      </c>
      <c r="J37" s="8">
        <f>+G37*-1</f>
        <v>24644.938999999998</v>
      </c>
      <c r="K37" s="8">
        <f>+H37*-1</f>
        <v>-24840.899000000001</v>
      </c>
      <c r="L37" s="9">
        <f>+I37</f>
        <v>282.75200000000001</v>
      </c>
      <c r="N37" t="s">
        <v>62</v>
      </c>
      <c r="O37" s="15">
        <v>17.999999999999996</v>
      </c>
    </row>
    <row r="38" spans="4:15" x14ac:dyDescent="0.25">
      <c r="D38" t="s">
        <v>93</v>
      </c>
      <c r="E38" s="1" t="s">
        <v>22</v>
      </c>
      <c r="F38" s="69" t="s">
        <v>77</v>
      </c>
      <c r="G38" s="27">
        <f>ROUND($S$4*-$K$4,3)</f>
        <v>282.75200000000001</v>
      </c>
      <c r="H38" s="8">
        <f>ROUND(+$S$4*$L$4,3)</f>
        <v>282.75200000000001</v>
      </c>
      <c r="I38" s="8">
        <f>+$R$4</f>
        <v>1131.2760000000001</v>
      </c>
      <c r="J38" s="8">
        <f>+G38*-1</f>
        <v>-282.75200000000001</v>
      </c>
      <c r="K38" s="8">
        <f>+H38*-1</f>
        <v>-282.75200000000001</v>
      </c>
      <c r="L38" s="9">
        <f>+I38/2</f>
        <v>565.63800000000003</v>
      </c>
      <c r="N38" t="s">
        <v>77</v>
      </c>
      <c r="O38" s="15">
        <v>17.999999999999996</v>
      </c>
    </row>
    <row r="39" spans="4:15" x14ac:dyDescent="0.25">
      <c r="D39" t="s">
        <v>94</v>
      </c>
      <c r="E39" s="1"/>
      <c r="F39" s="69" t="s">
        <v>78</v>
      </c>
      <c r="G39" s="27">
        <f>+J36</f>
        <v>-24840.899000000001</v>
      </c>
      <c r="H39" s="8">
        <f>+K36</f>
        <v>24644.938999999998</v>
      </c>
      <c r="I39" s="8">
        <f>+I36*-1</f>
        <v>-282.75200000000001</v>
      </c>
      <c r="J39" s="8">
        <f>+G36</f>
        <v>24840.899000000001</v>
      </c>
      <c r="K39" s="8">
        <f>+H36</f>
        <v>-24644.938999999998</v>
      </c>
      <c r="L39" s="9">
        <f>+I39</f>
        <v>-282.75200000000001</v>
      </c>
      <c r="M39" s="1" t="s">
        <v>34</v>
      </c>
      <c r="N39" t="s">
        <v>78</v>
      </c>
      <c r="O39" s="15">
        <v>18.000000000000004</v>
      </c>
    </row>
    <row r="40" spans="4:15" x14ac:dyDescent="0.25">
      <c r="D40" t="s">
        <v>95</v>
      </c>
      <c r="E40" s="1"/>
      <c r="F40" s="69" t="s">
        <v>79</v>
      </c>
      <c r="G40" s="27">
        <f>+J37</f>
        <v>24644.938999999998</v>
      </c>
      <c r="H40" s="8">
        <f>+K37</f>
        <v>-24840.899000000001</v>
      </c>
      <c r="I40" s="8">
        <f>+I37*-1</f>
        <v>-282.75200000000001</v>
      </c>
      <c r="J40" s="8">
        <f>+G37</f>
        <v>-24644.938999999998</v>
      </c>
      <c r="K40" s="8">
        <f>+H37</f>
        <v>24840.899000000001</v>
      </c>
      <c r="L40" s="9">
        <f>+I40</f>
        <v>-282.75200000000001</v>
      </c>
      <c r="M40" s="1"/>
      <c r="N40" t="s">
        <v>79</v>
      </c>
      <c r="O40" s="15">
        <v>17.999999999999996</v>
      </c>
    </row>
    <row r="41" spans="4:15" ht="16.5" thickBot="1" x14ac:dyDescent="0.3">
      <c r="D41" t="s">
        <v>96</v>
      </c>
      <c r="E41" s="1"/>
      <c r="F41" s="69" t="s">
        <v>80</v>
      </c>
      <c r="G41" s="28">
        <f>+G38</f>
        <v>282.75200000000001</v>
      </c>
      <c r="H41" s="12">
        <f>+H38</f>
        <v>282.75200000000001</v>
      </c>
      <c r="I41" s="12">
        <f>+I38/2</f>
        <v>565.63800000000003</v>
      </c>
      <c r="J41" s="12">
        <f>+G38*-1</f>
        <v>-282.75200000000001</v>
      </c>
      <c r="K41" s="12">
        <f>+H38*-1</f>
        <v>-282.75200000000001</v>
      </c>
      <c r="L41" s="13">
        <f>+I38</f>
        <v>1131.2760000000001</v>
      </c>
      <c r="N41" t="s">
        <v>80</v>
      </c>
      <c r="O41" s="16">
        <v>-17.999999999999996</v>
      </c>
    </row>
    <row r="42" spans="4:15" x14ac:dyDescent="0.25">
      <c r="D42" s="1"/>
      <c r="F42" s="69"/>
      <c r="G42" s="2" t="s">
        <v>76</v>
      </c>
    </row>
    <row r="43" spans="4:15" x14ac:dyDescent="0.25">
      <c r="D43" s="1"/>
      <c r="F43" s="69"/>
    </row>
    <row r="44" spans="4:15" x14ac:dyDescent="0.25">
      <c r="D44" s="1"/>
      <c r="F44" s="69"/>
    </row>
    <row r="45" spans="4:15" ht="16.5" thickBot="1" x14ac:dyDescent="0.3">
      <c r="D45" s="1"/>
      <c r="F45" s="69"/>
      <c r="G45" t="s">
        <v>86</v>
      </c>
      <c r="H45" t="s">
        <v>84</v>
      </c>
      <c r="I45" t="s">
        <v>85</v>
      </c>
      <c r="J45" t="s">
        <v>61</v>
      </c>
      <c r="K45" t="s">
        <v>62</v>
      </c>
      <c r="L45" t="s">
        <v>77</v>
      </c>
    </row>
    <row r="46" spans="4:15" x14ac:dyDescent="0.25">
      <c r="D46" t="s">
        <v>104</v>
      </c>
      <c r="E46" s="1"/>
      <c r="F46" s="69" t="s">
        <v>86</v>
      </c>
      <c r="G46" s="58">
        <f>ROUND(+$O$5*$N$5+$T$5*$M$5,3)</f>
        <v>24840.899000000001</v>
      </c>
      <c r="H46" s="59">
        <f>ROUND(($O$5-$T$5)*$K$5*$L$5,3)</f>
        <v>24644.938999999998</v>
      </c>
      <c r="I46" s="59">
        <f>ROUND(-1*$S$5*$K$5,3)</f>
        <v>-282.75200000000001</v>
      </c>
      <c r="J46" s="59">
        <f t="shared" ref="J46:K48" si="6">+G46*-1</f>
        <v>-24840.899000000001</v>
      </c>
      <c r="K46" s="59">
        <f t="shared" si="6"/>
        <v>-24644.938999999998</v>
      </c>
      <c r="L46" s="60">
        <f>+I46</f>
        <v>-282.75200000000001</v>
      </c>
    </row>
    <row r="47" spans="4:15" x14ac:dyDescent="0.25">
      <c r="D47" t="s">
        <v>105</v>
      </c>
      <c r="E47" s="1"/>
      <c r="F47" s="69" t="s">
        <v>84</v>
      </c>
      <c r="G47" s="27">
        <f>+H46</f>
        <v>24644.938999999998</v>
      </c>
      <c r="H47" s="8">
        <f>ROUND(+$O$5*$M$5+$T$5*$N$5,3)</f>
        <v>24840.899000000001</v>
      </c>
      <c r="I47" s="8">
        <f>ROUND(+$S$5*$L$5,3)</f>
        <v>282.75200000000001</v>
      </c>
      <c r="J47" s="8">
        <f t="shared" si="6"/>
        <v>-24644.938999999998</v>
      </c>
      <c r="K47" s="8">
        <f t="shared" si="6"/>
        <v>-24840.899000000001</v>
      </c>
      <c r="L47" s="9">
        <f>+I47</f>
        <v>282.75200000000001</v>
      </c>
    </row>
    <row r="48" spans="4:15" x14ac:dyDescent="0.25">
      <c r="D48" t="s">
        <v>106</v>
      </c>
      <c r="E48" s="1" t="s">
        <v>22</v>
      </c>
      <c r="F48" s="69" t="s">
        <v>85</v>
      </c>
      <c r="G48" s="27">
        <f>ROUND($S$5*-$K$5,3)</f>
        <v>-282.75200000000001</v>
      </c>
      <c r="H48" s="8">
        <f>ROUND(+$S$5*$L$5,3)</f>
        <v>282.75200000000001</v>
      </c>
      <c r="I48" s="8">
        <f>+$R$5</f>
        <v>1131.2760000000001</v>
      </c>
      <c r="J48" s="8">
        <f t="shared" si="6"/>
        <v>282.75200000000001</v>
      </c>
      <c r="K48" s="8">
        <f t="shared" si="6"/>
        <v>-282.75200000000001</v>
      </c>
      <c r="L48" s="9">
        <f>+I48/2</f>
        <v>565.63800000000003</v>
      </c>
    </row>
    <row r="49" spans="2:34" x14ac:dyDescent="0.25">
      <c r="D49" t="s">
        <v>107</v>
      </c>
      <c r="E49" s="1"/>
      <c r="F49" s="69" t="s">
        <v>61</v>
      </c>
      <c r="G49" s="27">
        <f>+J46</f>
        <v>-24840.899000000001</v>
      </c>
      <c r="H49" s="8">
        <f>+K46</f>
        <v>-24644.938999999998</v>
      </c>
      <c r="I49" s="8">
        <f>+I46*-1</f>
        <v>282.75200000000001</v>
      </c>
      <c r="J49" s="8">
        <f>+G46</f>
        <v>24840.899000000001</v>
      </c>
      <c r="K49" s="8">
        <f>+H46</f>
        <v>24644.938999999998</v>
      </c>
      <c r="L49" s="9">
        <f>+I49</f>
        <v>282.75200000000001</v>
      </c>
    </row>
    <row r="50" spans="2:34" x14ac:dyDescent="0.25">
      <c r="D50" t="s">
        <v>108</v>
      </c>
      <c r="E50" s="1"/>
      <c r="F50" s="69" t="s">
        <v>62</v>
      </c>
      <c r="G50" s="27">
        <f>+J47</f>
        <v>-24644.938999999998</v>
      </c>
      <c r="H50" s="8">
        <f>+K47</f>
        <v>-24840.899000000001</v>
      </c>
      <c r="I50" s="8">
        <f>+I47*-1</f>
        <v>-282.75200000000001</v>
      </c>
      <c r="J50" s="8">
        <f>+G47</f>
        <v>24644.938999999998</v>
      </c>
      <c r="K50" s="8">
        <f>+H47</f>
        <v>24840.899000000001</v>
      </c>
      <c r="L50" s="9">
        <f>+I50</f>
        <v>-282.75200000000001</v>
      </c>
    </row>
    <row r="51" spans="2:34" ht="16.5" thickBot="1" x14ac:dyDescent="0.3">
      <c r="D51" t="s">
        <v>109</v>
      </c>
      <c r="E51" s="1"/>
      <c r="F51" s="69" t="s">
        <v>77</v>
      </c>
      <c r="G51" s="28">
        <f>+G48</f>
        <v>-282.75200000000001</v>
      </c>
      <c r="H51" s="12">
        <f>+H48</f>
        <v>282.75200000000001</v>
      </c>
      <c r="I51" s="12">
        <f>+I48/2</f>
        <v>565.63800000000003</v>
      </c>
      <c r="J51" s="12">
        <f>+G48*-1</f>
        <v>282.75200000000001</v>
      </c>
      <c r="K51" s="12">
        <f>+H48*-1</f>
        <v>-282.75200000000001</v>
      </c>
      <c r="L51" s="13">
        <f>+I48</f>
        <v>1131.2760000000001</v>
      </c>
    </row>
    <row r="52" spans="2:34" x14ac:dyDescent="0.25">
      <c r="D52" s="1"/>
      <c r="F52" s="69"/>
      <c r="G52" s="2" t="s">
        <v>83</v>
      </c>
    </row>
    <row r="53" spans="2:34" ht="16.5" thickBot="1" x14ac:dyDescent="0.3">
      <c r="D53" s="1"/>
      <c r="F53" s="69"/>
      <c r="G53" t="s">
        <v>88</v>
      </c>
      <c r="H53" t="s">
        <v>89</v>
      </c>
      <c r="I53" t="s">
        <v>90</v>
      </c>
      <c r="J53" t="s">
        <v>61</v>
      </c>
      <c r="K53" t="s">
        <v>62</v>
      </c>
      <c r="L53" t="s">
        <v>77</v>
      </c>
    </row>
    <row r="54" spans="2:34" x14ac:dyDescent="0.25">
      <c r="D54" t="s">
        <v>98</v>
      </c>
      <c r="E54" s="1"/>
      <c r="F54" s="69" t="s">
        <v>88</v>
      </c>
      <c r="G54" s="58">
        <f>ROUND(+$O$6*$N$6+$T$6*$M$6,3)</f>
        <v>45000</v>
      </c>
      <c r="H54" s="59">
        <f>ROUND(($O$6-$T$6)*$K$6*$L$6,3)</f>
        <v>0</v>
      </c>
      <c r="I54" s="59">
        <f>ROUND(-1*$S$6*$K$6,3)</f>
        <v>0</v>
      </c>
      <c r="J54" s="59">
        <f t="shared" ref="J54:K56" si="7">+G54*-1</f>
        <v>-45000</v>
      </c>
      <c r="K54" s="59">
        <f t="shared" si="7"/>
        <v>0</v>
      </c>
      <c r="L54" s="60">
        <f>+I54</f>
        <v>0</v>
      </c>
      <c r="N54" t="s">
        <v>88</v>
      </c>
      <c r="O54">
        <v>0</v>
      </c>
    </row>
    <row r="55" spans="2:34" x14ac:dyDescent="0.25">
      <c r="D55" t="s">
        <v>99</v>
      </c>
      <c r="E55" s="1"/>
      <c r="F55" s="69" t="s">
        <v>89</v>
      </c>
      <c r="G55" s="27">
        <f>+H54</f>
        <v>0</v>
      </c>
      <c r="H55" s="8">
        <f>ROUND(+$O$6*$M$6+$T$6*$N$6,3)</f>
        <v>83.332999999999998</v>
      </c>
      <c r="I55" s="8">
        <f>ROUND(+$S$6*$L$6,3)</f>
        <v>250</v>
      </c>
      <c r="J55" s="8">
        <f t="shared" si="7"/>
        <v>0</v>
      </c>
      <c r="K55" s="8">
        <f t="shared" si="7"/>
        <v>-83.332999999999998</v>
      </c>
      <c r="L55" s="9">
        <f>+I55</f>
        <v>250</v>
      </c>
      <c r="N55" t="s">
        <v>89</v>
      </c>
      <c r="O55">
        <v>72</v>
      </c>
    </row>
    <row r="56" spans="2:34" x14ac:dyDescent="0.25">
      <c r="D56" t="s">
        <v>100</v>
      </c>
      <c r="E56" s="1" t="s">
        <v>22</v>
      </c>
      <c r="F56" s="69" t="s">
        <v>90</v>
      </c>
      <c r="G56" s="27">
        <f>ROUND($S$6*-$K$6,3)</f>
        <v>0</v>
      </c>
      <c r="H56" s="8">
        <f>ROUND(+$S$6*$L$6,3)</f>
        <v>250</v>
      </c>
      <c r="I56" s="8">
        <f>+$R$6</f>
        <v>1000</v>
      </c>
      <c r="J56" s="8">
        <f t="shared" si="7"/>
        <v>0</v>
      </c>
      <c r="K56" s="8">
        <f t="shared" si="7"/>
        <v>-250</v>
      </c>
      <c r="L56" s="9">
        <f>+I56/2</f>
        <v>500</v>
      </c>
      <c r="M56" s="1" t="s">
        <v>34</v>
      </c>
      <c r="N56" t="s">
        <v>90</v>
      </c>
      <c r="O56">
        <v>72</v>
      </c>
    </row>
    <row r="57" spans="2:34" x14ac:dyDescent="0.25">
      <c r="D57" t="s">
        <v>101</v>
      </c>
      <c r="E57" s="1"/>
      <c r="F57" s="69" t="s">
        <v>61</v>
      </c>
      <c r="G57" s="27">
        <f>+J54</f>
        <v>-45000</v>
      </c>
      <c r="H57" s="8">
        <f>+K54</f>
        <v>0</v>
      </c>
      <c r="I57" s="8">
        <f>+I54*-1</f>
        <v>0</v>
      </c>
      <c r="J57" s="8">
        <f>+G54</f>
        <v>45000</v>
      </c>
      <c r="K57" s="8">
        <f>+H54</f>
        <v>0</v>
      </c>
      <c r="L57" s="9">
        <f>+I57</f>
        <v>0</v>
      </c>
      <c r="N57" t="s">
        <v>61</v>
      </c>
      <c r="O57">
        <v>0</v>
      </c>
    </row>
    <row r="58" spans="2:34" x14ac:dyDescent="0.25">
      <c r="D58" t="s">
        <v>102</v>
      </c>
      <c r="F58" s="69" t="s">
        <v>62</v>
      </c>
      <c r="G58" s="27">
        <f>+J55</f>
        <v>0</v>
      </c>
      <c r="H58" s="8">
        <f>+K55</f>
        <v>-83.332999999999998</v>
      </c>
      <c r="I58" s="8">
        <f>+I55*-1</f>
        <v>-250</v>
      </c>
      <c r="J58" s="8">
        <f>+G55</f>
        <v>0</v>
      </c>
      <c r="K58" s="8">
        <f>+H55</f>
        <v>83.332999999999998</v>
      </c>
      <c r="L58" s="9">
        <f>+I58</f>
        <v>-250</v>
      </c>
      <c r="N58" t="s">
        <v>62</v>
      </c>
      <c r="O58">
        <v>72</v>
      </c>
    </row>
    <row r="59" spans="2:34" ht="16.5" thickBot="1" x14ac:dyDescent="0.3">
      <c r="D59" t="s">
        <v>103</v>
      </c>
      <c r="F59" s="69" t="s">
        <v>77</v>
      </c>
      <c r="G59" s="28">
        <f>+G56</f>
        <v>0</v>
      </c>
      <c r="H59" s="12">
        <f>+H56</f>
        <v>250</v>
      </c>
      <c r="I59" s="12">
        <f>+I56/2</f>
        <v>500</v>
      </c>
      <c r="J59" s="12">
        <f>+G56*-1</f>
        <v>0</v>
      </c>
      <c r="K59" s="12">
        <f>+H56*-1</f>
        <v>-250</v>
      </c>
      <c r="L59" s="13">
        <f>+I56</f>
        <v>1000</v>
      </c>
      <c r="N59" t="s">
        <v>77</v>
      </c>
      <c r="O59">
        <v>-72</v>
      </c>
    </row>
    <row r="60" spans="2:34" x14ac:dyDescent="0.25">
      <c r="G60" s="2" t="s">
        <v>87</v>
      </c>
    </row>
    <row r="62" spans="2:34" ht="16.5" thickBot="1" x14ac:dyDescent="0.3">
      <c r="F62" s="55" t="s">
        <v>88</v>
      </c>
      <c r="G62" s="55" t="s">
        <v>89</v>
      </c>
      <c r="H62" s="55" t="s">
        <v>90</v>
      </c>
      <c r="I62" s="55" t="s">
        <v>86</v>
      </c>
      <c r="J62" t="s">
        <v>84</v>
      </c>
      <c r="K62" t="s">
        <v>85</v>
      </c>
      <c r="L62" t="s">
        <v>78</v>
      </c>
      <c r="M62" t="s">
        <v>79</v>
      </c>
      <c r="N62" t="s">
        <v>80</v>
      </c>
      <c r="O62" t="s">
        <v>61</v>
      </c>
      <c r="P62" t="s">
        <v>62</v>
      </c>
      <c r="Q62" t="s">
        <v>77</v>
      </c>
    </row>
    <row r="63" spans="2:34" x14ac:dyDescent="0.25">
      <c r="B63" s="1" t="s">
        <v>110</v>
      </c>
      <c r="E63" s="69" t="s">
        <v>88</v>
      </c>
      <c r="F63" s="61">
        <v>45000</v>
      </c>
      <c r="G63" s="62">
        <v>0</v>
      </c>
      <c r="H63" s="62">
        <v>0</v>
      </c>
      <c r="I63" s="62">
        <v>0</v>
      </c>
      <c r="J63" s="59">
        <v>0</v>
      </c>
      <c r="K63" s="59">
        <v>0</v>
      </c>
      <c r="L63" s="59">
        <v>0</v>
      </c>
      <c r="M63" s="59">
        <v>0</v>
      </c>
      <c r="N63" s="59">
        <v>0</v>
      </c>
      <c r="O63" s="59">
        <v>-45000</v>
      </c>
      <c r="P63" s="59">
        <v>0</v>
      </c>
      <c r="Q63" s="60">
        <v>0</v>
      </c>
      <c r="S63" s="88" t="s">
        <v>88</v>
      </c>
      <c r="U63" s="71">
        <v>0</v>
      </c>
      <c r="W63" s="54">
        <v>0</v>
      </c>
      <c r="Y63" s="57">
        <v>18.000000000000004</v>
      </c>
      <c r="AA63" s="43">
        <f>+W63-Y63</f>
        <v>-18.000000000000004</v>
      </c>
      <c r="AC63">
        <f t="array" ref="AC63:AE65">MINVERSE(O72:Q74)</f>
        <v>1.0572641719016457E-5</v>
      </c>
      <c r="AD63">
        <v>-9.2096647713756019E-9</v>
      </c>
      <c r="AE63">
        <v>-1.8332806952543674E-6</v>
      </c>
      <c r="AG63" t="s">
        <v>88</v>
      </c>
      <c r="AH63">
        <f t="array" ref="AH63:AH65">MMULT(AC63:AE65,AA63:AA65)</f>
        <v>-3.4301377627567057E-4</v>
      </c>
    </row>
    <row r="64" spans="2:34" x14ac:dyDescent="0.25">
      <c r="B64" s="1" t="s">
        <v>111</v>
      </c>
      <c r="E64" s="69" t="s">
        <v>89</v>
      </c>
      <c r="F64" s="63">
        <v>0</v>
      </c>
      <c r="G64" s="64">
        <v>83.332999999999998</v>
      </c>
      <c r="H64" s="64">
        <v>250</v>
      </c>
      <c r="I64" s="64">
        <v>0</v>
      </c>
      <c r="J64" s="93">
        <v>0</v>
      </c>
      <c r="K64" s="93">
        <v>0</v>
      </c>
      <c r="L64" s="93">
        <v>0</v>
      </c>
      <c r="M64" s="93">
        <v>0</v>
      </c>
      <c r="N64" s="93">
        <v>0</v>
      </c>
      <c r="O64" s="8">
        <v>0</v>
      </c>
      <c r="P64" s="8">
        <v>-83.332999999999998</v>
      </c>
      <c r="Q64" s="9">
        <v>250</v>
      </c>
      <c r="S64" s="53" t="s">
        <v>89</v>
      </c>
      <c r="U64" s="72">
        <v>72</v>
      </c>
      <c r="W64" s="54">
        <v>-50</v>
      </c>
      <c r="X64" t="s">
        <v>122</v>
      </c>
      <c r="Y64" s="57">
        <v>90</v>
      </c>
      <c r="Z64" t="s">
        <v>22</v>
      </c>
      <c r="AA64" s="43">
        <f t="shared" ref="AA64:AA65" si="8">+W64-Y64</f>
        <v>-140</v>
      </c>
      <c r="AB64" t="s">
        <v>24</v>
      </c>
      <c r="AC64">
        <v>-9.2096647713756003E-9</v>
      </c>
      <c r="AD64">
        <v>2.0102137204420177E-5</v>
      </c>
      <c r="AE64">
        <v>1.5419654317760811E-6</v>
      </c>
      <c r="AF64" t="s">
        <v>22</v>
      </c>
      <c r="AG64" t="s">
        <v>89</v>
      </c>
      <c r="AH64">
        <v>-2.6846083383837492E-3</v>
      </c>
    </row>
    <row r="65" spans="2:34" x14ac:dyDescent="0.25">
      <c r="B65" s="1" t="s">
        <v>112</v>
      </c>
      <c r="E65" s="69" t="s">
        <v>90</v>
      </c>
      <c r="F65" s="63">
        <v>0</v>
      </c>
      <c r="G65" s="64">
        <v>250</v>
      </c>
      <c r="H65" s="64">
        <v>1000</v>
      </c>
      <c r="I65" s="64">
        <v>0</v>
      </c>
      <c r="J65" s="93">
        <v>0</v>
      </c>
      <c r="K65" s="93">
        <v>0</v>
      </c>
      <c r="L65" s="93">
        <v>0</v>
      </c>
      <c r="M65" s="93">
        <v>0</v>
      </c>
      <c r="N65" s="93">
        <v>0</v>
      </c>
      <c r="O65" s="8">
        <v>0</v>
      </c>
      <c r="P65" s="8">
        <v>-250</v>
      </c>
      <c r="Q65" s="9">
        <v>500</v>
      </c>
      <c r="S65" s="53" t="s">
        <v>90</v>
      </c>
      <c r="U65" s="72">
        <v>72</v>
      </c>
      <c r="W65" s="54">
        <v>30</v>
      </c>
      <c r="Y65" s="57">
        <v>-54</v>
      </c>
      <c r="AA65" s="43">
        <f t="shared" si="8"/>
        <v>84</v>
      </c>
      <c r="AC65">
        <v>-1.8332806952543674E-6</v>
      </c>
      <c r="AD65">
        <v>1.5419654317760811E-6</v>
      </c>
      <c r="AE65">
        <v>3.0694444683923295E-4</v>
      </c>
      <c r="AG65" t="s">
        <v>90</v>
      </c>
      <c r="AH65">
        <v>2.5600457426561495E-2</v>
      </c>
    </row>
    <row r="66" spans="2:34" x14ac:dyDescent="0.25">
      <c r="B66" s="1" t="s">
        <v>113</v>
      </c>
      <c r="E66" s="69" t="s">
        <v>86</v>
      </c>
      <c r="F66" s="27">
        <v>0</v>
      </c>
      <c r="G66" s="93">
        <v>0</v>
      </c>
      <c r="H66" s="93">
        <v>0</v>
      </c>
      <c r="I66" s="8">
        <v>24840.899000000001</v>
      </c>
      <c r="J66" s="8">
        <v>24644.938999999998</v>
      </c>
      <c r="K66" s="8">
        <v>-282.75200000000001</v>
      </c>
      <c r="L66" s="41">
        <v>0</v>
      </c>
      <c r="M66" s="41">
        <v>0</v>
      </c>
      <c r="N66" s="41">
        <v>0</v>
      </c>
      <c r="O66" s="8">
        <v>-24840.899000000001</v>
      </c>
      <c r="P66" s="8">
        <v>-24644.938999999998</v>
      </c>
      <c r="Q66" s="9">
        <v>-282.75200000000001</v>
      </c>
      <c r="S66" s="19" t="s">
        <v>86</v>
      </c>
      <c r="U66" s="73">
        <v>0</v>
      </c>
    </row>
    <row r="67" spans="2:34" x14ac:dyDescent="0.25">
      <c r="B67" s="1" t="s">
        <v>114</v>
      </c>
      <c r="E67" s="69" t="s">
        <v>84</v>
      </c>
      <c r="F67" s="27">
        <v>0</v>
      </c>
      <c r="G67" s="93">
        <v>0</v>
      </c>
      <c r="H67" s="93">
        <v>0</v>
      </c>
      <c r="I67" s="8">
        <v>24644.938999999998</v>
      </c>
      <c r="J67" s="8">
        <v>24840.899000000001</v>
      </c>
      <c r="K67" s="8">
        <v>282.75200000000001</v>
      </c>
      <c r="L67" s="41">
        <v>0</v>
      </c>
      <c r="M67" s="41">
        <v>0</v>
      </c>
      <c r="N67" s="41">
        <v>0</v>
      </c>
      <c r="O67" s="8">
        <v>-24644.938999999998</v>
      </c>
      <c r="P67" s="8">
        <v>-24840.899000000001</v>
      </c>
      <c r="Q67" s="9">
        <v>282.75200000000001</v>
      </c>
      <c r="R67" s="1"/>
      <c r="S67" s="19" t="s">
        <v>84</v>
      </c>
      <c r="U67" s="73">
        <v>0</v>
      </c>
    </row>
    <row r="68" spans="2:34" x14ac:dyDescent="0.25">
      <c r="B68" s="1" t="s">
        <v>115</v>
      </c>
      <c r="D68" s="1" t="s">
        <v>22</v>
      </c>
      <c r="E68" s="69" t="s">
        <v>85</v>
      </c>
      <c r="F68" s="27">
        <v>0</v>
      </c>
      <c r="G68" s="93">
        <v>0</v>
      </c>
      <c r="H68" s="93">
        <v>0</v>
      </c>
      <c r="I68" s="8">
        <v>-282.75200000000001</v>
      </c>
      <c r="J68" s="8">
        <v>282.75200000000001</v>
      </c>
      <c r="K68" s="8">
        <v>1131.2760000000001</v>
      </c>
      <c r="L68" s="41">
        <v>0</v>
      </c>
      <c r="M68" s="41">
        <v>0</v>
      </c>
      <c r="N68" s="41">
        <v>0</v>
      </c>
      <c r="O68" s="8">
        <v>282.75200000000001</v>
      </c>
      <c r="P68" s="8">
        <v>-282.75200000000001</v>
      </c>
      <c r="Q68" s="9">
        <v>565.63800000000003</v>
      </c>
      <c r="R68" s="1" t="s">
        <v>24</v>
      </c>
      <c r="S68" s="19" t="s">
        <v>85</v>
      </c>
      <c r="T68" s="1" t="s">
        <v>34</v>
      </c>
      <c r="U68" s="73">
        <v>0</v>
      </c>
    </row>
    <row r="69" spans="2:34" x14ac:dyDescent="0.25">
      <c r="B69" s="1" t="s">
        <v>116</v>
      </c>
      <c r="E69" s="69" t="s">
        <v>78</v>
      </c>
      <c r="F69" s="27">
        <v>0</v>
      </c>
      <c r="G69" s="93">
        <v>0</v>
      </c>
      <c r="H69" s="93">
        <v>0</v>
      </c>
      <c r="I69" s="41">
        <v>0</v>
      </c>
      <c r="J69" s="41">
        <v>0</v>
      </c>
      <c r="K69" s="41">
        <v>0</v>
      </c>
      <c r="L69" s="8">
        <v>24840.899000000001</v>
      </c>
      <c r="M69" s="8">
        <v>-24644.938999999998</v>
      </c>
      <c r="N69" s="8">
        <v>-282.75200000000001</v>
      </c>
      <c r="O69" s="8">
        <v>-24840.899000000001</v>
      </c>
      <c r="P69" s="8">
        <v>24644.938999999998</v>
      </c>
      <c r="Q69" s="9">
        <v>-282.75200000000001</v>
      </c>
      <c r="R69" s="1"/>
      <c r="S69" s="19" t="s">
        <v>78</v>
      </c>
      <c r="U69" s="74">
        <v>18.000000000000004</v>
      </c>
    </row>
    <row r="70" spans="2:34" x14ac:dyDescent="0.25">
      <c r="B70" s="1" t="s">
        <v>117</v>
      </c>
      <c r="E70" s="69" t="s">
        <v>79</v>
      </c>
      <c r="F70" s="27">
        <v>0</v>
      </c>
      <c r="G70" s="93">
        <v>0</v>
      </c>
      <c r="H70" s="93">
        <v>0</v>
      </c>
      <c r="I70" s="41">
        <v>0</v>
      </c>
      <c r="J70" s="41">
        <v>0</v>
      </c>
      <c r="K70" s="41">
        <v>0</v>
      </c>
      <c r="L70" s="8">
        <v>-24644.938999999998</v>
      </c>
      <c r="M70" s="8">
        <v>24840.899000000001</v>
      </c>
      <c r="N70" s="8">
        <v>-282.75200000000001</v>
      </c>
      <c r="O70" s="8">
        <v>24644.938999999998</v>
      </c>
      <c r="P70" s="8">
        <v>-24840.899000000001</v>
      </c>
      <c r="Q70" s="9">
        <v>-282.75200000000001</v>
      </c>
      <c r="R70" s="1"/>
      <c r="S70" s="19" t="s">
        <v>79</v>
      </c>
      <c r="U70" s="74">
        <v>17.999999999999996</v>
      </c>
    </row>
    <row r="71" spans="2:34" x14ac:dyDescent="0.25">
      <c r="B71" s="1" t="s">
        <v>118</v>
      </c>
      <c r="E71" s="69" t="s">
        <v>80</v>
      </c>
      <c r="F71" s="27">
        <v>0</v>
      </c>
      <c r="G71" s="93">
        <v>0</v>
      </c>
      <c r="H71" s="93">
        <v>0</v>
      </c>
      <c r="I71" s="41">
        <v>0</v>
      </c>
      <c r="J71" s="41">
        <v>0</v>
      </c>
      <c r="K71" s="41">
        <v>0</v>
      </c>
      <c r="L71" s="8">
        <v>-282.75200000000001</v>
      </c>
      <c r="M71" s="8">
        <v>-282.75200000000001</v>
      </c>
      <c r="N71" s="8">
        <v>1131.2760000000001</v>
      </c>
      <c r="O71" s="64">
        <v>282.75200000000001</v>
      </c>
      <c r="P71" s="64">
        <v>282.75200000000001</v>
      </c>
      <c r="Q71" s="70">
        <v>565.63800000000003</v>
      </c>
      <c r="R71" s="1"/>
      <c r="S71" s="19" t="s">
        <v>80</v>
      </c>
      <c r="U71" s="74">
        <v>-17.999999999999996</v>
      </c>
    </row>
    <row r="72" spans="2:34" x14ac:dyDescent="0.25">
      <c r="B72" s="1" t="s">
        <v>119</v>
      </c>
      <c r="C72" s="54">
        <v>0</v>
      </c>
      <c r="E72" s="69" t="s">
        <v>61</v>
      </c>
      <c r="F72" s="27">
        <v>-45000</v>
      </c>
      <c r="G72" s="8">
        <v>0</v>
      </c>
      <c r="H72" s="8">
        <v>0</v>
      </c>
      <c r="I72" s="8">
        <v>-24840.899000000001</v>
      </c>
      <c r="J72" s="8">
        <v>-24644.938999999998</v>
      </c>
      <c r="K72" s="8">
        <v>282.75200000000001</v>
      </c>
      <c r="L72" s="8">
        <v>-24840.899000000001</v>
      </c>
      <c r="M72" s="8">
        <v>24644.938999999998</v>
      </c>
      <c r="N72" s="8">
        <v>282.75200000000001</v>
      </c>
      <c r="O72" s="65">
        <v>94681.79800000001</v>
      </c>
      <c r="P72" s="65">
        <v>0</v>
      </c>
      <c r="Q72" s="66">
        <v>565.50400000000002</v>
      </c>
      <c r="R72" s="1"/>
      <c r="S72" s="86" t="s">
        <v>61</v>
      </c>
      <c r="U72" s="75">
        <v>18.000000000000004</v>
      </c>
    </row>
    <row r="73" spans="2:34" x14ac:dyDescent="0.25">
      <c r="B73" s="1" t="s">
        <v>120</v>
      </c>
      <c r="C73" s="54">
        <v>-50</v>
      </c>
      <c r="E73" s="69" t="s">
        <v>62</v>
      </c>
      <c r="F73" s="27">
        <v>0</v>
      </c>
      <c r="G73" s="8">
        <v>-83.332999999999998</v>
      </c>
      <c r="H73" s="8">
        <v>-250</v>
      </c>
      <c r="I73" s="8">
        <v>-24644.938999999998</v>
      </c>
      <c r="J73" s="8">
        <v>-24840.899000000001</v>
      </c>
      <c r="K73" s="8">
        <v>-282.75200000000001</v>
      </c>
      <c r="L73" s="8">
        <v>24644.938999999998</v>
      </c>
      <c r="M73" s="8">
        <v>-24840.899000000001</v>
      </c>
      <c r="N73" s="8">
        <v>282.75200000000001</v>
      </c>
      <c r="O73" s="65">
        <v>0</v>
      </c>
      <c r="P73" s="65">
        <v>49765.131000000001</v>
      </c>
      <c r="Q73" s="66">
        <v>-250</v>
      </c>
      <c r="R73" s="1"/>
      <c r="S73" s="86" t="s">
        <v>62</v>
      </c>
      <c r="U73" s="75">
        <v>90</v>
      </c>
    </row>
    <row r="74" spans="2:34" ht="16.5" thickBot="1" x14ac:dyDescent="0.3">
      <c r="B74" s="1" t="s">
        <v>121</v>
      </c>
      <c r="C74" s="54">
        <v>0</v>
      </c>
      <c r="E74" s="69" t="s">
        <v>77</v>
      </c>
      <c r="F74" s="28">
        <v>0</v>
      </c>
      <c r="G74" s="12">
        <v>250</v>
      </c>
      <c r="H74" s="12">
        <v>500</v>
      </c>
      <c r="I74" s="12">
        <v>-282.75200000000001</v>
      </c>
      <c r="J74" s="12">
        <v>282.75200000000001</v>
      </c>
      <c r="K74" s="12">
        <v>565.63800000000003</v>
      </c>
      <c r="L74" s="12">
        <v>-282.75200000000001</v>
      </c>
      <c r="M74" s="12">
        <v>-282.75200000000001</v>
      </c>
      <c r="N74" s="12">
        <v>565.63800000000003</v>
      </c>
      <c r="O74" s="67">
        <v>565.50400000000002</v>
      </c>
      <c r="P74" s="67">
        <v>-250</v>
      </c>
      <c r="Q74" s="68">
        <v>3262.5520000000001</v>
      </c>
      <c r="R74" s="1"/>
      <c r="S74" s="87" t="s">
        <v>77</v>
      </c>
      <c r="U74" s="76">
        <v>-54</v>
      </c>
    </row>
    <row r="75" spans="2:34" x14ac:dyDescent="0.25">
      <c r="E75" s="69"/>
      <c r="R75" s="1"/>
    </row>
    <row r="76" spans="2:34" x14ac:dyDescent="0.25">
      <c r="E76" s="69"/>
      <c r="R76" s="1"/>
    </row>
    <row r="77" spans="2:34" ht="16.5" thickBot="1" x14ac:dyDescent="0.3">
      <c r="E77" s="69"/>
      <c r="G77" s="56"/>
      <c r="H77" s="56"/>
      <c r="I77" s="56"/>
      <c r="J77" s="56"/>
      <c r="K77" s="56"/>
      <c r="L77" s="56"/>
      <c r="M77" s="56"/>
      <c r="N77" s="56"/>
      <c r="R77" s="1"/>
    </row>
    <row r="78" spans="2:34" x14ac:dyDescent="0.25">
      <c r="E78" s="96">
        <v>0</v>
      </c>
      <c r="F78" s="1"/>
      <c r="G78" s="96">
        <v>18.000000000000004</v>
      </c>
      <c r="H78" s="95"/>
      <c r="I78" s="96">
        <v>-18.000000000000004</v>
      </c>
      <c r="J78" s="95"/>
      <c r="K78" s="97">
        <v>1.057217435373285E-5</v>
      </c>
      <c r="L78" s="98">
        <v>-9.2108914999478619E-9</v>
      </c>
      <c r="M78" s="99">
        <v>-1.8336810619045068E-6</v>
      </c>
      <c r="N78" s="56"/>
      <c r="O78" s="108" t="s">
        <v>88</v>
      </c>
      <c r="P78" s="85">
        <v>-3.4303882275717721E-4</v>
      </c>
    </row>
    <row r="79" spans="2:34" x14ac:dyDescent="0.25">
      <c r="E79" s="100">
        <v>-50</v>
      </c>
      <c r="F79" s="1" t="s">
        <v>122</v>
      </c>
      <c r="G79" s="100">
        <v>90</v>
      </c>
      <c r="H79" s="95" t="s">
        <v>22</v>
      </c>
      <c r="I79" s="100">
        <v>-140</v>
      </c>
      <c r="J79" s="95" t="s">
        <v>24</v>
      </c>
      <c r="K79" s="101">
        <v>-9.2108914999478602E-9</v>
      </c>
      <c r="L79" s="102">
        <v>2.0100424012445916E-5</v>
      </c>
      <c r="M79" s="103">
        <v>1.5417452354554573E-6</v>
      </c>
      <c r="N79" s="95" t="s">
        <v>22</v>
      </c>
      <c r="O79" s="108" t="s">
        <v>89</v>
      </c>
      <c r="P79" s="85">
        <v>-2.6843869659171709E-3</v>
      </c>
    </row>
    <row r="80" spans="2:34" ht="16.5" thickBot="1" x14ac:dyDescent="0.3">
      <c r="E80" s="104">
        <v>30</v>
      </c>
      <c r="F80" s="1"/>
      <c r="G80" s="104">
        <v>-54</v>
      </c>
      <c r="H80" s="95"/>
      <c r="I80" s="104">
        <v>84</v>
      </c>
      <c r="J80" s="95"/>
      <c r="K80" s="105">
        <v>-1.8336810619045066E-6</v>
      </c>
      <c r="L80" s="106">
        <v>1.5417452354554573E-6</v>
      </c>
      <c r="M80" s="107">
        <v>3.0692675519545707E-4</v>
      </c>
      <c r="N80" s="56"/>
      <c r="O80" s="108" t="s">
        <v>90</v>
      </c>
      <c r="P80" s="85">
        <v>2.5599009362568911E-2</v>
      </c>
    </row>
    <row r="81" spans="2:30" x14ac:dyDescent="0.25">
      <c r="G81" s="56"/>
      <c r="H81" s="56"/>
      <c r="I81" s="56"/>
      <c r="J81" s="56"/>
      <c r="K81" s="56"/>
      <c r="L81" s="56"/>
      <c r="M81" s="56"/>
      <c r="N81" s="56"/>
    </row>
    <row r="93" spans="2:30" ht="16.5" thickBot="1" x14ac:dyDescent="0.3">
      <c r="E93" s="69"/>
      <c r="F93" s="55" t="s">
        <v>88</v>
      </c>
      <c r="G93" s="55" t="s">
        <v>89</v>
      </c>
      <c r="H93" s="55" t="s">
        <v>90</v>
      </c>
      <c r="I93" s="55" t="s">
        <v>86</v>
      </c>
      <c r="J93" t="s">
        <v>84</v>
      </c>
      <c r="K93" t="s">
        <v>85</v>
      </c>
      <c r="L93" t="s">
        <v>78</v>
      </c>
      <c r="M93" t="s">
        <v>79</v>
      </c>
      <c r="N93" t="s">
        <v>80</v>
      </c>
      <c r="O93" t="s">
        <v>61</v>
      </c>
      <c r="P93" t="s">
        <v>62</v>
      </c>
      <c r="Q93" t="s">
        <v>77</v>
      </c>
      <c r="R93" s="1"/>
    </row>
    <row r="94" spans="2:30" x14ac:dyDescent="0.25">
      <c r="B94" s="79" t="s">
        <v>110</v>
      </c>
      <c r="C94" s="1" t="str">
        <f t="shared" ref="C94:C102" si="9">B94</f>
        <v>X1</v>
      </c>
      <c r="E94" s="69" t="s">
        <v>88</v>
      </c>
      <c r="F94" s="61">
        <v>45000</v>
      </c>
      <c r="G94" s="62">
        <v>0</v>
      </c>
      <c r="H94" s="62">
        <v>0</v>
      </c>
      <c r="I94" s="62">
        <v>0</v>
      </c>
      <c r="J94" s="59">
        <v>0</v>
      </c>
      <c r="K94" s="59">
        <v>0</v>
      </c>
      <c r="L94" s="59">
        <v>0</v>
      </c>
      <c r="M94" s="59">
        <v>0</v>
      </c>
      <c r="N94" s="59">
        <v>0</v>
      </c>
      <c r="O94" s="59">
        <v>-45000</v>
      </c>
      <c r="P94" s="59">
        <v>0</v>
      </c>
      <c r="Q94" s="60">
        <v>0</v>
      </c>
      <c r="R94" s="1"/>
      <c r="S94" s="77">
        <v>0</v>
      </c>
      <c r="U94" s="71">
        <v>0</v>
      </c>
      <c r="W94" s="77">
        <f t="array" ref="W94:W105">MMULT(F94:Q105,S94:S105)</f>
        <v>15.435619932405176</v>
      </c>
      <c r="Y94" s="71">
        <v>0</v>
      </c>
      <c r="AA94" s="82">
        <f t="shared" ref="AA94:AA105" si="10">+W94+U94</f>
        <v>15.435619932405176</v>
      </c>
      <c r="AB94" s="79" t="s">
        <v>110</v>
      </c>
      <c r="AD94" s="109"/>
    </row>
    <row r="95" spans="2:30" x14ac:dyDescent="0.25">
      <c r="B95" s="80" t="s">
        <v>111</v>
      </c>
      <c r="C95" s="1" t="str">
        <f t="shared" si="9"/>
        <v>Y1</v>
      </c>
      <c r="E95" s="69" t="s">
        <v>89</v>
      </c>
      <c r="F95" s="63">
        <v>0</v>
      </c>
      <c r="G95" s="64">
        <v>83.332999999999998</v>
      </c>
      <c r="H95" s="64">
        <v>250</v>
      </c>
      <c r="I95" s="64">
        <v>0</v>
      </c>
      <c r="J95" s="93">
        <v>0</v>
      </c>
      <c r="K95" s="93">
        <v>0</v>
      </c>
      <c r="L95" s="93">
        <v>0</v>
      </c>
      <c r="M95" s="93">
        <v>0</v>
      </c>
      <c r="N95" s="93">
        <v>0</v>
      </c>
      <c r="O95" s="8">
        <v>0</v>
      </c>
      <c r="P95" s="8">
        <v>-83.332999999999998</v>
      </c>
      <c r="Q95" s="9">
        <v>250</v>
      </c>
      <c r="R95" s="1"/>
      <c r="S95" s="73">
        <v>0</v>
      </c>
      <c r="U95" s="72">
        <v>72</v>
      </c>
      <c r="W95" s="73">
        <v>6.6238308233029066</v>
      </c>
      <c r="Y95" s="72">
        <v>72</v>
      </c>
      <c r="AA95" s="83">
        <f t="shared" si="10"/>
        <v>78.62383082330291</v>
      </c>
      <c r="AB95" s="80" t="s">
        <v>111</v>
      </c>
      <c r="AD95" s="109"/>
    </row>
    <row r="96" spans="2:30" x14ac:dyDescent="0.25">
      <c r="B96" s="80" t="s">
        <v>112</v>
      </c>
      <c r="C96" s="1" t="str">
        <f t="shared" si="9"/>
        <v>M1</v>
      </c>
      <c r="E96" s="69" t="s">
        <v>90</v>
      </c>
      <c r="F96" s="63">
        <v>0</v>
      </c>
      <c r="G96" s="64">
        <v>250</v>
      </c>
      <c r="H96" s="64">
        <v>1000</v>
      </c>
      <c r="I96" s="64">
        <v>0</v>
      </c>
      <c r="J96" s="93">
        <v>0</v>
      </c>
      <c r="K96" s="93">
        <v>0</v>
      </c>
      <c r="L96" s="93">
        <v>0</v>
      </c>
      <c r="M96" s="93">
        <v>0</v>
      </c>
      <c r="N96" s="93">
        <v>0</v>
      </c>
      <c r="O96" s="8">
        <v>0</v>
      </c>
      <c r="P96" s="8">
        <v>-250</v>
      </c>
      <c r="Q96" s="9">
        <v>500</v>
      </c>
      <c r="R96" s="1"/>
      <c r="S96" s="73">
        <v>0</v>
      </c>
      <c r="U96" s="72">
        <v>72</v>
      </c>
      <c r="W96" s="73">
        <v>13.471380797876684</v>
      </c>
      <c r="Y96" s="72">
        <v>72</v>
      </c>
      <c r="AA96" s="83">
        <f t="shared" si="10"/>
        <v>85.471380797876691</v>
      </c>
      <c r="AB96" s="80" t="s">
        <v>112</v>
      </c>
      <c r="AD96" s="109"/>
    </row>
    <row r="97" spans="2:30" x14ac:dyDescent="0.25">
      <c r="B97" s="80" t="s">
        <v>113</v>
      </c>
      <c r="C97" s="1" t="str">
        <f t="shared" si="9"/>
        <v>X2</v>
      </c>
      <c r="E97" s="69" t="s">
        <v>86</v>
      </c>
      <c r="F97" s="27">
        <v>0</v>
      </c>
      <c r="G97" s="93">
        <v>0</v>
      </c>
      <c r="H97" s="93">
        <v>0</v>
      </c>
      <c r="I97" s="8">
        <v>24840.899000000001</v>
      </c>
      <c r="J97" s="8">
        <v>24644.938999999998</v>
      </c>
      <c r="K97" s="8">
        <v>-282.75200000000001</v>
      </c>
      <c r="L97" s="41">
        <v>0</v>
      </c>
      <c r="M97" s="41">
        <v>0</v>
      </c>
      <c r="N97" s="41">
        <v>0</v>
      </c>
      <c r="O97" s="8">
        <v>-24840.899000000001</v>
      </c>
      <c r="P97" s="8">
        <v>-24644.938999999998</v>
      </c>
      <c r="Q97" s="9">
        <v>-282.75200000000001</v>
      </c>
      <c r="R97" s="1"/>
      <c r="S97" s="73">
        <v>0</v>
      </c>
      <c r="U97" s="73">
        <v>0</v>
      </c>
      <c r="W97" s="73">
        <v>67.44419877215627</v>
      </c>
      <c r="Y97" s="73">
        <v>0</v>
      </c>
      <c r="AA97" s="83">
        <f t="shared" si="10"/>
        <v>67.44419877215627</v>
      </c>
      <c r="AB97" s="80" t="s">
        <v>113</v>
      </c>
      <c r="AD97" s="109" t="s">
        <v>123</v>
      </c>
    </row>
    <row r="98" spans="2:30" x14ac:dyDescent="0.25">
      <c r="B98" s="80" t="s">
        <v>114</v>
      </c>
      <c r="C98" s="1" t="str">
        <f t="shared" si="9"/>
        <v>Y2</v>
      </c>
      <c r="E98" s="69" t="s">
        <v>84</v>
      </c>
      <c r="F98" s="27">
        <v>0</v>
      </c>
      <c r="G98" s="93">
        <v>0</v>
      </c>
      <c r="H98" s="93">
        <v>0</v>
      </c>
      <c r="I98" s="8">
        <v>24644.938999999998</v>
      </c>
      <c r="J98" s="8">
        <v>24840.899000000001</v>
      </c>
      <c r="K98" s="8">
        <v>282.75200000000001</v>
      </c>
      <c r="L98" s="41">
        <v>0</v>
      </c>
      <c r="M98" s="41">
        <v>0</v>
      </c>
      <c r="N98" s="41">
        <v>0</v>
      </c>
      <c r="O98" s="8">
        <v>-24644.938999999998</v>
      </c>
      <c r="P98" s="8">
        <v>-24840.899000000001</v>
      </c>
      <c r="Q98" s="9">
        <v>282.75200000000001</v>
      </c>
      <c r="R98" s="1"/>
      <c r="S98" s="73">
        <v>0</v>
      </c>
      <c r="U98" s="73">
        <v>0</v>
      </c>
      <c r="W98" s="73">
        <v>82.380218719097215</v>
      </c>
      <c r="Y98" s="73">
        <v>0</v>
      </c>
      <c r="AA98" s="83">
        <f t="shared" si="10"/>
        <v>82.380218719097215</v>
      </c>
      <c r="AB98" s="80" t="s">
        <v>114</v>
      </c>
      <c r="AD98" s="109"/>
    </row>
    <row r="99" spans="2:30" x14ac:dyDescent="0.25">
      <c r="B99" s="80" t="s">
        <v>115</v>
      </c>
      <c r="C99" s="1" t="str">
        <f t="shared" si="9"/>
        <v>M2</v>
      </c>
      <c r="D99" s="1" t="s">
        <v>22</v>
      </c>
      <c r="E99" s="69" t="s">
        <v>85</v>
      </c>
      <c r="F99" s="27">
        <v>0</v>
      </c>
      <c r="G99" s="93">
        <v>0</v>
      </c>
      <c r="H99" s="93">
        <v>0</v>
      </c>
      <c r="I99" s="8">
        <v>-282.75200000000001</v>
      </c>
      <c r="J99" s="8">
        <v>282.75200000000001</v>
      </c>
      <c r="K99" s="8">
        <v>1131.2760000000001</v>
      </c>
      <c r="L99" s="41">
        <v>0</v>
      </c>
      <c r="M99" s="41">
        <v>0</v>
      </c>
      <c r="N99" s="41">
        <v>0</v>
      </c>
      <c r="O99" s="8">
        <v>282.75200000000001</v>
      </c>
      <c r="P99" s="8">
        <v>-282.75200000000001</v>
      </c>
      <c r="Q99" s="9">
        <v>565.63800000000003</v>
      </c>
      <c r="R99" s="1" t="s">
        <v>24</v>
      </c>
      <c r="S99" s="73">
        <v>0</v>
      </c>
      <c r="T99" s="1" t="s">
        <v>34</v>
      </c>
      <c r="U99" s="73">
        <v>0</v>
      </c>
      <c r="V99" s="1" t="s">
        <v>22</v>
      </c>
      <c r="W99" s="73">
        <v>15.142682083470575</v>
      </c>
      <c r="X99" s="1" t="s">
        <v>34</v>
      </c>
      <c r="Y99" s="73">
        <v>0</v>
      </c>
      <c r="Z99" t="s">
        <v>22</v>
      </c>
      <c r="AA99" s="83">
        <f t="shared" si="10"/>
        <v>15.142682083470575</v>
      </c>
      <c r="AB99" s="80" t="s">
        <v>115</v>
      </c>
      <c r="AD99" s="109"/>
    </row>
    <row r="100" spans="2:30" x14ac:dyDescent="0.25">
      <c r="B100" s="80" t="s">
        <v>116</v>
      </c>
      <c r="C100" s="1" t="str">
        <f t="shared" si="9"/>
        <v>X3</v>
      </c>
      <c r="E100" s="69" t="s">
        <v>78</v>
      </c>
      <c r="F100" s="27">
        <v>0</v>
      </c>
      <c r="G100" s="93">
        <v>0</v>
      </c>
      <c r="H100" s="93">
        <v>0</v>
      </c>
      <c r="I100" s="41">
        <v>0</v>
      </c>
      <c r="J100" s="41">
        <v>0</v>
      </c>
      <c r="K100" s="41">
        <v>0</v>
      </c>
      <c r="L100" s="8">
        <v>24840.899000000001</v>
      </c>
      <c r="M100" s="8">
        <v>-24644.938999999998</v>
      </c>
      <c r="N100" s="8">
        <v>-282.75200000000001</v>
      </c>
      <c r="O100" s="8">
        <v>-24840.899000000001</v>
      </c>
      <c r="P100" s="8">
        <v>24644.938999999998</v>
      </c>
      <c r="Q100" s="9">
        <v>-282.75200000000001</v>
      </c>
      <c r="R100" s="1"/>
      <c r="S100" s="73">
        <v>0</v>
      </c>
      <c r="U100" s="74">
        <v>18.000000000000004</v>
      </c>
      <c r="W100" s="73">
        <v>-64.879818704561444</v>
      </c>
      <c r="Y100" s="74">
        <v>18.000000000000004</v>
      </c>
      <c r="AA100" s="83">
        <f t="shared" si="10"/>
        <v>-46.879818704561444</v>
      </c>
      <c r="AB100" s="80" t="s">
        <v>116</v>
      </c>
      <c r="AD100" s="109"/>
    </row>
    <row r="101" spans="2:30" x14ac:dyDescent="0.25">
      <c r="B101" s="80" t="s">
        <v>117</v>
      </c>
      <c r="C101" s="1" t="str">
        <f t="shared" si="9"/>
        <v>Y3</v>
      </c>
      <c r="E101" s="69" t="s">
        <v>79</v>
      </c>
      <c r="F101" s="27">
        <v>0</v>
      </c>
      <c r="G101" s="93">
        <v>0</v>
      </c>
      <c r="H101" s="93">
        <v>0</v>
      </c>
      <c r="I101" s="41">
        <v>0</v>
      </c>
      <c r="J101" s="41">
        <v>0</v>
      </c>
      <c r="K101" s="41">
        <v>0</v>
      </c>
      <c r="L101" s="8">
        <v>-24644.938999999998</v>
      </c>
      <c r="M101" s="8">
        <v>24840.899000000001</v>
      </c>
      <c r="N101" s="8">
        <v>-282.75200000000001</v>
      </c>
      <c r="O101" s="8">
        <v>24644.938999999998</v>
      </c>
      <c r="P101" s="8">
        <v>-24840.899000000001</v>
      </c>
      <c r="Q101" s="9">
        <v>-282.75200000000001</v>
      </c>
      <c r="R101" s="1"/>
      <c r="S101" s="73">
        <v>0</v>
      </c>
      <c r="U101" s="74">
        <v>17.999999999999996</v>
      </c>
      <c r="W101" s="73">
        <v>50.995950457599882</v>
      </c>
      <c r="Y101" s="74">
        <v>17.999999999999996</v>
      </c>
      <c r="AA101" s="83">
        <f t="shared" si="10"/>
        <v>68.995950457599875</v>
      </c>
      <c r="AB101" s="80" t="s">
        <v>117</v>
      </c>
      <c r="AD101" s="109"/>
    </row>
    <row r="102" spans="2:30" x14ac:dyDescent="0.25">
      <c r="B102" s="80" t="s">
        <v>118</v>
      </c>
      <c r="C102" s="1" t="str">
        <f t="shared" si="9"/>
        <v>M3</v>
      </c>
      <c r="E102" s="69" t="s">
        <v>80</v>
      </c>
      <c r="F102" s="27">
        <v>0</v>
      </c>
      <c r="G102" s="93">
        <v>0</v>
      </c>
      <c r="H102" s="93">
        <v>0</v>
      </c>
      <c r="I102" s="41">
        <v>0</v>
      </c>
      <c r="J102" s="41">
        <v>0</v>
      </c>
      <c r="K102" s="41">
        <v>0</v>
      </c>
      <c r="L102" s="8">
        <v>-282.75200000000001</v>
      </c>
      <c r="M102" s="8">
        <v>-282.75200000000001</v>
      </c>
      <c r="N102" s="8">
        <v>1131.2760000000001</v>
      </c>
      <c r="O102" s="64">
        <v>282.75200000000001</v>
      </c>
      <c r="P102" s="64">
        <v>282.75200000000001</v>
      </c>
      <c r="Q102" s="70">
        <v>565.63800000000003</v>
      </c>
      <c r="S102" s="73">
        <v>0</v>
      </c>
      <c r="U102" s="74">
        <v>-17.999999999999996</v>
      </c>
      <c r="W102" s="73">
        <v>13.624525329681212</v>
      </c>
      <c r="Y102" s="74">
        <v>-17.999999999999996</v>
      </c>
      <c r="AA102" s="83">
        <f t="shared" si="10"/>
        <v>-4.3754746703187841</v>
      </c>
      <c r="AB102" s="80" t="s">
        <v>118</v>
      </c>
      <c r="AD102" s="109"/>
    </row>
    <row r="103" spans="2:30" x14ac:dyDescent="0.25">
      <c r="B103" s="80" t="s">
        <v>119</v>
      </c>
      <c r="C103" s="94">
        <v>0</v>
      </c>
      <c r="E103" s="69" t="s">
        <v>61</v>
      </c>
      <c r="F103" s="27">
        <v>-45000</v>
      </c>
      <c r="G103" s="8">
        <v>0</v>
      </c>
      <c r="H103" s="8">
        <v>0</v>
      </c>
      <c r="I103" s="8">
        <v>-24840.899000000001</v>
      </c>
      <c r="J103" s="8">
        <v>-24644.938999999998</v>
      </c>
      <c r="K103" s="8">
        <v>282.75200000000001</v>
      </c>
      <c r="L103" s="8">
        <v>-24840.899000000001</v>
      </c>
      <c r="M103" s="8">
        <v>24644.938999999998</v>
      </c>
      <c r="N103" s="8">
        <v>282.75200000000001</v>
      </c>
      <c r="O103" s="65">
        <v>94681.79800000001</v>
      </c>
      <c r="P103" s="65">
        <v>0</v>
      </c>
      <c r="Q103" s="66">
        <v>565.50400000000002</v>
      </c>
      <c r="S103" s="89">
        <f>+AH63</f>
        <v>-3.4301377627567057E-4</v>
      </c>
      <c r="U103" s="75">
        <v>18.000000000000004</v>
      </c>
      <c r="W103" s="73">
        <v>-18.000000000000007</v>
      </c>
      <c r="Y103" s="75">
        <v>18.000000000000004</v>
      </c>
      <c r="AA103" s="83">
        <f t="shared" si="10"/>
        <v>0</v>
      </c>
      <c r="AB103" s="80" t="s">
        <v>119</v>
      </c>
    </row>
    <row r="104" spans="2:30" x14ac:dyDescent="0.25">
      <c r="B104" s="80" t="s">
        <v>120</v>
      </c>
      <c r="C104" s="94">
        <v>-50</v>
      </c>
      <c r="E104" s="69" t="s">
        <v>62</v>
      </c>
      <c r="F104" s="27">
        <v>0</v>
      </c>
      <c r="G104" s="8">
        <v>-83.332999999999998</v>
      </c>
      <c r="H104" s="8">
        <v>-250</v>
      </c>
      <c r="I104" s="8">
        <v>-24644.938999999998</v>
      </c>
      <c r="J104" s="8">
        <v>-24840.899000000001</v>
      </c>
      <c r="K104" s="8">
        <v>-282.75200000000001</v>
      </c>
      <c r="L104" s="8">
        <v>24644.938999999998</v>
      </c>
      <c r="M104" s="8">
        <v>-24840.899000000001</v>
      </c>
      <c r="N104" s="8">
        <v>282.75200000000001</v>
      </c>
      <c r="O104" s="65">
        <v>0</v>
      </c>
      <c r="P104" s="65">
        <v>49765.131000000001</v>
      </c>
      <c r="Q104" s="66">
        <v>-250</v>
      </c>
      <c r="S104" s="89">
        <f>+AH64</f>
        <v>-2.6846083383837492E-3</v>
      </c>
      <c r="U104" s="75">
        <v>90</v>
      </c>
      <c r="W104" s="73">
        <v>-140</v>
      </c>
      <c r="Y104" s="75">
        <v>90</v>
      </c>
      <c r="AA104" s="83">
        <f t="shared" si="10"/>
        <v>-50</v>
      </c>
      <c r="AB104" s="80" t="s">
        <v>120</v>
      </c>
    </row>
    <row r="105" spans="2:30" ht="16.5" thickBot="1" x14ac:dyDescent="0.3">
      <c r="B105" s="81" t="s">
        <v>121</v>
      </c>
      <c r="C105" s="94">
        <v>30</v>
      </c>
      <c r="E105" s="69" t="s">
        <v>77</v>
      </c>
      <c r="F105" s="28">
        <v>0</v>
      </c>
      <c r="G105" s="12">
        <v>250</v>
      </c>
      <c r="H105" s="12">
        <v>500</v>
      </c>
      <c r="I105" s="12">
        <v>-282.75200000000001</v>
      </c>
      <c r="J105" s="12">
        <v>282.75200000000001</v>
      </c>
      <c r="K105" s="12">
        <v>565.63800000000003</v>
      </c>
      <c r="L105" s="12">
        <v>-282.75200000000001</v>
      </c>
      <c r="M105" s="12">
        <v>-282.75200000000001</v>
      </c>
      <c r="N105" s="12">
        <v>565.63800000000003</v>
      </c>
      <c r="O105" s="67">
        <v>565.50400000000002</v>
      </c>
      <c r="P105" s="67">
        <v>-250</v>
      </c>
      <c r="Q105" s="68">
        <v>3262.5520000000001</v>
      </c>
      <c r="S105" s="90">
        <f>+AH65</f>
        <v>2.5600457426561495E-2</v>
      </c>
      <c r="U105" s="76">
        <v>-54</v>
      </c>
      <c r="W105" s="78">
        <v>84</v>
      </c>
      <c r="Y105" s="76">
        <v>-54</v>
      </c>
      <c r="AA105" s="84">
        <f t="shared" si="10"/>
        <v>30</v>
      </c>
      <c r="AB105" s="81" t="s">
        <v>121</v>
      </c>
    </row>
    <row r="108" spans="2:30" ht="16.5" thickBot="1" x14ac:dyDescent="0.3"/>
    <row r="109" spans="2:30" x14ac:dyDescent="0.25">
      <c r="G109" s="79" t="s">
        <v>110</v>
      </c>
      <c r="I109" s="82">
        <v>15.436747024072975</v>
      </c>
    </row>
    <row r="110" spans="2:30" x14ac:dyDescent="0.25">
      <c r="G110" s="80" t="s">
        <v>111</v>
      </c>
      <c r="I110" s="83">
        <v>78.623451254468662</v>
      </c>
    </row>
    <row r="111" spans="2:30" x14ac:dyDescent="0.25">
      <c r="G111" s="80" t="s">
        <v>112</v>
      </c>
      <c r="I111" s="83">
        <v>85.47060142276375</v>
      </c>
    </row>
    <row r="112" spans="2:30" x14ac:dyDescent="0.25">
      <c r="G112" s="80" t="s">
        <v>113</v>
      </c>
      <c r="I112" s="83">
        <v>67.463728000214815</v>
      </c>
    </row>
    <row r="113" spans="7:9" x14ac:dyDescent="0.25">
      <c r="G113" s="80" t="s">
        <v>114</v>
      </c>
      <c r="I113" s="83">
        <v>82.386203329531639</v>
      </c>
    </row>
    <row r="114" spans="7:9" x14ac:dyDescent="0.25">
      <c r="G114" s="80" t="s">
        <v>115</v>
      </c>
      <c r="H114" s="1" t="s">
        <v>22</v>
      </c>
      <c r="I114" s="83">
        <v>15.143219749203103</v>
      </c>
    </row>
    <row r="115" spans="7:9" x14ac:dyDescent="0.25">
      <c r="G115" s="80" t="s">
        <v>116</v>
      </c>
      <c r="I115" s="83">
        <v>-46.900475024287786</v>
      </c>
    </row>
    <row r="116" spans="7:9" x14ac:dyDescent="0.25">
      <c r="G116" s="80" t="s">
        <v>117</v>
      </c>
      <c r="I116" s="83">
        <v>68.990345415999684</v>
      </c>
    </row>
    <row r="117" spans="7:9" x14ac:dyDescent="0.25">
      <c r="G117" s="80" t="s">
        <v>118</v>
      </c>
      <c r="I117" s="83">
        <v>-4.3752988323399435</v>
      </c>
    </row>
    <row r="118" spans="7:9" x14ac:dyDescent="0.25">
      <c r="G118" s="80" t="s">
        <v>119</v>
      </c>
      <c r="I118" s="83">
        <v>0</v>
      </c>
    </row>
    <row r="119" spans="7:9" x14ac:dyDescent="0.25">
      <c r="G119" s="80" t="s">
        <v>120</v>
      </c>
      <c r="I119" s="83">
        <v>-50</v>
      </c>
    </row>
    <row r="120" spans="7:9" ht="16.5" thickBot="1" x14ac:dyDescent="0.3">
      <c r="G120" s="81" t="s">
        <v>121</v>
      </c>
      <c r="I120" s="84">
        <v>29.999999999999986</v>
      </c>
    </row>
  </sheetData>
  <dataConsolidate topLabels="1">
    <dataRefs count="3">
      <dataRef ref="F35:L41" sheet="Hoja2"/>
      <dataRef ref="F45:L51" sheet="Hoja2"/>
      <dataRef ref="F53:L59" sheet="Hoja2"/>
    </dataRefs>
  </dataConsolid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Andrers</dc:creator>
  <cp:lastModifiedBy>cesar Gamba</cp:lastModifiedBy>
  <dcterms:created xsi:type="dcterms:W3CDTF">2013-06-09T23:12:25Z</dcterms:created>
  <dcterms:modified xsi:type="dcterms:W3CDTF">2016-09-09T15:51:17Z</dcterms:modified>
</cp:coreProperties>
</file>